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13_ncr:1_{92DC95A3-4357-4A1E-B896-698DD6B711D8}" xr6:coauthVersionLast="36" xr6:coauthVersionMax="43" xr10:uidLastSave="{00000000-0000-0000-0000-000000000000}"/>
  <bookViews>
    <workbookView xWindow="810" yWindow="-120" windowWidth="28920" windowHeight="16110" xr2:uid="{00000000-000D-0000-FFFF-FFFF00000000}"/>
  </bookViews>
  <sheets>
    <sheet name="Ingresos (ventas)" sheetId="2" r:id="rId1"/>
    <sheet name="Costo de ventas" sheetId="3" r:id="rId2"/>
    <sheet name="Gastos" sheetId="4" r:id="rId3"/>
  </sheets>
  <definedNames>
    <definedName name="Company_Name">'Ingresos (ventas)'!$B$1</definedName>
    <definedName name="FYMonthNo">IF(FYMonthStart="ENE",1,IF(FYMonthStart="FEB",2,IF(FYMonthStart="MAR",3,IF(FYMonthStart="ABR",4,IF(FYMonthStart="MAY",5,IF(FYMonthStart="JUN",6,IF(FYMonthStart="JUL",7,IF(FYMonthStart="AGO",8,IF(FYMonthStart="SEP",9,IF(FYMonthStart="OCT",10,IF(FYMonthStart="NOV",11,12)))))))))))</definedName>
    <definedName name="FYMonthStart">'Ingresos (ventas)'!$F$2</definedName>
    <definedName name="FYStartYear">'Ingresos (ventas)'!$G$2</definedName>
    <definedName name="_xlnm.Print_Titles" localSheetId="1">'Costo de ventas'!$5:$6</definedName>
    <definedName name="_xlnm.Print_Titles" localSheetId="2">Gastos!$5:$6</definedName>
    <definedName name="_xlnm.Print_Titles" localSheetId="0">'Ingresos (ventas)'!$5:$6</definedName>
    <definedName name="Projection_Period_Title">'Ingresos (ventas)'!$B$2</definedName>
    <definedName name="Título1">Ingresos[[#Headers],[INGRESOS (VENTAS)]]</definedName>
    <definedName name="Titulo2">CostoDeVentas[[#Headers],[COSTO DE VENTAS]]</definedName>
    <definedName name="Título3">tblGastos[[#Headers],[GASTOS]]</definedName>
    <definedName name="Wksht_Título">'Ingresos (ventas)'!$B$3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7" i="4" l="1"/>
  <c r="AC8" i="4"/>
  <c r="AC9" i="4"/>
  <c r="AC10" i="4"/>
  <c r="AC11" i="4"/>
  <c r="AC12" i="4"/>
  <c r="AC13" i="4"/>
  <c r="AC14" i="4"/>
  <c r="AC15" i="4"/>
  <c r="AC16" i="4"/>
  <c r="AC17" i="4"/>
  <c r="AC18" i="4"/>
  <c r="AC19" i="4"/>
  <c r="AC20" i="4"/>
  <c r="AC21" i="4"/>
  <c r="AC22" i="4"/>
  <c r="AC23" i="4"/>
  <c r="AC24" i="4"/>
  <c r="AC25" i="4"/>
  <c r="AB7" i="4"/>
  <c r="AB8" i="4"/>
  <c r="AB9" i="4"/>
  <c r="AB10" i="4"/>
  <c r="AB11" i="4"/>
  <c r="AB12" i="4"/>
  <c r="AB13" i="4"/>
  <c r="AB14" i="4"/>
  <c r="AB15" i="4"/>
  <c r="AB16" i="4"/>
  <c r="AB17" i="4"/>
  <c r="AB18" i="4"/>
  <c r="AB19" i="4"/>
  <c r="AB20" i="4"/>
  <c r="AB21" i="4"/>
  <c r="AB22" i="4"/>
  <c r="AB23" i="4"/>
  <c r="AB24" i="4"/>
  <c r="AB25" i="4"/>
  <c r="AA7" i="4"/>
  <c r="AA8" i="4"/>
  <c r="AA9" i="4"/>
  <c r="AA10" i="4"/>
  <c r="AA11" i="4"/>
  <c r="AA12" i="4"/>
  <c r="AA13" i="4"/>
  <c r="AA14" i="4"/>
  <c r="AA15" i="4"/>
  <c r="AA16" i="4"/>
  <c r="AA17" i="4"/>
  <c r="AA18" i="4"/>
  <c r="AA19" i="4"/>
  <c r="AA20" i="4"/>
  <c r="AA21" i="4"/>
  <c r="AA22" i="4"/>
  <c r="AA23" i="4"/>
  <c r="AA24" i="4"/>
  <c r="AA25" i="4"/>
  <c r="Z7" i="4"/>
  <c r="Z8" i="4"/>
  <c r="Z9" i="4"/>
  <c r="Z10" i="4"/>
  <c r="Z11" i="4"/>
  <c r="Z12" i="4"/>
  <c r="Z13" i="4"/>
  <c r="Z14" i="4"/>
  <c r="Z15" i="4"/>
  <c r="Z16" i="4"/>
  <c r="Z17" i="4"/>
  <c r="Z18" i="4"/>
  <c r="Z19" i="4"/>
  <c r="Z20" i="4"/>
  <c r="Z21" i="4"/>
  <c r="Z22" i="4"/>
  <c r="Z23" i="4"/>
  <c r="Z24" i="4"/>
  <c r="Z25" i="4"/>
  <c r="Y7" i="4"/>
  <c r="Y8" i="4"/>
  <c r="Y9" i="4"/>
  <c r="Y10" i="4"/>
  <c r="Y11" i="4"/>
  <c r="Y12" i="4"/>
  <c r="Y13" i="4"/>
  <c r="Y14" i="4"/>
  <c r="Y15" i="4"/>
  <c r="Y16" i="4"/>
  <c r="Y17" i="4"/>
  <c r="Y18" i="4"/>
  <c r="Y19" i="4"/>
  <c r="Y20" i="4"/>
  <c r="Y21" i="4"/>
  <c r="Y22" i="4"/>
  <c r="Y23" i="4"/>
  <c r="Y24" i="4"/>
  <c r="Y25" i="4"/>
  <c r="X7" i="4"/>
  <c r="X8" i="4"/>
  <c r="X9" i="4"/>
  <c r="X10" i="4"/>
  <c r="X11" i="4"/>
  <c r="X12" i="4"/>
  <c r="X13" i="4"/>
  <c r="X14" i="4"/>
  <c r="X15" i="4"/>
  <c r="X16" i="4"/>
  <c r="X17" i="4"/>
  <c r="X18" i="4"/>
  <c r="X19" i="4"/>
  <c r="X20" i="4"/>
  <c r="X21" i="4"/>
  <c r="X22" i="4"/>
  <c r="X23" i="4"/>
  <c r="X24" i="4"/>
  <c r="X25" i="4"/>
  <c r="W7" i="4"/>
  <c r="W8" i="4"/>
  <c r="W9" i="4"/>
  <c r="W10" i="4"/>
  <c r="W11" i="4"/>
  <c r="W12" i="4"/>
  <c r="W13" i="4"/>
  <c r="W14" i="4"/>
  <c r="W15" i="4"/>
  <c r="W16" i="4"/>
  <c r="W17" i="4"/>
  <c r="W18" i="4"/>
  <c r="W19" i="4"/>
  <c r="W20" i="4"/>
  <c r="W21" i="4"/>
  <c r="W22" i="4"/>
  <c r="W23" i="4"/>
  <c r="W24" i="4"/>
  <c r="W25" i="4"/>
  <c r="V7" i="4"/>
  <c r="V8" i="4"/>
  <c r="V9" i="4"/>
  <c r="V10" i="4"/>
  <c r="V11" i="4"/>
  <c r="V12" i="4"/>
  <c r="V13" i="4"/>
  <c r="V14" i="4"/>
  <c r="V15" i="4"/>
  <c r="V16" i="4"/>
  <c r="V17" i="4"/>
  <c r="V18" i="4"/>
  <c r="V19" i="4"/>
  <c r="V20" i="4"/>
  <c r="V21" i="4"/>
  <c r="V22" i="4"/>
  <c r="V23" i="4"/>
  <c r="V24" i="4"/>
  <c r="V25" i="4"/>
  <c r="U7" i="4"/>
  <c r="U8" i="4"/>
  <c r="U9" i="4"/>
  <c r="U10" i="4"/>
  <c r="U11" i="4"/>
  <c r="U12" i="4"/>
  <c r="U13" i="4"/>
  <c r="U14" i="4"/>
  <c r="U15" i="4"/>
  <c r="U16" i="4"/>
  <c r="U17" i="4"/>
  <c r="U18" i="4"/>
  <c r="U19" i="4"/>
  <c r="U20" i="4"/>
  <c r="U21" i="4"/>
  <c r="U22" i="4"/>
  <c r="U23" i="4"/>
  <c r="U24" i="4"/>
  <c r="U25" i="4"/>
  <c r="T7" i="4"/>
  <c r="T8" i="4"/>
  <c r="T9" i="4"/>
  <c r="T10" i="4"/>
  <c r="T11" i="4"/>
  <c r="T12" i="4"/>
  <c r="T13" i="4"/>
  <c r="T14" i="4"/>
  <c r="T15" i="4"/>
  <c r="T16" i="4"/>
  <c r="T17" i="4"/>
  <c r="T18" i="4"/>
  <c r="T19" i="4"/>
  <c r="T20" i="4"/>
  <c r="T21" i="4"/>
  <c r="T22" i="4"/>
  <c r="T23" i="4"/>
  <c r="T24" i="4"/>
  <c r="T25" i="4"/>
  <c r="S7" i="4"/>
  <c r="S8" i="4"/>
  <c r="S9" i="4"/>
  <c r="S10" i="4"/>
  <c r="S11" i="4"/>
  <c r="S12" i="4"/>
  <c r="S13" i="4"/>
  <c r="S14" i="4"/>
  <c r="S15" i="4"/>
  <c r="S16" i="4"/>
  <c r="S17" i="4"/>
  <c r="S18" i="4"/>
  <c r="S19" i="4"/>
  <c r="S20" i="4"/>
  <c r="S21" i="4"/>
  <c r="S22" i="4"/>
  <c r="S23" i="4"/>
  <c r="S24" i="4"/>
  <c r="S25" i="4"/>
  <c r="R7" i="4"/>
  <c r="R8" i="4"/>
  <c r="R9" i="4"/>
  <c r="R10" i="4"/>
  <c r="R11" i="4"/>
  <c r="R12" i="4"/>
  <c r="R13" i="4"/>
  <c r="R14" i="4"/>
  <c r="R15" i="4"/>
  <c r="R16" i="4"/>
  <c r="R17" i="4"/>
  <c r="R18" i="4"/>
  <c r="R19" i="4"/>
  <c r="R20" i="4"/>
  <c r="R21" i="4"/>
  <c r="R22" i="4"/>
  <c r="R23" i="4"/>
  <c r="R24" i="4"/>
  <c r="R25" i="4"/>
  <c r="D14" i="2" l="1"/>
  <c r="E14" i="2"/>
  <c r="F14" i="2"/>
  <c r="G14" i="2"/>
  <c r="H14" i="2"/>
  <c r="I14" i="2"/>
  <c r="J14" i="2"/>
  <c r="K14" i="2"/>
  <c r="L14" i="2"/>
  <c r="M14" i="2"/>
  <c r="N14" i="2"/>
  <c r="O14" i="2"/>
  <c r="Q14" i="2"/>
  <c r="Q14" i="3" l="1"/>
  <c r="R9" i="2"/>
  <c r="V11" i="2"/>
  <c r="Y12" i="2"/>
  <c r="Z8" i="2"/>
  <c r="AC12" i="2"/>
  <c r="P7" i="2"/>
  <c r="P8" i="2"/>
  <c r="P9" i="2"/>
  <c r="P10" i="2"/>
  <c r="P11" i="2"/>
  <c r="P12" i="2"/>
  <c r="P13" i="2"/>
  <c r="R7" i="2"/>
  <c r="U7" i="2"/>
  <c r="V13" i="2"/>
  <c r="Y9" i="2"/>
  <c r="Z10" i="2"/>
  <c r="AC7" i="2"/>
  <c r="B1" i="4"/>
  <c r="B2" i="4"/>
  <c r="B2" i="3"/>
  <c r="B1" i="3"/>
  <c r="G2" i="2"/>
  <c r="B3" i="3"/>
  <c r="B3" i="4"/>
  <c r="F2" i="4"/>
  <c r="F2" i="3"/>
  <c r="Q26" i="4"/>
  <c r="O26" i="4"/>
  <c r="N26" i="4"/>
  <c r="M26" i="4"/>
  <c r="L26" i="4"/>
  <c r="K26" i="4"/>
  <c r="J26" i="4"/>
  <c r="I26" i="4"/>
  <c r="H26" i="4"/>
  <c r="G26" i="4"/>
  <c r="F26" i="4"/>
  <c r="E26" i="4"/>
  <c r="D26" i="4"/>
  <c r="P25" i="4"/>
  <c r="P24" i="4"/>
  <c r="P23" i="4"/>
  <c r="P22" i="4"/>
  <c r="P21" i="4"/>
  <c r="P20" i="4"/>
  <c r="P19" i="4"/>
  <c r="P18" i="4"/>
  <c r="P17" i="4"/>
  <c r="P16" i="4"/>
  <c r="P15" i="4"/>
  <c r="P14" i="4"/>
  <c r="P13" i="4"/>
  <c r="P12" i="4"/>
  <c r="P11" i="4"/>
  <c r="P10" i="4"/>
  <c r="P9" i="4"/>
  <c r="P8" i="4"/>
  <c r="P7" i="4"/>
  <c r="O14" i="3"/>
  <c r="N14" i="3"/>
  <c r="M14" i="3"/>
  <c r="L14" i="3"/>
  <c r="Z8" i="3" s="1"/>
  <c r="K14" i="3"/>
  <c r="J14" i="3"/>
  <c r="X10" i="3" s="1"/>
  <c r="I14" i="3"/>
  <c r="H14" i="3"/>
  <c r="V7" i="3" s="1"/>
  <c r="G14" i="3"/>
  <c r="F14" i="3"/>
  <c r="E14" i="3"/>
  <c r="D14" i="3"/>
  <c r="P13" i="3"/>
  <c r="P12" i="3"/>
  <c r="P11" i="3"/>
  <c r="P10" i="3"/>
  <c r="P9" i="3"/>
  <c r="P8" i="3"/>
  <c r="P7" i="3"/>
  <c r="Y10" i="3"/>
  <c r="V13" i="3"/>
  <c r="V9" i="3"/>
  <c r="V10" i="3"/>
  <c r="R13" i="3"/>
  <c r="Y12" i="3"/>
  <c r="AC13" i="3"/>
  <c r="AC12" i="3"/>
  <c r="AC10" i="3"/>
  <c r="AC7" i="3"/>
  <c r="AC8" i="3"/>
  <c r="O16" i="3"/>
  <c r="O28" i="4" s="1"/>
  <c r="AC11" i="3"/>
  <c r="R7" i="3"/>
  <c r="AC9" i="3"/>
  <c r="Z13" i="3" l="1"/>
  <c r="X12" i="3"/>
  <c r="AB11" i="3"/>
  <c r="S11" i="3"/>
  <c r="U9" i="3"/>
  <c r="R12" i="3"/>
  <c r="R10" i="3"/>
  <c r="R8" i="3"/>
  <c r="V12" i="3"/>
  <c r="V8" i="3"/>
  <c r="R11" i="3"/>
  <c r="V11" i="3"/>
  <c r="X9" i="3"/>
  <c r="T13" i="3"/>
  <c r="AB10" i="3"/>
  <c r="R9" i="3"/>
  <c r="D16" i="3"/>
  <c r="D28" i="4" s="1"/>
  <c r="S8" i="3"/>
  <c r="U13" i="3"/>
  <c r="W8" i="3"/>
  <c r="Y9" i="3"/>
  <c r="AA11" i="3"/>
  <c r="P14" i="2"/>
  <c r="O5" i="3"/>
  <c r="AC5" i="3" s="1"/>
  <c r="M5" i="3"/>
  <c r="AA5" i="3" s="1"/>
  <c r="K5" i="3"/>
  <c r="Y5" i="3" s="1"/>
  <c r="I5" i="3"/>
  <c r="G5" i="3"/>
  <c r="U5" i="3" s="1"/>
  <c r="E5" i="3"/>
  <c r="S5" i="3" s="1"/>
  <c r="O5" i="4"/>
  <c r="M5" i="4"/>
  <c r="AA5" i="4" s="1"/>
  <c r="K5" i="4"/>
  <c r="Y5" i="4" s="1"/>
  <c r="I5" i="4"/>
  <c r="W5" i="4" s="1"/>
  <c r="G5" i="4"/>
  <c r="U5" i="4" s="1"/>
  <c r="E5" i="4"/>
  <c r="S5" i="4" s="1"/>
  <c r="O5" i="2"/>
  <c r="AC5" i="2" s="1"/>
  <c r="M5" i="2"/>
  <c r="AA5" i="2" s="1"/>
  <c r="K5" i="2"/>
  <c r="Y5" i="2" s="1"/>
  <c r="I5" i="2"/>
  <c r="W5" i="2" s="1"/>
  <c r="G5" i="2"/>
  <c r="U5" i="2" s="1"/>
  <c r="E5" i="2"/>
  <c r="F5" i="2"/>
  <c r="T5" i="2" s="1"/>
  <c r="D5" i="2"/>
  <c r="R5" i="2" s="1"/>
  <c r="N5" i="3"/>
  <c r="AB5" i="3" s="1"/>
  <c r="L5" i="3"/>
  <c r="Z5" i="3" s="1"/>
  <c r="J5" i="3"/>
  <c r="X5" i="3" s="1"/>
  <c r="H5" i="3"/>
  <c r="V5" i="3" s="1"/>
  <c r="F5" i="3"/>
  <c r="T5" i="3" s="1"/>
  <c r="D5" i="3"/>
  <c r="R5" i="3" s="1"/>
  <c r="N5" i="4"/>
  <c r="AB5" i="4" s="1"/>
  <c r="L5" i="4"/>
  <c r="Z5" i="4" s="1"/>
  <c r="J5" i="4"/>
  <c r="X5" i="4" s="1"/>
  <c r="H5" i="4"/>
  <c r="V5" i="4" s="1"/>
  <c r="F5" i="4"/>
  <c r="T5" i="4" s="1"/>
  <c r="D5" i="4"/>
  <c r="R5" i="4" s="1"/>
  <c r="N5" i="2"/>
  <c r="AB5" i="2" s="1"/>
  <c r="L5" i="2"/>
  <c r="Z5" i="2" s="1"/>
  <c r="J5" i="2"/>
  <c r="X5" i="2" s="1"/>
  <c r="H5" i="2"/>
  <c r="V5" i="2" s="1"/>
  <c r="AC5" i="4"/>
  <c r="AB26" i="4"/>
  <c r="Z26" i="4"/>
  <c r="AC14" i="3"/>
  <c r="W26" i="4"/>
  <c r="AC26" i="4"/>
  <c r="Z10" i="3"/>
  <c r="W10" i="3"/>
  <c r="G16" i="3"/>
  <c r="G28" i="4" s="1"/>
  <c r="U7" i="3"/>
  <c r="X13" i="3"/>
  <c r="X11" i="3"/>
  <c r="X8" i="3"/>
  <c r="V7" i="2"/>
  <c r="R11" i="2"/>
  <c r="W11" i="3"/>
  <c r="W13" i="3"/>
  <c r="Z9" i="3"/>
  <c r="L16" i="3"/>
  <c r="L28" i="4" s="1"/>
  <c r="S26" i="4"/>
  <c r="U12" i="3"/>
  <c r="U8" i="3"/>
  <c r="Z7" i="3"/>
  <c r="W12" i="3"/>
  <c r="W9" i="3"/>
  <c r="P26" i="4"/>
  <c r="AD8" i="4" s="1"/>
  <c r="W7" i="3"/>
  <c r="Z12" i="3"/>
  <c r="Z11" i="3"/>
  <c r="V26" i="4"/>
  <c r="U11" i="3"/>
  <c r="U10" i="3"/>
  <c r="AA13" i="3"/>
  <c r="T12" i="3"/>
  <c r="AC8" i="2"/>
  <c r="Y13" i="2"/>
  <c r="U10" i="2"/>
  <c r="T9" i="3"/>
  <c r="Y11" i="3"/>
  <c r="T8" i="3"/>
  <c r="AA9" i="3"/>
  <c r="AA10" i="3"/>
  <c r="Y13" i="3"/>
  <c r="T10" i="3"/>
  <c r="AA7" i="3"/>
  <c r="AC11" i="2"/>
  <c r="Y8" i="2"/>
  <c r="U11" i="2"/>
  <c r="Y8" i="3"/>
  <c r="AA8" i="3"/>
  <c r="K16" i="3"/>
  <c r="K28" i="4" s="1"/>
  <c r="T11" i="3"/>
  <c r="T7" i="3"/>
  <c r="AA12" i="3"/>
  <c r="Y7" i="3"/>
  <c r="P14" i="3"/>
  <c r="AC10" i="2"/>
  <c r="Y11" i="2"/>
  <c r="Y7" i="2"/>
  <c r="U13" i="2"/>
  <c r="U9" i="2"/>
  <c r="AA12" i="2"/>
  <c r="AC13" i="2"/>
  <c r="AC9" i="2"/>
  <c r="Y10" i="2"/>
  <c r="U12" i="2"/>
  <c r="U8" i="2"/>
  <c r="Z7" i="2"/>
  <c r="V8" i="2"/>
  <c r="X11" i="2"/>
  <c r="S12" i="3"/>
  <c r="S9" i="3"/>
  <c r="AB12" i="3"/>
  <c r="AB8" i="3"/>
  <c r="AB13" i="3"/>
  <c r="S7" i="3"/>
  <c r="AB9" i="3"/>
  <c r="S10" i="3"/>
  <c r="AB7" i="3"/>
  <c r="X7" i="3"/>
  <c r="S13" i="3"/>
  <c r="Z12" i="2"/>
  <c r="V9" i="2"/>
  <c r="AB10" i="2"/>
  <c r="AA9" i="2"/>
  <c r="W11" i="2"/>
  <c r="S9" i="2"/>
  <c r="W5" i="3"/>
  <c r="S12" i="2"/>
  <c r="S5" i="2"/>
  <c r="M16" i="3"/>
  <c r="M28" i="4" s="1"/>
  <c r="R13" i="2"/>
  <c r="J16" i="3"/>
  <c r="J28" i="4" s="1"/>
  <c r="X13" i="2"/>
  <c r="E16" i="3"/>
  <c r="E28" i="4" s="1"/>
  <c r="I16" i="3"/>
  <c r="I28" i="4" s="1"/>
  <c r="G2" i="4"/>
  <c r="T9" i="2"/>
  <c r="AA8" i="2"/>
  <c r="W10" i="2"/>
  <c r="S8" i="2"/>
  <c r="R10" i="2"/>
  <c r="N16" i="3"/>
  <c r="N28" i="4" s="1"/>
  <c r="AA13" i="2"/>
  <c r="W7" i="2"/>
  <c r="S13" i="2"/>
  <c r="T7" i="2"/>
  <c r="AB8" i="2"/>
  <c r="AB11" i="2"/>
  <c r="AB13" i="2"/>
  <c r="Z13" i="2"/>
  <c r="Z9" i="2"/>
  <c r="V10" i="2"/>
  <c r="R12" i="2"/>
  <c r="R8" i="2"/>
  <c r="AB7" i="2"/>
  <c r="AB9" i="2"/>
  <c r="AB12" i="2"/>
  <c r="H16" i="3"/>
  <c r="H28" i="4" s="1"/>
  <c r="Z11" i="2"/>
  <c r="V12" i="2"/>
  <c r="F16" i="3"/>
  <c r="X8" i="2"/>
  <c r="X9" i="2"/>
  <c r="X12" i="2"/>
  <c r="T12" i="2"/>
  <c r="T10" i="2"/>
  <c r="X7" i="2"/>
  <c r="AA11" i="2"/>
  <c r="AA7" i="2"/>
  <c r="W13" i="2"/>
  <c r="W9" i="2"/>
  <c r="S11" i="2"/>
  <c r="S7" i="2"/>
  <c r="T11" i="2"/>
  <c r="T13" i="2"/>
  <c r="X10" i="2"/>
  <c r="AA10" i="2"/>
  <c r="W12" i="2"/>
  <c r="W8" i="2"/>
  <c r="T8" i="2"/>
  <c r="S10" i="2"/>
  <c r="G2" i="3"/>
  <c r="AD23" i="4" l="1"/>
  <c r="AD19" i="4"/>
  <c r="AD15" i="4"/>
  <c r="AD11" i="4"/>
  <c r="AD7" i="4"/>
  <c r="AD22" i="4"/>
  <c r="AD18" i="4"/>
  <c r="AD14" i="4"/>
  <c r="AD10" i="4"/>
  <c r="AD25" i="4"/>
  <c r="AD21" i="4"/>
  <c r="AD17" i="4"/>
  <c r="AD13" i="4"/>
  <c r="AD9" i="4"/>
  <c r="AD24" i="4"/>
  <c r="AD20" i="4"/>
  <c r="AD16" i="4"/>
  <c r="AD12" i="4"/>
  <c r="R14" i="3"/>
  <c r="V14" i="3"/>
  <c r="AD7" i="3"/>
  <c r="U14" i="3"/>
  <c r="AC14" i="2"/>
  <c r="R14" i="2"/>
  <c r="U14" i="2"/>
  <c r="T14" i="2"/>
  <c r="W14" i="2"/>
  <c r="Z14" i="2"/>
  <c r="S14" i="2"/>
  <c r="AA14" i="2"/>
  <c r="X14" i="2"/>
  <c r="AB14" i="2"/>
  <c r="Y14" i="2"/>
  <c r="V14" i="2"/>
  <c r="X14" i="3"/>
  <c r="AD10" i="3"/>
  <c r="AD11" i="3"/>
  <c r="Z14" i="3"/>
  <c r="Y26" i="4"/>
  <c r="AA26" i="4"/>
  <c r="U26" i="4"/>
  <c r="R26" i="4"/>
  <c r="W14" i="3"/>
  <c r="AA14" i="3"/>
  <c r="X26" i="4"/>
  <c r="AD13" i="3"/>
  <c r="T14" i="3"/>
  <c r="AD7" i="2"/>
  <c r="AD12" i="3"/>
  <c r="AD9" i="3"/>
  <c r="Y14" i="3"/>
  <c r="AD8" i="3"/>
  <c r="AD12" i="2"/>
  <c r="T26" i="4"/>
  <c r="AD11" i="2"/>
  <c r="AB14" i="3"/>
  <c r="S14" i="3"/>
  <c r="AD13" i="2"/>
  <c r="P16" i="3"/>
  <c r="T16" i="3" s="1"/>
  <c r="AD10" i="2"/>
  <c r="AD9" i="2"/>
  <c r="AD8" i="2"/>
  <c r="F28" i="4"/>
  <c r="AD26" i="4" l="1"/>
  <c r="AD14" i="3"/>
  <c r="AD14" i="2"/>
  <c r="S16" i="3"/>
  <c r="U16" i="3"/>
  <c r="AB16" i="3"/>
  <c r="AC16" i="3"/>
  <c r="Y16" i="3"/>
  <c r="AA16" i="3"/>
  <c r="V16" i="3"/>
  <c r="W16" i="3"/>
  <c r="R16" i="3"/>
  <c r="AD16" i="3"/>
  <c r="X16" i="3"/>
  <c r="Z16" i="3"/>
  <c r="P28" i="4"/>
  <c r="T28" i="4" s="1"/>
  <c r="S28" i="4" l="1"/>
  <c r="AB28" i="4"/>
  <c r="AD28" i="4"/>
  <c r="R28" i="4"/>
  <c r="AC28" i="4"/>
  <c r="AA28" i="4"/>
  <c r="W28" i="4"/>
  <c r="U28" i="4"/>
  <c r="Z28" i="4"/>
  <c r="V28" i="4"/>
  <c r="Y28" i="4"/>
  <c r="X28" i="4"/>
</calcChain>
</file>

<file path=xl/sharedStrings.xml><?xml version="1.0" encoding="utf-8"?>
<sst xmlns="http://schemas.openxmlformats.org/spreadsheetml/2006/main" count="161" uniqueCount="77">
  <si>
    <t>Nombre de la compañía</t>
  </si>
  <si>
    <t>Doce meses</t>
  </si>
  <si>
    <t>Proyección de pérdidas y beneficios</t>
  </si>
  <si>
    <t>INGRESOS (VENTAS)</t>
  </si>
  <si>
    <t>Ingresos 1</t>
  </si>
  <si>
    <t>Ingresos 2</t>
  </si>
  <si>
    <t>Ingresos 3</t>
  </si>
  <si>
    <t>Ingresos 4</t>
  </si>
  <si>
    <t>Ingresos 5</t>
  </si>
  <si>
    <t>Ingresos 6</t>
  </si>
  <si>
    <t>Ingresos 7</t>
  </si>
  <si>
    <t>VENTAS TOTALES</t>
  </si>
  <si>
    <t>TENDENCIA</t>
  </si>
  <si>
    <t>Ene</t>
  </si>
  <si>
    <t>Inicio del año fiscal:</t>
  </si>
  <si>
    <t>Feb</t>
  </si>
  <si>
    <t>ENE</t>
  </si>
  <si>
    <t>Mar</t>
  </si>
  <si>
    <t>Abr</t>
  </si>
  <si>
    <t>May</t>
  </si>
  <si>
    <t>Jun</t>
  </si>
  <si>
    <t>Jul</t>
  </si>
  <si>
    <t>Ago</t>
  </si>
  <si>
    <t>Sep</t>
  </si>
  <si>
    <t>Oct</t>
  </si>
  <si>
    <t>Nov</t>
  </si>
  <si>
    <t>Dic</t>
  </si>
  <si>
    <t>ANUALMENTE</t>
  </si>
  <si>
    <t>Anualmente</t>
  </si>
  <si>
    <t>PORCENTAJE DE IND</t>
  </si>
  <si>
    <t>Porcentaje de índice</t>
  </si>
  <si>
    <t>Porcentaje de ene</t>
  </si>
  <si>
    <t>Porcentaje de feb</t>
  </si>
  <si>
    <t>Porcentaje de mar</t>
  </si>
  <si>
    <t>Porcentaje de abr</t>
  </si>
  <si>
    <t>Porcentaje de may</t>
  </si>
  <si>
    <t>Porcentaje de jun</t>
  </si>
  <si>
    <t>Porcentaje de jul</t>
  </si>
  <si>
    <t>Porcentaje de ago</t>
  </si>
  <si>
    <t>Porcentaje de sep</t>
  </si>
  <si>
    <t>Porcentaje de oct</t>
  </si>
  <si>
    <t>Porcentaje de nov</t>
  </si>
  <si>
    <t>Porcentaje de dic</t>
  </si>
  <si>
    <t>PORCENTAJE ANUAL</t>
  </si>
  <si>
    <t>Porcentaje anual</t>
  </si>
  <si>
    <t>COSTO DE VENTAS</t>
  </si>
  <si>
    <t>Costo 1</t>
  </si>
  <si>
    <t>Costo 2</t>
  </si>
  <si>
    <t>Costo 3</t>
  </si>
  <si>
    <t>Costo 4</t>
  </si>
  <si>
    <t>Costo 5</t>
  </si>
  <si>
    <t>Costo 6</t>
  </si>
  <si>
    <t>Costo 7</t>
  </si>
  <si>
    <t>COSTO DE VENTAS TOTAL</t>
  </si>
  <si>
    <t>Beneficio bruto</t>
  </si>
  <si>
    <t>Año fiscal:</t>
  </si>
  <si>
    <t>GASTOS</t>
  </si>
  <si>
    <t xml:space="preserve">Gastos de salarios </t>
  </si>
  <si>
    <t xml:space="preserve">Gastos de nóminas </t>
  </si>
  <si>
    <t>Servicios externos</t>
  </si>
  <si>
    <t>Suministros (oficina y operativos)</t>
  </si>
  <si>
    <t>Reparaciones y mantenimiento</t>
  </si>
  <si>
    <t>Publicidad</t>
  </si>
  <si>
    <t>Coches, entregas y viajes</t>
  </si>
  <si>
    <t>Legal y contabilidad</t>
  </si>
  <si>
    <t>Alquiler</t>
  </si>
  <si>
    <t>Teléfono</t>
  </si>
  <si>
    <t>Servicios públicos</t>
  </si>
  <si>
    <t>Seguro</t>
  </si>
  <si>
    <t>Impuestos (inmobiliarios, etcétera).</t>
  </si>
  <si>
    <t>Intereses</t>
  </si>
  <si>
    <t>Amortización</t>
  </si>
  <si>
    <t>Otros gastos (especificar)</t>
  </si>
  <si>
    <t>Varios (no especificado)</t>
  </si>
  <si>
    <t>GASTOS TOTALES</t>
  </si>
  <si>
    <t>Beneficio neto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</si>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</sst>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_-&quot;$&quot;* #,##0_-;\-&quot;$&quot;* #,##0_-;_-&quot;$&quot;* &quot;-&quot;_-;_-@_-"/>
    <numFmt numFmtId="167" formatCode=";;;"/>
    <numFmt numFmtId="168" formatCode="[$-409]mmm\-yy;@"/>
    <numFmt numFmtId="169" formatCode="[$-80A]d&quot; de &quot;mmmm&quot; de &quot;yyyy;@"/>
  </numFmts>
  <fonts count="44" x14ac:knownFonts="1">
    <font>
      <sz val="11"/>
      <color theme="1"/>
      <name val="Cambria"/>
      <family val="2"/>
      <scheme val="minor"/>
    </font>
    <font>
      <sz val="11"/>
      <color theme="1"/>
      <name val="Cambria"/>
      <family val="2"/>
      <scheme val="minor"/>
    </font>
    <font>
      <b/>
      <sz val="12"/>
      <color theme="0"/>
      <name val="Cambria"/>
      <family val="2"/>
      <scheme val="minor"/>
    </font>
    <font>
      <b/>
      <sz val="12"/>
      <color theme="8"/>
      <name val="Calibri"/>
      <family val="1"/>
      <scheme val="major"/>
    </font>
    <font>
      <sz val="10"/>
      <color theme="1"/>
      <name val="Cambria"/>
      <family val="2"/>
      <scheme val="minor"/>
    </font>
    <font>
      <b/>
      <sz val="26"/>
      <color theme="3"/>
      <name val="Cambria"/>
      <family val="2"/>
      <scheme val="minor"/>
    </font>
    <font>
      <b/>
      <sz val="22"/>
      <color theme="3"/>
      <name val="Cambria"/>
      <family val="2"/>
      <scheme val="minor"/>
    </font>
    <font>
      <b/>
      <sz val="12"/>
      <color theme="3"/>
      <name val="Cambria"/>
      <family val="2"/>
      <scheme val="minor"/>
    </font>
    <font>
      <b/>
      <i/>
      <sz val="22"/>
      <color theme="7"/>
      <name val="Calibri"/>
      <family val="1"/>
      <scheme val="major"/>
    </font>
    <font>
      <b/>
      <sz val="11"/>
      <color theme="8"/>
      <name val="Cambria"/>
      <family val="2"/>
      <scheme val="minor"/>
    </font>
    <font>
      <b/>
      <sz val="11"/>
      <color theme="0"/>
      <name val="Cambria"/>
      <family val="2"/>
      <scheme val="minor"/>
    </font>
    <font>
      <sz val="11"/>
      <color theme="3"/>
      <name val="Calibri"/>
      <family val="1"/>
      <scheme val="major"/>
    </font>
    <font>
      <sz val="11"/>
      <name val="Cambria"/>
      <family val="2"/>
      <scheme val="minor"/>
    </font>
    <font>
      <b/>
      <i/>
      <sz val="16"/>
      <color theme="7" tint="-0.24994659260841701"/>
      <name val="Calibri"/>
      <family val="1"/>
      <scheme val="major"/>
    </font>
    <font>
      <b/>
      <i/>
      <sz val="22"/>
      <color theme="7" tint="-0.24994659260841701"/>
      <name val="Calibri"/>
      <family val="1"/>
      <scheme val="major"/>
    </font>
    <font>
      <sz val="22"/>
      <color theme="3"/>
      <name val="Cambria"/>
      <family val="2"/>
      <charset val="238"/>
      <scheme val="minor"/>
    </font>
    <font>
      <b/>
      <sz val="11"/>
      <color theme="1"/>
      <name val="Calibri"/>
      <family val="2"/>
      <charset val="238"/>
      <scheme val="major"/>
    </font>
    <font>
      <sz val="11"/>
      <color theme="0"/>
      <name val="Cambria"/>
      <family val="2"/>
      <scheme val="minor"/>
    </font>
    <font>
      <b/>
      <sz val="11"/>
      <color theme="0"/>
      <name val="Cambria"/>
      <family val="1"/>
      <charset val="238"/>
      <scheme val="minor"/>
    </font>
    <font>
      <b/>
      <sz val="12"/>
      <color theme="1"/>
      <name val="Cambria"/>
      <family val="1"/>
      <charset val="238"/>
      <scheme val="minor"/>
    </font>
    <font>
      <sz val="11"/>
      <color theme="4" tint="-0.499984740745262"/>
      <name val="Cambria"/>
      <family val="1"/>
      <charset val="238"/>
      <scheme val="minor"/>
    </font>
    <font>
      <sz val="22"/>
      <color theme="1"/>
      <name val="Cambria"/>
      <family val="2"/>
      <charset val="238"/>
      <scheme val="minor"/>
    </font>
    <font>
      <sz val="24"/>
      <color theme="1"/>
      <name val="Calibri"/>
      <family val="2"/>
      <charset val="238"/>
      <scheme val="major"/>
    </font>
    <font>
      <i/>
      <sz val="16"/>
      <color theme="5" tint="-0.499984740745262"/>
      <name val="Cambria"/>
      <family val="1"/>
      <charset val="238"/>
      <scheme val="minor"/>
    </font>
    <font>
      <sz val="11"/>
      <color theme="5" tint="-0.499984740745262"/>
      <name val="Cambria"/>
      <family val="1"/>
      <charset val="238"/>
      <scheme val="minor"/>
    </font>
    <font>
      <i/>
      <sz val="11"/>
      <color theme="5" tint="-0.499984740745262"/>
      <name val="Cambria"/>
      <family val="1"/>
      <charset val="238"/>
      <scheme val="minor"/>
    </font>
    <font>
      <i/>
      <sz val="16"/>
      <color theme="4" tint="-0.499984740745262"/>
      <name val="Cambria"/>
      <family val="1"/>
      <charset val="238"/>
      <scheme val="minor"/>
    </font>
    <font>
      <i/>
      <sz val="11"/>
      <color theme="4" tint="-0.499984740745262"/>
      <name val="Cambria"/>
      <family val="1"/>
      <charset val="238"/>
      <scheme val="minor"/>
    </font>
    <font>
      <i/>
      <sz val="16"/>
      <color theme="9" tint="-0.499984740745262"/>
      <name val="Cambria"/>
      <family val="1"/>
      <charset val="238"/>
      <scheme val="minor"/>
    </font>
    <font>
      <sz val="11"/>
      <color theme="9" tint="-0.499984740745262"/>
      <name val="Cambria"/>
      <family val="1"/>
      <charset val="238"/>
      <scheme val="minor"/>
    </font>
    <font>
      <i/>
      <sz val="11"/>
      <color theme="9" tint="-0.499984740745262"/>
      <name val="Cambria"/>
      <family val="1"/>
      <charset val="238"/>
      <scheme val="minor"/>
    </font>
    <font>
      <b/>
      <sz val="11"/>
      <color theme="1"/>
      <name val="Calibri"/>
      <family val="2"/>
      <scheme val="major"/>
    </font>
    <font>
      <b/>
      <sz val="12"/>
      <color theme="1"/>
      <name val="Cambria"/>
      <family val="1"/>
      <scheme val="minor"/>
    </font>
    <font>
      <b/>
      <sz val="12"/>
      <color theme="1"/>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9">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
      <patternFill patternType="solid">
        <fgColor theme="0"/>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
      <left/>
      <right/>
      <top/>
      <bottom style="thin">
        <color theme="0" tint="-0.249977111117893"/>
      </bottom>
      <diagonal/>
    </border>
    <border>
      <left/>
      <right/>
      <top style="thin">
        <color theme="0" tint="-0.249977111117893"/>
      </top>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style="thin">
        <color theme="5" tint="-0.249977111117893"/>
      </left>
      <right style="thin">
        <color theme="5" tint="-0.249977111117893"/>
      </right>
      <top/>
      <bottom style="thin">
        <color theme="5" tint="-0.249977111117893"/>
      </bottom>
      <diagonal/>
    </border>
    <border>
      <left/>
      <right style="thin">
        <color theme="5" tint="-0.249977111117893"/>
      </right>
      <top style="thin">
        <color theme="5" tint="-0.249977111117893"/>
      </top>
      <bottom/>
      <diagonal/>
    </border>
    <border>
      <left style="thin">
        <color theme="5" tint="-0.249977111117893"/>
      </left>
      <right/>
      <top/>
      <bottom/>
      <diagonal/>
    </border>
    <border>
      <left/>
      <right style="thin">
        <color theme="5" tint="-0.249977111117893"/>
      </right>
      <top/>
      <bottom/>
      <diagonal/>
    </border>
    <border>
      <left style="thin">
        <color theme="5" tint="-0.249977111117893"/>
      </left>
      <right/>
      <top/>
      <bottom style="thin">
        <color theme="5" tint="-0.249977111117893"/>
      </bottom>
      <diagonal/>
    </border>
    <border>
      <left/>
      <right/>
      <top/>
      <bottom style="thin">
        <color theme="5" tint="-0.249977111117893"/>
      </bottom>
      <diagonal/>
    </border>
    <border>
      <left/>
      <right style="thin">
        <color theme="5" tint="-0.249977111117893"/>
      </right>
      <top/>
      <bottom style="thin">
        <color theme="5" tint="-0.249977111117893"/>
      </bottom>
      <diagonal/>
    </border>
    <border>
      <left style="dotted">
        <color theme="5" tint="0.39997558519241921"/>
      </left>
      <right style="dotted">
        <color theme="5" tint="0.39997558519241921"/>
      </right>
      <top/>
      <bottom/>
      <diagonal/>
    </border>
    <border>
      <left style="thin">
        <color theme="5" tint="-0.249977111117893"/>
      </left>
      <right style="dotted">
        <color theme="5" tint="0.39997558519241921"/>
      </right>
      <top style="thin">
        <color theme="5" tint="-0.249977111117893"/>
      </top>
      <bottom/>
      <diagonal/>
    </border>
    <border>
      <left style="dotted">
        <color theme="5" tint="0.39997558519241921"/>
      </left>
      <right style="dotted">
        <color theme="5" tint="0.39997558519241921"/>
      </right>
      <top style="thin">
        <color theme="5"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dotted">
        <color theme="4" tint="0.39997558519241921"/>
      </left>
      <right style="dotted">
        <color theme="4" tint="0.39997558519241921"/>
      </right>
      <top/>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dotted">
        <color theme="4" tint="0.39997558519241921"/>
      </right>
      <top style="thin">
        <color theme="4" tint="-0.249977111117893"/>
      </top>
      <bottom/>
      <diagonal/>
    </border>
    <border>
      <left style="dotted">
        <color theme="4" tint="0.39997558519241921"/>
      </left>
      <right style="dotted">
        <color theme="4" tint="0.39997558519241921"/>
      </right>
      <top style="thin">
        <color theme="4" tint="-0.249977111117893"/>
      </top>
      <bottom/>
      <diagonal/>
    </border>
    <border>
      <left style="dotted">
        <color theme="4" tint="0.39997558519241921"/>
      </left>
      <right style="thin">
        <color theme="4" tint="-0.249977111117893"/>
      </right>
      <top style="thin">
        <color theme="4" tint="-0.249977111117893"/>
      </top>
      <bottom/>
      <diagonal/>
    </border>
    <border>
      <left style="thin">
        <color theme="0"/>
      </left>
      <right style="thin">
        <color theme="0"/>
      </right>
      <top style="thin">
        <color theme="0"/>
      </top>
      <bottom style="thin">
        <color theme="0"/>
      </bottom>
      <diagonal/>
    </border>
    <border>
      <left style="dotted">
        <color theme="6" tint="0.59999389629810485"/>
      </left>
      <right style="dotted">
        <color theme="6" tint="0.59999389629810485"/>
      </right>
      <top/>
      <bottom/>
      <diagonal/>
    </border>
    <border>
      <left style="thin">
        <color theme="9" tint="-0.499984740745262"/>
      </left>
      <right style="dotted">
        <color theme="6" tint="0.59999389629810485"/>
      </right>
      <top style="thin">
        <color theme="9" tint="-0.499984740745262"/>
      </top>
      <bottom/>
      <diagonal/>
    </border>
    <border>
      <left style="dotted">
        <color theme="6" tint="0.59999389629810485"/>
      </left>
      <right style="dotted">
        <color theme="6" tint="0.59999389629810485"/>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xf numFmtId="9" fontId="12" fillId="0" borderId="0" applyFill="0" applyBorder="0" applyProtection="0">
      <alignment horizontal="right"/>
    </xf>
    <xf numFmtId="0" fontId="6" fillId="0" borderId="0" applyNumberFormat="0" applyFill="0" applyBorder="0" applyProtection="0">
      <alignment vertical="center"/>
    </xf>
    <xf numFmtId="0" fontId="13" fillId="0" borderId="3" applyProtection="0">
      <alignment vertical="center"/>
    </xf>
    <xf numFmtId="43" fontId="1" fillId="0" borderId="0" applyFont="0" applyFill="0" applyBorder="0" applyAlignment="0" applyProtection="0"/>
    <xf numFmtId="41" fontId="1" fillId="0" borderId="0" applyFont="0" applyFill="0" applyBorder="0" applyAlignment="0" applyProtection="0"/>
    <xf numFmtId="166" fontId="12" fillId="0" borderId="0" applyFill="0" applyBorder="0" applyAlignment="0" applyProtection="0"/>
    <xf numFmtId="0" fontId="1" fillId="4" borderId="1" applyNumberFormat="0" applyFont="0" applyAlignment="0" applyProtection="0"/>
    <xf numFmtId="0" fontId="2" fillId="2" borderId="0">
      <alignment horizontal="right" vertical="center" indent="1"/>
    </xf>
    <xf numFmtId="166" fontId="10" fillId="2" borderId="0" applyBorder="0" applyAlignment="0" applyProtection="0"/>
    <xf numFmtId="9" fontId="10" fillId="2" borderId="0" applyBorder="0" applyAlignment="0" applyProtection="0"/>
    <xf numFmtId="0" fontId="1" fillId="0" borderId="0">
      <alignment horizontal="right" wrapText="1" indent="1"/>
    </xf>
    <xf numFmtId="0" fontId="14" fillId="0" borderId="0" applyFill="0" applyProtection="0">
      <alignment horizontal="right" vertical="center"/>
    </xf>
    <xf numFmtId="0" fontId="3" fillId="0" borderId="0" applyFill="0" applyProtection="0">
      <alignment horizontal="right" vertical="center"/>
    </xf>
    <xf numFmtId="168" fontId="11" fillId="0" borderId="2" applyFill="0" applyProtection="0">
      <alignment horizontal="center" vertical="center"/>
    </xf>
    <xf numFmtId="0" fontId="7" fillId="0" borderId="0">
      <alignment horizontal="right" indent="1"/>
    </xf>
    <xf numFmtId="166" fontId="1" fillId="5" borderId="0" applyFont="0" applyAlignment="0">
      <alignment horizontal="center"/>
    </xf>
    <xf numFmtId="164" fontId="12" fillId="3" borderId="4" applyNumberFormat="0" applyFont="0" applyAlignment="0"/>
    <xf numFmtId="164" fontId="12" fillId="6" borderId="4" applyNumberFormat="0" applyFont="0" applyAlignment="0"/>
    <xf numFmtId="165" fontId="1" fillId="0" borderId="0" applyFont="0" applyFill="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7" fillId="12" borderId="42" applyNumberFormat="0" applyAlignment="0" applyProtection="0"/>
    <xf numFmtId="0" fontId="38" fillId="13" borderId="43" applyNumberFormat="0" applyAlignment="0" applyProtection="0"/>
    <xf numFmtId="0" fontId="39" fillId="13" borderId="42" applyNumberFormat="0" applyAlignment="0" applyProtection="0"/>
    <xf numFmtId="0" fontId="40" fillId="0" borderId="44" applyNumberFormat="0" applyFill="0" applyAlignment="0" applyProtection="0"/>
    <xf numFmtId="0" fontId="10" fillId="14" borderId="4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46" applyNumberFormat="0" applyFill="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02">
    <xf numFmtId="0" fontId="0" fillId="0" borderId="0" xfId="0"/>
    <xf numFmtId="0" fontId="5" fillId="0" borderId="0" xfId="0" applyFont="1" applyAlignment="1">
      <alignment vertical="center"/>
    </xf>
    <xf numFmtId="0" fontId="9" fillId="0" borderId="0" xfId="0" applyFont="1"/>
    <xf numFmtId="0" fontId="8" fillId="0" borderId="0" xfId="0" applyFont="1" applyAlignment="1">
      <alignment horizontal="right" vertical="center"/>
    </xf>
    <xf numFmtId="0" fontId="2" fillId="2" borderId="0" xfId="8">
      <alignment horizontal="right" vertical="center" indent="1"/>
    </xf>
    <xf numFmtId="0" fontId="0" fillId="0" borderId="0" xfId="0" applyAlignment="1">
      <alignment horizontal="center"/>
    </xf>
    <xf numFmtId="0" fontId="14" fillId="0" borderId="0" xfId="12">
      <alignment horizontal="right" vertical="center"/>
    </xf>
    <xf numFmtId="0" fontId="3" fillId="0" borderId="0" xfId="13">
      <alignment horizontal="right" vertical="center"/>
    </xf>
    <xf numFmtId="167" fontId="0" fillId="0" borderId="0" xfId="0" applyNumberFormat="1" applyAlignment="1">
      <alignment horizontal="center"/>
    </xf>
    <xf numFmtId="9" fontId="0" fillId="0" borderId="0" xfId="0" applyNumberFormat="1" applyAlignment="1">
      <alignment horizontal="right" vertical="center" shrinkToFit="1"/>
    </xf>
    <xf numFmtId="0" fontId="0" fillId="0" borderId="5" xfId="0" applyBorder="1"/>
    <xf numFmtId="0" fontId="5" fillId="0" borderId="5" xfId="0" applyFont="1" applyBorder="1" applyAlignment="1">
      <alignment vertical="center"/>
    </xf>
    <xf numFmtId="0" fontId="9" fillId="0" borderId="5" xfId="0" applyFont="1" applyBorder="1"/>
    <xf numFmtId="0" fontId="1" fillId="0" borderId="0" xfId="11" applyAlignment="1">
      <alignment horizontal="right" vertical="center" wrapText="1" indent="1"/>
    </xf>
    <xf numFmtId="0" fontId="4" fillId="0" borderId="0" xfId="16" applyNumberFormat="1" applyFont="1" applyFill="1" applyAlignment="1">
      <alignment horizontal="center" vertical="center"/>
    </xf>
    <xf numFmtId="0" fontId="5" fillId="0" borderId="6" xfId="0" applyFont="1" applyBorder="1" applyAlignment="1">
      <alignment vertical="center"/>
    </xf>
    <xf numFmtId="0" fontId="0" fillId="0" borderId="6" xfId="0" applyBorder="1"/>
    <xf numFmtId="0" fontId="0" fillId="0" borderId="0" xfId="0" applyAlignment="1">
      <alignment horizontal="right" vertical="center" indent="1"/>
    </xf>
    <xf numFmtId="167" fontId="0" fillId="0" borderId="8" xfId="0" applyNumberFormat="1" applyBorder="1" applyAlignment="1">
      <alignment horizontal="center"/>
    </xf>
    <xf numFmtId="167" fontId="0" fillId="0" borderId="11" xfId="0" applyNumberFormat="1" applyBorder="1" applyAlignment="1">
      <alignment horizontal="center"/>
    </xf>
    <xf numFmtId="167" fontId="0" fillId="0" borderId="12" xfId="0" applyNumberFormat="1" applyBorder="1" applyAlignment="1">
      <alignment horizontal="center"/>
    </xf>
    <xf numFmtId="9" fontId="0" fillId="0" borderId="13" xfId="0" applyNumberFormat="1" applyBorder="1" applyAlignment="1">
      <alignment horizontal="right" vertical="center" shrinkToFit="1"/>
    </xf>
    <xf numFmtId="9" fontId="0" fillId="0" borderId="14" xfId="0" applyNumberFormat="1" applyBorder="1" applyAlignment="1">
      <alignment horizontal="right" vertical="center" shrinkToFit="1"/>
    </xf>
    <xf numFmtId="9" fontId="0" fillId="0" borderId="15" xfId="0" applyNumberFormat="1" applyBorder="1" applyAlignment="1">
      <alignment vertical="center" shrinkToFit="1"/>
    </xf>
    <xf numFmtId="0" fontId="0" fillId="0" borderId="0" xfId="0" applyAlignment="1">
      <alignment horizontal="right" vertical="center" wrapText="1" indent="1"/>
    </xf>
    <xf numFmtId="167" fontId="0" fillId="0" borderId="19" xfId="0" applyNumberFormat="1" applyBorder="1" applyAlignment="1">
      <alignment horizontal="center"/>
    </xf>
    <xf numFmtId="167" fontId="0" fillId="0" borderId="20" xfId="0" applyNumberFormat="1" applyBorder="1" applyAlignment="1">
      <alignment horizontal="center"/>
    </xf>
    <xf numFmtId="9" fontId="0" fillId="0" borderId="21" xfId="0" applyNumberFormat="1" applyBorder="1" applyAlignment="1">
      <alignment horizontal="right" vertical="center" shrinkToFit="1"/>
    </xf>
    <xf numFmtId="9" fontId="0" fillId="0" borderId="22" xfId="0" applyNumberFormat="1" applyBorder="1" applyAlignment="1">
      <alignment horizontal="right" vertical="center" shrinkToFit="1"/>
    </xf>
    <xf numFmtId="9" fontId="0" fillId="0" borderId="23" xfId="0" applyNumberFormat="1" applyBorder="1" applyAlignment="1">
      <alignment vertical="center" shrinkToFit="1"/>
    </xf>
    <xf numFmtId="0" fontId="15" fillId="0" borderId="0" xfId="2" applyFont="1">
      <alignment vertical="center"/>
    </xf>
    <xf numFmtId="0" fontId="0" fillId="0" borderId="0" xfId="0" applyAlignment="1">
      <alignment horizontal="right" vertical="center" wrapText="1"/>
    </xf>
    <xf numFmtId="167" fontId="0" fillId="0" borderId="26" xfId="0" applyNumberFormat="1" applyBorder="1" applyAlignment="1">
      <alignment horizontal="center"/>
    </xf>
    <xf numFmtId="0" fontId="19" fillId="0" borderId="0" xfId="15" applyFont="1" applyAlignment="1">
      <alignment horizontal="center" vertical="center"/>
    </xf>
    <xf numFmtId="0" fontId="2" fillId="0" borderId="0" xfId="8" applyFill="1">
      <alignment horizontal="right" vertical="center" indent="1"/>
    </xf>
    <xf numFmtId="0" fontId="2" fillId="2" borderId="31" xfId="8" applyBorder="1">
      <alignment horizontal="right" vertical="center" indent="1"/>
    </xf>
    <xf numFmtId="0" fontId="20" fillId="0" borderId="0" xfId="0" applyFont="1"/>
    <xf numFmtId="0" fontId="21" fillId="0" borderId="5" xfId="2" applyFont="1" applyBorder="1">
      <alignment vertical="center"/>
    </xf>
    <xf numFmtId="0" fontId="22" fillId="0" borderId="5" xfId="12" applyFont="1" applyBorder="1" applyAlignment="1">
      <alignment horizontal="left" vertical="center"/>
    </xf>
    <xf numFmtId="0" fontId="18" fillId="8" borderId="0" xfId="8" applyFont="1" applyFill="1">
      <alignment horizontal="right" vertical="center" indent="1"/>
    </xf>
    <xf numFmtId="0" fontId="2" fillId="8" borderId="0" xfId="8" applyFill="1">
      <alignment horizontal="right" vertical="center" indent="1"/>
    </xf>
    <xf numFmtId="0" fontId="23" fillId="0" borderId="0" xfId="3" applyFont="1" applyBorder="1">
      <alignment vertical="center"/>
    </xf>
    <xf numFmtId="0" fontId="24" fillId="0" borderId="0" xfId="0" applyFont="1"/>
    <xf numFmtId="0" fontId="25" fillId="0" borderId="0" xfId="13" applyFont="1">
      <alignment horizontal="right" vertical="center"/>
    </xf>
    <xf numFmtId="0" fontId="25" fillId="0" borderId="0" xfId="13" applyFont="1" applyAlignment="1">
      <alignment horizontal="center" vertical="center" wrapText="1"/>
    </xf>
    <xf numFmtId="0" fontId="26" fillId="0" borderId="0" xfId="3" applyFont="1" applyBorder="1">
      <alignment vertical="center"/>
    </xf>
    <xf numFmtId="0" fontId="27" fillId="0" borderId="0" xfId="13" applyFont="1">
      <alignment horizontal="right" vertical="center"/>
    </xf>
    <xf numFmtId="0" fontId="27" fillId="0" borderId="0" xfId="13" applyFont="1" applyAlignment="1">
      <alignment horizontal="center" vertical="center" wrapText="1"/>
    </xf>
    <xf numFmtId="0" fontId="28" fillId="0" borderId="0" xfId="3" applyFont="1" applyBorder="1">
      <alignment vertical="center"/>
    </xf>
    <xf numFmtId="0" fontId="29" fillId="0" borderId="0" xfId="0" applyFont="1"/>
    <xf numFmtId="0" fontId="30" fillId="0" borderId="0" xfId="13" applyFont="1">
      <alignment horizontal="right" vertical="center"/>
    </xf>
    <xf numFmtId="0" fontId="30" fillId="0" borderId="0" xfId="13" applyFont="1" applyAlignment="1">
      <alignment horizontal="center" vertical="center" wrapText="1"/>
    </xf>
    <xf numFmtId="0" fontId="32" fillId="0" borderId="0" xfId="15" applyFont="1" applyAlignment="1">
      <alignment horizontal="center" vertical="center"/>
    </xf>
    <xf numFmtId="0" fontId="33" fillId="0" borderId="0" xfId="15" applyFont="1" applyAlignment="1">
      <alignment horizontal="center" vertical="center"/>
    </xf>
    <xf numFmtId="167" fontId="17" fillId="0" borderId="0" xfId="0" applyNumberFormat="1" applyFont="1"/>
    <xf numFmtId="167" fontId="17" fillId="0" borderId="39" xfId="0" applyNumberFormat="1" applyFont="1" applyBorder="1"/>
    <xf numFmtId="167" fontId="17" fillId="0" borderId="36" xfId="0" applyNumberFormat="1" applyFont="1" applyBorder="1"/>
    <xf numFmtId="167" fontId="17" fillId="0" borderId="37" xfId="0" applyNumberFormat="1" applyFont="1" applyBorder="1" applyAlignment="1">
      <alignment wrapText="1"/>
    </xf>
    <xf numFmtId="0" fontId="0" fillId="0" borderId="0" xfId="0" applyAlignment="1">
      <alignment horizontal="right" vertical="center"/>
    </xf>
    <xf numFmtId="9" fontId="0" fillId="0" borderId="0" xfId="0" applyNumberFormat="1" applyAlignment="1">
      <alignment vertical="center"/>
    </xf>
    <xf numFmtId="9" fontId="0" fillId="0" borderId="39" xfId="0" applyNumberFormat="1" applyBorder="1" applyAlignment="1">
      <alignment vertical="center"/>
    </xf>
    <xf numFmtId="9" fontId="0" fillId="0" borderId="41" xfId="0" applyNumberFormat="1" applyBorder="1" applyAlignment="1">
      <alignment vertical="center"/>
    </xf>
    <xf numFmtId="0" fontId="0" fillId="0" borderId="20" xfId="0" applyBorder="1"/>
    <xf numFmtId="166" fontId="12" fillId="0" borderId="0" xfId="6" applyAlignment="1">
      <alignment vertical="center"/>
    </xf>
    <xf numFmtId="166" fontId="12" fillId="0" borderId="8" xfId="6" applyBorder="1" applyAlignment="1">
      <alignment horizontal="center" vertical="center"/>
    </xf>
    <xf numFmtId="166" fontId="0" fillId="0" borderId="0" xfId="0" applyNumberFormat="1" applyAlignment="1">
      <alignment vertical="center" shrinkToFit="1"/>
    </xf>
    <xf numFmtId="166" fontId="0" fillId="0" borderId="9" xfId="0" applyNumberFormat="1" applyBorder="1" applyAlignment="1">
      <alignment vertical="center" shrinkToFit="1"/>
    </xf>
    <xf numFmtId="9" fontId="12" fillId="0" borderId="0" xfId="1" applyAlignment="1">
      <alignment horizontal="right" vertical="center"/>
    </xf>
    <xf numFmtId="9" fontId="12" fillId="0" borderId="11" xfId="1" applyBorder="1" applyAlignment="1">
      <alignment horizontal="right" vertical="center"/>
    </xf>
    <xf numFmtId="9" fontId="12" fillId="0" borderId="12" xfId="1" applyBorder="1" applyAlignment="1">
      <alignment horizontal="right" vertical="center"/>
    </xf>
    <xf numFmtId="166" fontId="12" fillId="0" borderId="26" xfId="6" applyBorder="1" applyAlignment="1">
      <alignment horizontal="center" vertical="center"/>
    </xf>
    <xf numFmtId="166" fontId="0" fillId="0" borderId="27" xfId="0" applyNumberFormat="1" applyBorder="1" applyAlignment="1">
      <alignment vertical="center" shrinkToFit="1"/>
    </xf>
    <xf numFmtId="166" fontId="10" fillId="2" borderId="31" xfId="9" applyBorder="1" applyAlignment="1">
      <alignment horizontal="right" vertical="center" indent="1"/>
    </xf>
    <xf numFmtId="9" fontId="12" fillId="0" borderId="20" xfId="1" applyBorder="1" applyAlignment="1">
      <alignment horizontal="right" vertical="center"/>
    </xf>
    <xf numFmtId="9" fontId="12" fillId="0" borderId="19" xfId="1" applyBorder="1" applyAlignment="1">
      <alignment horizontal="right" vertical="center"/>
    </xf>
    <xf numFmtId="9" fontId="10" fillId="2" borderId="31" xfId="10" applyBorder="1" applyAlignment="1">
      <alignment vertical="center"/>
    </xf>
    <xf numFmtId="166" fontId="12" fillId="0" borderId="39" xfId="6" applyBorder="1" applyAlignment="1">
      <alignment vertical="center"/>
    </xf>
    <xf numFmtId="166" fontId="12" fillId="0" borderId="0" xfId="6" applyAlignment="1">
      <alignment vertical="center" shrinkToFit="1"/>
    </xf>
    <xf numFmtId="166" fontId="12" fillId="0" borderId="39" xfId="6" applyBorder="1" applyAlignment="1">
      <alignment vertical="center" shrinkToFit="1"/>
    </xf>
    <xf numFmtId="166" fontId="0" fillId="0" borderId="40" xfId="0" applyNumberFormat="1" applyBorder="1" applyAlignment="1">
      <alignment vertical="center" shrinkToFit="1"/>
    </xf>
    <xf numFmtId="166" fontId="10" fillId="8" borderId="0" xfId="9" applyFill="1" applyAlignment="1">
      <alignment horizontal="right" vertical="center" indent="1"/>
    </xf>
    <xf numFmtId="9" fontId="10" fillId="8" borderId="0" xfId="10" applyFill="1" applyAlignment="1">
      <alignment horizontal="right" vertical="center" indent="1"/>
    </xf>
    <xf numFmtId="9" fontId="12" fillId="0" borderId="36" xfId="1" applyBorder="1" applyAlignment="1">
      <alignment horizontal="right" vertical="center"/>
    </xf>
    <xf numFmtId="9" fontId="12" fillId="0" borderId="37" xfId="1" applyBorder="1" applyAlignment="1">
      <alignment horizontal="right" vertical="center"/>
    </xf>
    <xf numFmtId="169" fontId="16" fillId="7" borderId="16" xfId="14" applyNumberFormat="1" applyFont="1" applyFill="1" applyBorder="1">
      <alignment horizontal="center" vertical="center"/>
    </xf>
    <xf numFmtId="169" fontId="16" fillId="7" borderId="12" xfId="14" applyNumberFormat="1" applyFont="1" applyFill="1" applyBorder="1">
      <alignment horizontal="center" vertical="center"/>
    </xf>
    <xf numFmtId="169" fontId="16" fillId="7" borderId="7" xfId="14" applyNumberFormat="1" applyFont="1" applyFill="1" applyBorder="1">
      <alignment horizontal="center" vertical="center"/>
    </xf>
    <xf numFmtId="169" fontId="16" fillId="7" borderId="0" xfId="14" applyNumberFormat="1" applyFont="1" applyFill="1" applyBorder="1">
      <alignment horizontal="center" vertical="center"/>
    </xf>
    <xf numFmtId="169" fontId="16" fillId="7" borderId="17" xfId="14" applyNumberFormat="1" applyFont="1" applyFill="1" applyBorder="1">
      <alignment horizontal="center" vertical="center"/>
    </xf>
    <xf numFmtId="169" fontId="16" fillId="7" borderId="18" xfId="14" applyNumberFormat="1" applyFont="1" applyFill="1" applyBorder="1">
      <alignment horizontal="center" vertical="center"/>
    </xf>
    <xf numFmtId="169" fontId="16" fillId="7" borderId="10" xfId="14" applyNumberFormat="1" applyFont="1" applyFill="1" applyBorder="1">
      <alignment horizontal="center" vertical="center"/>
    </xf>
    <xf numFmtId="169" fontId="16" fillId="7" borderId="24" xfId="14" applyNumberFormat="1" applyFont="1" applyFill="1" applyBorder="1">
      <alignment horizontal="center" vertical="center"/>
    </xf>
    <xf numFmtId="169" fontId="16" fillId="7" borderId="25" xfId="14" applyNumberFormat="1" applyFont="1" applyFill="1" applyBorder="1">
      <alignment horizontal="center" vertical="center"/>
    </xf>
    <xf numFmtId="169" fontId="16" fillId="7" borderId="28" xfId="14" applyNumberFormat="1" applyFont="1" applyFill="1" applyBorder="1">
      <alignment horizontal="center" vertical="center"/>
    </xf>
    <xf numFmtId="169" fontId="16" fillId="7" borderId="29" xfId="14" applyNumberFormat="1" applyFont="1" applyFill="1" applyBorder="1">
      <alignment horizontal="center" vertical="center"/>
    </xf>
    <xf numFmtId="169" fontId="16" fillId="7" borderId="30" xfId="14" applyNumberFormat="1" applyFont="1" applyFill="1" applyBorder="1">
      <alignment horizontal="center" vertical="center"/>
    </xf>
    <xf numFmtId="169" fontId="31" fillId="0" borderId="32" xfId="0" applyNumberFormat="1" applyFont="1" applyBorder="1" applyAlignment="1">
      <alignment horizontal="center" vertical="center"/>
    </xf>
    <xf numFmtId="169" fontId="31" fillId="0" borderId="0" xfId="0" applyNumberFormat="1" applyFont="1" applyAlignment="1">
      <alignment horizontal="center" vertical="center"/>
    </xf>
    <xf numFmtId="169" fontId="31" fillId="0" borderId="38" xfId="0" applyNumberFormat="1" applyFont="1" applyBorder="1" applyAlignment="1">
      <alignment horizontal="center" vertical="center"/>
    </xf>
    <xf numFmtId="169" fontId="31" fillId="0" borderId="33" xfId="0" applyNumberFormat="1" applyFont="1" applyBorder="1" applyAlignment="1">
      <alignment horizontal="center" vertical="center"/>
    </xf>
    <xf numFmtId="169" fontId="31" fillId="0" borderId="34" xfId="0" applyNumberFormat="1" applyFont="1" applyBorder="1" applyAlignment="1">
      <alignment horizontal="center" vertical="center"/>
    </xf>
    <xf numFmtId="169" fontId="31" fillId="0" borderId="35" xfId="0" applyNumberFormat="1" applyFont="1" applyBorder="1" applyAlignment="1">
      <alignment horizontal="center" vertical="center"/>
    </xf>
  </cellXfs>
  <cellStyles count="55">
    <cellStyle name="20% - 着色 1" xfId="32" builtinId="30" customBuiltin="1"/>
    <cellStyle name="20% - 着色 2" xfId="36" builtinId="34" customBuiltin="1"/>
    <cellStyle name="20% - 着色 3" xfId="40" builtinId="38" customBuiltin="1"/>
    <cellStyle name="20% - 着色 4" xfId="44" builtinId="42" customBuiltin="1"/>
    <cellStyle name="20% - 着色 5" xfId="48" builtinId="46" customBuiltin="1"/>
    <cellStyle name="20% - 着色 6" xfId="52" builtinId="50" customBuiltin="1"/>
    <cellStyle name="40% - 着色 1" xfId="33" builtinId="31" customBuiltin="1"/>
    <cellStyle name="40% - 着色 2" xfId="37" builtinId="35" customBuiltin="1"/>
    <cellStyle name="40% - 着色 3" xfId="41" builtinId="39" customBuiltin="1"/>
    <cellStyle name="40% - 着色 4" xfId="45" builtinId="43" customBuiltin="1"/>
    <cellStyle name="40% - 着色 5" xfId="49" builtinId="47" customBuiltin="1"/>
    <cellStyle name="40% - 着色 6" xfId="53" builtinId="51" customBuiltin="1"/>
    <cellStyle name="60% - 着色 1" xfId="34" builtinId="32" customBuiltin="1"/>
    <cellStyle name="60% - 着色 2" xfId="38" builtinId="36" customBuiltin="1"/>
    <cellStyle name="60% - 着色 3" xfId="42" builtinId="40" customBuiltin="1"/>
    <cellStyle name="60% - 着色 4" xfId="46" builtinId="44" customBuiltin="1"/>
    <cellStyle name="60% - 着色 5" xfId="50" builtinId="48" customBuiltin="1"/>
    <cellStyle name="60% - 着色 6" xfId="54" builtinId="52" customBuiltin="1"/>
    <cellStyle name="Beneficios" xfId="8" xr:uid="{00000000-0005-0000-0000-00000C000000}"/>
    <cellStyle name="Detalles de la tabla" xfId="11" xr:uid="{00000000-0005-0000-0000-000010000000}"/>
    <cellStyle name="Encabezado 1 de la tabla" xfId="15" xr:uid="{00000000-0005-0000-0000-000011000000}"/>
    <cellStyle name="Importe de beneficio" xfId="9" xr:uid="{00000000-0005-0000-0000-00000D000000}"/>
    <cellStyle name="Porcentaje de beneficio" xfId="10" xr:uid="{00000000-0005-0000-0000-00000E000000}"/>
    <cellStyle name="Relleno de Costo de ventas" xfId="17" xr:uid="{00000000-0005-0000-0000-000002000000}"/>
    <cellStyle name="Relleno de Gastos" xfId="18" xr:uid="{00000000-0005-0000-0000-000004000000}"/>
    <cellStyle name="Relleno de ingresos" xfId="16" xr:uid="{00000000-0005-0000-0000-00000F000000}"/>
    <cellStyle name="千位分隔" xfId="4" builtinId="3" customBuiltin="1"/>
    <cellStyle name="千位分隔[0]" xfId="5" builtinId="6" customBuiltin="1"/>
    <cellStyle name="好" xfId="20" builtinId="26" customBuiltin="1"/>
    <cellStyle name="差" xfId="21" builtinId="27" customBuiltin="1"/>
    <cellStyle name="常规" xfId="0" builtinId="0" customBuiltin="1"/>
    <cellStyle name="标题" xfId="2" builtinId="15" customBuiltin="1"/>
    <cellStyle name="标题 1" xfId="3" builtinId="16" customBuiltin="1"/>
    <cellStyle name="标题 2" xfId="12" builtinId="17" customBuiltin="1"/>
    <cellStyle name="标题 3" xfId="13" builtinId="18" customBuiltin="1"/>
    <cellStyle name="标题 4" xfId="14" builtinId="19" customBuiltin="1"/>
    <cellStyle name="检查单元格" xfId="27" builtinId="23" customBuiltin="1"/>
    <cellStyle name="汇总" xfId="30" builtinId="25" customBuiltin="1"/>
    <cellStyle name="注释" xfId="7" builtinId="10" customBuiltin="1"/>
    <cellStyle name="百分比" xfId="1" builtinId="5" customBuiltin="1"/>
    <cellStyle name="着色 1" xfId="31" builtinId="29" customBuiltin="1"/>
    <cellStyle name="着色 2" xfId="35" builtinId="33" customBuiltin="1"/>
    <cellStyle name="着色 3" xfId="39" builtinId="37" customBuiltin="1"/>
    <cellStyle name="着色 4" xfId="43" builtinId="41" customBuiltin="1"/>
    <cellStyle name="着色 5" xfId="47" builtinId="45" customBuiltin="1"/>
    <cellStyle name="着色 6" xfId="51" builtinId="49" customBuiltin="1"/>
    <cellStyle name="解释性文本" xfId="29" builtinId="53" customBuiltin="1"/>
    <cellStyle name="警告文本" xfId="28" builtinId="11" customBuiltin="1"/>
    <cellStyle name="计算" xfId="25" builtinId="22" customBuiltin="1"/>
    <cellStyle name="货币" xfId="19" builtinId="4" customBuiltin="1"/>
    <cellStyle name="货币[0]" xfId="6" builtinId="7" customBuiltin="1"/>
    <cellStyle name="输入" xfId="23" builtinId="20" customBuiltin="1"/>
    <cellStyle name="输出" xfId="24" builtinId="21" customBuiltin="1"/>
    <cellStyle name="适中" xfId="22" builtinId="28" customBuiltin="1"/>
    <cellStyle name="链接单元格" xfId="26" builtinId="24" customBuiltin="1"/>
  </cellStyles>
  <dxfs count="196">
    <dxf>
      <numFmt numFmtId="13" formatCode="0%"/>
      <alignment horizontal="general" vertical="center" textRotation="0" wrapText="0" indent="0" justifyLastLine="0" shrinkToFit="0" readingOrder="0"/>
      <border diagonalUp="0" diagonalDown="0" outline="0">
        <left/>
        <right style="thin">
          <color auto="1"/>
        </right>
        <top/>
        <bottom/>
      </border>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dxf>
    <dxf>
      <numFmt numFmtId="13" formatCode="0%"/>
      <alignment vertical="center" textRotation="0" wrapText="0" indent="0" justifyLastLine="0" readingOrder="0"/>
    </dxf>
    <dxf>
      <numFmt numFmtId="13" formatCode="0%"/>
      <alignment horizontal="general" vertical="center" textRotation="0" wrapText="0" indent="0" justifyLastLine="0" shrinkToFit="0" readingOrder="0"/>
      <border diagonalUp="0" diagonalDown="0" outline="0">
        <left style="thin">
          <color theme="9" tint="-0.499984740745262"/>
        </left>
        <right style="thin">
          <color theme="9" tint="-0.499984740745262"/>
        </right>
        <top/>
        <bottom/>
      </border>
    </dxf>
    <dxf>
      <numFmt numFmtId="13" formatCode="0%"/>
    </dxf>
    <dxf>
      <numFmt numFmtId="166" formatCode="_-&quot;$&quot;* #,##0_-;\-&quot;$&quot;* #,##0_-;_-&quot;$&quot;* &quot;-&quot;_-;_-@_-"/>
      <alignment horizontal="general" vertical="center" textRotation="0" wrapText="0" indent="0" justifyLastLine="0" shrinkToFit="1" readingOrder="0"/>
      <border diagonalUp="0" diagonalDown="0" outline="0">
        <left style="thin">
          <color theme="9" tint="-0.499984740745262"/>
        </left>
        <right style="thin">
          <color theme="9" tint="-0.499984740745262"/>
        </right>
        <top/>
        <bottom style="thin">
          <color theme="9" tint="-0.499984740745262"/>
        </bottom>
      </border>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numFmt numFmtId="166" formatCode="_-&quot;$&quot;* #,##0_-;\-&quot;$&quot;* #,##0_-;_-&quot;$&quot;* &quot;-&quot;_-;_-@_-"/>
      <alignment horizontal="general" vertical="center" textRotation="0" wrapText="0" indent="0" justifyLastLine="0" shrinkToFit="1" readingOrder="0"/>
    </dxf>
    <dxf>
      <numFmt numFmtId="166" formatCode="_-&quot;$&quot;* #,##0_-;\-&quot;$&quot;* #,##0_-;_-&quot;$&quot;* &quot;-&quot;_-;_-@_-"/>
      <alignment vertical="center" textRotation="0" wrapText="0" indent="0" justifyLastLine="0" readingOrder="0"/>
    </dxf>
    <dxf>
      <alignment horizontal="right" vertical="center" textRotation="0" wrapText="0" indent="0" justifyLastLine="0" shrinkToFit="0" readingOrder="0"/>
    </dxf>
    <dxf>
      <alignment horizontal="right" vertical="center" textRotation="0" wrapText="1" indent="0" justifyLastLine="0" shrinkToFit="0" readingOrder="0"/>
    </dxf>
    <dxf>
      <alignment horizontal="right" vertical="center" textRotation="0" wrapText="0" indent="0" justifyLastLine="0" shrinkToFit="0" readingOrder="0"/>
      <border diagonalUp="0" diagonalDown="0">
        <left style="dotted">
          <color auto="1"/>
        </left>
        <right style="thin">
          <color theme="4" tint="-0.249977111117893"/>
        </right>
        <top/>
        <bottom/>
        <vertical style="dotted">
          <color auto="1"/>
        </vertical>
        <horizontal/>
      </border>
    </dxf>
    <dxf>
      <numFmt numFmtId="13" formatCode="0%"/>
      <border diagonalUp="0" diagonalDown="0">
        <left style="dotted">
          <color auto="1"/>
        </left>
        <right style="thin">
          <color theme="4" tint="-0.249977111117893"/>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dotted">
          <color auto="1"/>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dotted">
          <color auto="1"/>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thin">
          <color theme="4" tint="-0.249977111117893"/>
        </left>
        <right style="dotted">
          <color auto="1"/>
        </right>
        <top/>
        <bottom/>
        <vertical style="dotted">
          <color auto="1"/>
        </vertical>
        <horizontal/>
      </border>
    </dxf>
    <dxf>
      <numFmt numFmtId="13" formatCode="0%"/>
      <alignment vertical="center" textRotation="0" wrapText="0" indent="0" justifyLastLine="0" shrinkToFit="0" readingOrder="0"/>
      <border diagonalUp="0" diagonalDown="0">
        <left style="thin">
          <color theme="4" tint="-0.249977111117893"/>
        </left>
        <right style="dotted">
          <color auto="1"/>
        </right>
        <top/>
        <bottom/>
        <vertical style="dotted">
          <color auto="1"/>
        </vertical>
        <horizontal/>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numFmt numFmtId="13" formatCode="0%"/>
      <alignment vertical="center" textRotation="0" wrapText="0" indent="0" justifyLastLine="0" shrinkToFit="0" readingOrder="0"/>
    </dxf>
    <dxf>
      <numFmt numFmtId="164" formatCode="_-* #,##0\ &quot;€&quot;_-;\-* #,##0\ &quot;€&quot;_-;_-* &quot;-&quot;\ &quot;€&quot;_-;_-@_-"/>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mbri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alignment horizontal="right" vertical="center" textRotation="0" wrapText="1" indent="1" justifyLastLine="0" shrinkToFit="0" readingOrder="0"/>
    </dxf>
    <dxf>
      <alignment horizontal="right" vertical="center" textRotation="0" wrapText="1" indent="1"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border outline="0">
        <right style="thin">
          <color theme="5" tint="-0.249977111117893"/>
        </right>
      </border>
    </dxf>
    <dxf>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7" formatCode=";;;"/>
      <fill>
        <patternFill patternType="none">
          <fgColor indexed="64"/>
          <bgColor indexed="65"/>
        </patternFill>
      </fill>
      <alignment horizontal="center" vertical="bottom" textRotation="0" wrapText="0" indent="0" justifyLastLine="0" shrinkToFit="0" readingOrder="0"/>
    </dxf>
    <dxf>
      <numFmt numFmtId="13" formatCode="0%"/>
      <alignment horizontal="general" vertical="center" textRotation="0" wrapText="0" indent="0" justifyLastLine="0" shrinkToFit="1" readingOrder="0"/>
      <border diagonalUp="0" diagonalDown="0">
        <left/>
        <right style="thin">
          <color theme="5" tint="-0.249977111117893"/>
        </right>
        <top/>
        <bottom/>
        <horizontal/>
      </border>
    </dxf>
    <dxf>
      <numFmt numFmtId="13" formatCode="0%"/>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dxf>
    <dxf>
      <numFmt numFmtId="1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left style="thin">
          <color theme="5" tint="-0.249977111117893"/>
        </left>
        <top/>
        <bottom/>
        <horizontal/>
      </border>
    </dxf>
    <dxf>
      <numFmt numFmtId="13" formatCode="0%"/>
      <fill>
        <patternFill patternType="none">
          <fgColor indexed="64"/>
          <bgColor auto="1"/>
        </patternFill>
      </fill>
      <alignment horizontal="right" vertical="center" textRotation="0" wrapText="0" indent="0" justifyLastLine="0" shrinkToFit="0" readingOrder="0"/>
      <border diagonalUp="0" diagonalDown="0">
        <left style="thin">
          <color theme="5" tint="-0.249977111117893"/>
        </left>
        <top/>
        <bottom/>
      </border>
    </dxf>
    <dxf>
      <font>
        <b val="0"/>
        <i val="0"/>
        <strike val="0"/>
        <condense val="0"/>
        <extend val="0"/>
        <outline val="0"/>
        <shadow val="0"/>
        <u val="none"/>
        <vertAlign val="baseline"/>
        <sz val="11"/>
        <color theme="1"/>
        <name val="Cambria"/>
        <scheme val="minor"/>
      </font>
      <numFmt numFmtId="13" formatCode="0%"/>
      <fill>
        <patternFill patternType="none">
          <fgColor indexed="64"/>
          <bgColor indexed="65"/>
        </patternFill>
      </fill>
      <alignment horizontal="right" vertical="center" textRotation="0" wrapText="0" indent="0" justifyLastLine="0" shrinkToFit="1" readingOrder="0"/>
      <border diagonalUp="0" diagonalDown="0" outline="0">
        <left/>
        <right/>
        <top/>
        <bottom/>
      </border>
    </dxf>
    <dxf>
      <numFmt numFmtId="13" formatCode="0%"/>
      <alignment horizontal="right"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border diagonalUp="0" diagonalDown="0" outline="0">
        <left style="thin">
          <color theme="5" tint="-0.249977111117893"/>
        </left>
        <right style="thin">
          <color theme="5" tint="-0.249977111117893"/>
        </right>
        <top/>
        <bottom style="thin">
          <color theme="5" tint="-0.249977111117893"/>
        </bottom>
      </border>
    </dxf>
    <dxf>
      <numFmt numFmtId="166" formatCode="_-&quot;$&quot;* #,##0_-;\-&quot;$&quot;* #,##0_-;_-&quot;$&quot;* &quot;-&quot;_-;_-@_-"/>
      <fill>
        <patternFill patternType="none">
          <fgColor indexed="64"/>
          <bgColor auto="1"/>
        </patternFill>
      </fill>
      <alignment vertical="center" textRotation="0" indent="0" justifyLastLine="0" shrinkToFit="0" readingOrder="0"/>
      <border diagonalUp="0" diagonalDown="0">
        <left style="thin">
          <color theme="5" tint="-0.249977111117893"/>
        </left>
        <right style="thin">
          <color theme="5" tint="-0.249977111117893"/>
        </right>
        <top/>
        <bottom/>
        <vertical/>
        <horizontal/>
      </border>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alignment vertical="center" textRotation="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numFmt numFmtId="164" formatCode="_-* #,##0\ &quot;€&quot;_-;\-* #,##0\ &quot;€&quot;_-;_-* &quot;-&quot;\ &quot;€&quot;_-;_-@_-"/>
      <fill>
        <patternFill patternType="none">
          <fgColor indexed="64"/>
          <bgColor indexed="65"/>
        </patternFill>
      </fill>
      <alignment horizontal="general" vertical="center" textRotation="0" wrapText="0" indent="0" justifyLastLine="0" shrinkToFit="1" readingOrder="0"/>
    </dxf>
    <dxf>
      <numFmt numFmtId="166" formatCode="_-&quot;$&quot;* #,##0_-;\-&quot;$&quot;* #,##0_-;_-&quot;$&quot;* &quot;-&quot;_-;_-@_-"/>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ambria"/>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mbria"/>
        <scheme val="minor"/>
      </font>
      <fill>
        <patternFill patternType="none">
          <fgColor indexed="64"/>
          <bgColor indexed="65"/>
        </patternFill>
      </fill>
      <alignment horizontal="right" vertical="center" textRotation="0" wrapText="0" indent="1" justifyLastLine="0" shrinkToFit="0" readingOrder="0"/>
    </dxf>
    <dxf>
      <alignment horizontal="right" vertical="center" textRotation="0" wrapText="1" indent="1" justifyLastLine="0" shrinkToFit="0" readingOrder="0"/>
    </dxf>
    <dxf>
      <alignment vertical="center" textRotation="0" indent="0" justifyLastLine="0" shrinkToFit="0" readingOrder="0"/>
    </dxf>
    <dxf>
      <fill>
        <patternFill>
          <bgColor theme="4" tint="0.79998168889431442"/>
        </patternFill>
      </fill>
      <border>
        <left style="dotted">
          <color theme="4" tint="0.39994506668294322"/>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style="dotted">
          <color theme="4" tint="0.39994506668294322"/>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font>
        <b/>
        <i val="0"/>
        <color theme="1"/>
      </font>
      <fill>
        <patternFill patternType="solid">
          <bgColor theme="4"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4" tint="0.39994506668294322"/>
        </left>
        <right style="dotted">
          <color theme="4" tint="0.39994506668294322"/>
        </right>
        <top/>
        <bottom style="thin">
          <color theme="4" tint="0.39994506668294322"/>
        </bottom>
        <vertical style="dotted">
          <color theme="4" tint="0.39994506668294322"/>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fill>
        <patternFill>
          <bgColor theme="5" tint="0.79998168889431442"/>
        </patternFill>
      </fill>
      <border>
        <left style="dotted">
          <color theme="5" tint="0.39991454817346722"/>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style="dotted">
          <color theme="5" tint="0.39988402966399123"/>
        </left>
        <right style="dotted">
          <color theme="5" tint="0.39991454817346722"/>
        </right>
        <top style="thin">
          <color theme="5" tint="0.39991454817346722"/>
        </top>
        <bottom style="thin">
          <color theme="5" tint="0.39994506668294322"/>
        </bottom>
        <vertical style="dotted">
          <color theme="5" tint="0.39991454817346722"/>
        </vertical>
        <horizontal style="thin">
          <color theme="5" tint="0.39991454817346722"/>
        </horizontal>
      </border>
    </dxf>
    <dxf>
      <font>
        <b/>
        <i val="0"/>
        <color theme="1"/>
      </font>
      <fill>
        <patternFill patternType="solid">
          <bgColor theme="5"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5" tint="0.39991454817346722"/>
        </left>
        <right style="dotted">
          <color theme="5" tint="0.39991454817346722"/>
        </right>
        <top/>
        <bottom style="thin">
          <color theme="5" tint="0.39994506668294322"/>
        </bottom>
        <vertical style="dotted">
          <color theme="5" tint="0.39991454817346722"/>
        </vertical>
        <horizontal/>
      </border>
    </dxf>
    <dxf>
      <border>
        <vertical/>
        <horizontal/>
      </border>
    </dxf>
    <dxf>
      <fill>
        <patternFill>
          <bgColor theme="9" tint="0.59996337778862885"/>
        </patternFill>
      </fill>
      <border>
        <left style="dotted">
          <color theme="9" tint="0.39994506668294322"/>
        </left>
        <right style="dotted">
          <color theme="9" tint="0.39994506668294322"/>
        </right>
        <top style="thin">
          <color theme="9" tint="0.39994506668294322"/>
        </top>
        <bottom style="thin">
          <color theme="9" tint="0.39994506668294322"/>
        </bottom>
        <vertical style="dotted">
          <color theme="9" tint="0.39994506668294322"/>
        </vertical>
        <horizontal style="thin">
          <color theme="9" tint="0.39994506668294322"/>
        </horizontal>
      </border>
    </dxf>
    <dxf>
      <border>
        <left style="dotted">
          <color theme="9" tint="0.39994506668294322"/>
        </left>
        <right style="dotted">
          <color theme="9" tint="0.39994506668294322"/>
        </right>
        <top style="thin">
          <color theme="9" tint="0.39994506668294322"/>
        </top>
        <bottom style="thin">
          <color theme="9" tint="0.39994506668294322"/>
        </bottom>
        <vertical style="dotted">
          <color theme="9" tint="0.39994506668294322"/>
        </vertical>
        <horizontal style="thin">
          <color theme="9" tint="0.39994506668294322"/>
        </horizontal>
      </border>
    </dxf>
    <dxf>
      <font>
        <b/>
        <i val="0"/>
        <color theme="1"/>
      </font>
      <fill>
        <patternFill patternType="solid">
          <bgColor theme="9" tint="0.39994506668294322"/>
        </patternFill>
      </fill>
      <border>
        <left style="dotted">
          <color theme="0"/>
        </left>
        <right style="dotted">
          <color theme="0"/>
        </right>
        <top style="dotted">
          <color theme="0"/>
        </top>
        <vertical style="dotted">
          <color theme="0"/>
        </vertical>
        <horizontal/>
      </border>
    </dxf>
    <dxf>
      <font>
        <b/>
        <i val="0"/>
        <color theme="3"/>
      </font>
      <fill>
        <patternFill patternType="none">
          <bgColor auto="1"/>
        </patternFill>
      </fill>
      <border diagonalUp="0" diagonalDown="0">
        <left style="dotted">
          <color theme="9" tint="0.39994506668294322"/>
        </left>
        <right style="dotted">
          <color theme="9" tint="0.39994506668294322"/>
        </right>
        <top/>
        <bottom style="thin">
          <color theme="9" tint="0.39994506668294322"/>
        </bottom>
        <vertical style="dotted">
          <color theme="9" tint="0.39994506668294322"/>
        </vertical>
        <horizontal/>
      </border>
    </dxf>
    <dxf>
      <border>
        <left style="thin">
          <color theme="6"/>
        </left>
        <right style="thin">
          <color theme="6"/>
        </right>
        <top style="thin">
          <color theme="6"/>
        </top>
        <bottom style="thin">
          <color theme="6"/>
        </bottom>
        <vertical/>
        <horizontal/>
      </border>
    </dxf>
  </dxfs>
  <tableStyles count="4" defaultTableStyle="Ingresos de beneficios y pérdidas" defaultPivotStyle="PivotStyleLight16">
    <tableStyle name="Gastos de beneficios y pérdidas 2" pivot="0" count="5" xr9:uid="{00000000-0011-0000-FFFF-FFFF01000000}">
      <tableStyleElement type="wholeTable" dxfId="195"/>
      <tableStyleElement type="headerRow" dxfId="194"/>
      <tableStyleElement type="totalRow" dxfId="193"/>
      <tableStyleElement type="firstRowStripe" dxfId="192"/>
      <tableStyleElement type="secondRowStripe" dxfId="191"/>
    </tableStyle>
    <tableStyle name="Ingresos de beneficios y pérdidas" pivot="0" count="5" xr9:uid="{00000000-0011-0000-FFFF-FFFF02000000}">
      <tableStyleElement type="wholeTable" dxfId="190"/>
      <tableStyleElement type="headerRow" dxfId="189"/>
      <tableStyleElement type="totalRow" dxfId="188"/>
      <tableStyleElement type="firstRowStripe" dxfId="187"/>
      <tableStyleElement type="secondRowStripe" dxfId="186"/>
    </tableStyle>
    <tableStyle name="Profit &amp; Loss Expenses" pivot="0" count="5" xr9:uid="{00000000-0011-0000-FFFF-FFFF00000000}">
      <tableStyleElement type="wholeTable" dxfId="185"/>
      <tableStyleElement type="headerRow" dxfId="184"/>
      <tableStyleElement type="totalRow" dxfId="183"/>
      <tableStyleElement type="firstRowStripe" dxfId="182"/>
      <tableStyleElement type="secondRowStripe" dxfId="181"/>
    </tableStyle>
    <tableStyle name="Ventas de beneficios y pérdidas" pivot="0" count="4" xr9:uid="{00000000-0011-0000-FFFF-FFFF03000000}">
      <tableStyleElement type="headerRow" dxfId="180"/>
      <tableStyleElement type="totalRow" dxfId="179"/>
      <tableStyleElement type="firstRowStripe" dxfId="178"/>
      <tableStyleElement type="secondRowStripe" dxfId="17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gresos" displayName="Ingresos" ref="B6:AD14" totalsRowCount="1" dataDxfId="176">
  <autoFilter ref="B6:AD1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000-000001000000}" name="INGRESOS (VENTAS)" totalsRowLabel="VENTAS TOTALES" dataDxfId="175" totalsRowDxfId="174" dataCellStyle="Detalles de la tabla"/>
    <tableColumn id="29" xr3:uid="{00000000-0010-0000-0000-00001D000000}" name="TENDENCIA" dataDxfId="173" totalsRowDxfId="172" dataCellStyle="Relleno de ingresos"/>
    <tableColumn id="2" xr3:uid="{00000000-0010-0000-0000-000002000000}" name="Ene" totalsRowFunction="sum" dataDxfId="171" totalsRowDxfId="170"/>
    <tableColumn id="3" xr3:uid="{00000000-0010-0000-0000-000003000000}" name="Feb" totalsRowFunction="sum" dataDxfId="169" totalsRowDxfId="168"/>
    <tableColumn id="4" xr3:uid="{00000000-0010-0000-0000-000004000000}" name="Mar" totalsRowFunction="sum" dataDxfId="167" totalsRowDxfId="166"/>
    <tableColumn id="5" xr3:uid="{00000000-0010-0000-0000-000005000000}" name="Abr" totalsRowFunction="sum" dataDxfId="165" totalsRowDxfId="164"/>
    <tableColumn id="6" xr3:uid="{00000000-0010-0000-0000-000006000000}" name="May" totalsRowFunction="sum" dataDxfId="163" totalsRowDxfId="162"/>
    <tableColumn id="7" xr3:uid="{00000000-0010-0000-0000-000007000000}" name="Jun" totalsRowFunction="sum" dataDxfId="161" totalsRowDxfId="160"/>
    <tableColumn id="8" xr3:uid="{00000000-0010-0000-0000-000008000000}" name="Jul" totalsRowFunction="sum" dataDxfId="159" totalsRowDxfId="158"/>
    <tableColumn id="9" xr3:uid="{00000000-0010-0000-0000-000009000000}" name="Ago" totalsRowFunction="sum" dataDxfId="157" totalsRowDxfId="156"/>
    <tableColumn id="10" xr3:uid="{00000000-0010-0000-0000-00000A000000}" name="Sep" totalsRowFunction="sum" dataDxfId="155" totalsRowDxfId="154"/>
    <tableColumn id="11" xr3:uid="{00000000-0010-0000-0000-00000B000000}" name="Oct" totalsRowFunction="sum" dataDxfId="153" totalsRowDxfId="152"/>
    <tableColumn id="12" xr3:uid="{00000000-0010-0000-0000-00000C000000}" name="Nov" totalsRowFunction="sum" dataDxfId="151" totalsRowDxfId="150"/>
    <tableColumn id="13" xr3:uid="{00000000-0010-0000-0000-00000D000000}" name="Dic" totalsRowFunction="sum" dataDxfId="149" totalsRowDxfId="148"/>
    <tableColumn id="14" xr3:uid="{00000000-0010-0000-0000-00000E000000}" name="Anualmente" totalsRowFunction="sum" dataDxfId="147" totalsRowDxfId="146">
      <calculatedColumnFormula>SUM(Ingresos[[#This Row],[Ene]:[Dic]])</calculatedColumnFormula>
    </tableColumn>
    <tableColumn id="15" xr3:uid="{00000000-0010-0000-0000-00000F000000}" name="Porcentaje de índice" totalsRowFunction="sum" dataDxfId="145" totalsRowDxfId="144"/>
    <tableColumn id="16" xr3:uid="{00000000-0010-0000-0000-000010000000}" name="Porcentaje de ene" totalsRowFunction="sum" dataDxfId="143" totalsRowDxfId="142">
      <calculatedColumnFormula>IFERROR(Ingresos[[#This Row],[Ene]]/Ingresos[[#Totals],[Ene]],"-")</calculatedColumnFormula>
    </tableColumn>
    <tableColumn id="17" xr3:uid="{00000000-0010-0000-0000-000011000000}" name="Porcentaje de feb" totalsRowFunction="sum" dataDxfId="141" totalsRowDxfId="140">
      <calculatedColumnFormula>IFERROR(Ingresos[[#This Row],[Feb]]/Ingresos[[#Totals],[Feb]],"-")</calculatedColumnFormula>
    </tableColumn>
    <tableColumn id="18" xr3:uid="{00000000-0010-0000-0000-000012000000}" name="Porcentaje de mar" totalsRowFunction="sum" dataDxfId="139" totalsRowDxfId="138">
      <calculatedColumnFormula>IFERROR(Ingresos[[#This Row],[Mar]]/Ingresos[[#Totals],[Mar]],"-")</calculatedColumnFormula>
    </tableColumn>
    <tableColumn id="19" xr3:uid="{00000000-0010-0000-0000-000013000000}" name="Porcentaje de abr" totalsRowFunction="sum" dataDxfId="137" totalsRowDxfId="136">
      <calculatedColumnFormula>IFERROR(Ingresos[[#This Row],[Abr]]/Ingresos[[#Totals],[Abr]],"-")</calculatedColumnFormula>
    </tableColumn>
    <tableColumn id="20" xr3:uid="{00000000-0010-0000-0000-000014000000}" name="Porcentaje de may" totalsRowFunction="sum" dataDxfId="135" totalsRowDxfId="134">
      <calculatedColumnFormula>IFERROR(Ingresos[[#This Row],[May]]/Ingresos[[#Totals],[May]],"-")</calculatedColumnFormula>
    </tableColumn>
    <tableColumn id="21" xr3:uid="{00000000-0010-0000-0000-000015000000}" name="Porcentaje de jun" totalsRowFunction="sum" dataDxfId="133" totalsRowDxfId="132">
      <calculatedColumnFormula>IFERROR(Ingresos[[#This Row],[Jun]]/Ingresos[[#Totals],[Jun]],"-")</calculatedColumnFormula>
    </tableColumn>
    <tableColumn id="22" xr3:uid="{00000000-0010-0000-0000-000016000000}" name="Porcentaje de jul" totalsRowFunction="sum" dataDxfId="131" totalsRowDxfId="130">
      <calculatedColumnFormula>IFERROR(Ingresos[[#This Row],[Jul]]/Ingresos[[#Totals],[Jul]],"-")</calculatedColumnFormula>
    </tableColumn>
    <tableColumn id="23" xr3:uid="{00000000-0010-0000-0000-000017000000}" name="Porcentaje de ago" totalsRowFunction="sum" dataDxfId="129" totalsRowDxfId="128">
      <calculatedColumnFormula>IFERROR(Ingresos[[#This Row],[Ago]]/Ingresos[[#Totals],[Ago]],"-")</calculatedColumnFormula>
    </tableColumn>
    <tableColumn id="24" xr3:uid="{00000000-0010-0000-0000-000018000000}" name="Porcentaje de sep" totalsRowFunction="sum" dataDxfId="127" totalsRowDxfId="126">
      <calculatedColumnFormula>IFERROR(Ingresos[[#This Row],[Sep]]/Ingresos[[#Totals],[Sep]],"-")</calculatedColumnFormula>
    </tableColumn>
    <tableColumn id="25" xr3:uid="{00000000-0010-0000-0000-000019000000}" name="Porcentaje de oct" totalsRowFunction="sum" dataDxfId="125" totalsRowDxfId="124">
      <calculatedColumnFormula>IFERROR(Ingresos[[#This Row],[Oct]]/Ingresos[[#Totals],[Oct]],"-")</calculatedColumnFormula>
    </tableColumn>
    <tableColumn id="26" xr3:uid="{00000000-0010-0000-0000-00001A000000}" name="Porcentaje de nov" totalsRowFunction="sum" dataDxfId="123" totalsRowDxfId="122">
      <calculatedColumnFormula>IFERROR(Ingresos[[#This Row],[Nov]]/Ingresos[[#Totals],[Nov]],"-")</calculatedColumnFormula>
    </tableColumn>
    <tableColumn id="27" xr3:uid="{00000000-0010-0000-0000-00001B000000}" name="Porcentaje de dic" totalsRowFunction="sum" dataDxfId="121" totalsRowDxfId="120">
      <calculatedColumnFormula>IFERROR(Ingresos[[#This Row],[Dic]]/Ingresos[[#Totals],[Dic]],"-")</calculatedColumnFormula>
    </tableColumn>
    <tableColumn id="28" xr3:uid="{00000000-0010-0000-0000-00001C000000}" name="Porcentaje anual" totalsRowFunction="sum" dataDxfId="119" totalsRowDxfId="118">
      <calculatedColumnFormula>IFERROR(Ingresos[[#This Row],[Anualmente]]/Ingresos[[#Totals],[Anualmente]],"-")</calculatedColumnFormula>
    </tableColumn>
  </tableColumns>
  <tableStyleInfo name="Ingresos de beneficios y pérdidas" showFirstColumn="0" showLastColumn="0" showRowStripes="1" showColumnStripes="0"/>
  <extLst>
    <ext xmlns:x14="http://schemas.microsoft.com/office/spreadsheetml/2009/9/main" uri="{504A1905-F514-4f6f-8877-14C23A59335A}">
      <x14:table altTextSummary="Resumen de las ventas mensuales, totales anuales y el porcentaje mensual para cada elemento de ingreso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stoDeVentas" displayName="CostoDeVentas" ref="B6:AD14" totalsRowCount="1" headerRowDxfId="117" dataDxfId="116" totalsRowDxfId="114" tableBorderDxfId="115">
  <tableColumns count="29">
    <tableColumn id="1" xr3:uid="{00000000-0010-0000-0100-000001000000}" name="COSTO DE VENTAS" totalsRowLabel="COSTO DE VENTAS TOTAL" dataDxfId="113" totalsRowDxfId="112" dataCellStyle="Detalles de la tabla"/>
    <tableColumn id="2" xr3:uid="{00000000-0010-0000-0100-000002000000}" name="TENDENCIA" dataDxfId="111" totalsRowDxfId="110" dataCellStyle="Relleno de ingresos"/>
    <tableColumn id="3" xr3:uid="{00000000-0010-0000-0100-000003000000}" name="Ene" totalsRowFunction="sum" dataDxfId="109" totalsRowDxfId="108"/>
    <tableColumn id="4" xr3:uid="{00000000-0010-0000-0100-000004000000}" name="Feb" totalsRowFunction="sum" dataDxfId="107" totalsRowDxfId="106"/>
    <tableColumn id="5" xr3:uid="{00000000-0010-0000-0100-000005000000}" name="Mar" totalsRowFunction="sum" dataDxfId="105" totalsRowDxfId="104"/>
    <tableColumn id="6" xr3:uid="{00000000-0010-0000-0100-000006000000}" name="Abr" totalsRowFunction="sum" dataDxfId="103" totalsRowDxfId="102"/>
    <tableColumn id="7" xr3:uid="{00000000-0010-0000-0100-000007000000}" name="May" totalsRowFunction="sum" dataDxfId="101" totalsRowDxfId="100"/>
    <tableColumn id="8" xr3:uid="{00000000-0010-0000-0100-000008000000}" name="Jun" totalsRowFunction="sum" dataDxfId="99" totalsRowDxfId="98"/>
    <tableColumn id="9" xr3:uid="{00000000-0010-0000-0100-000009000000}" name="Jul" totalsRowFunction="sum" dataDxfId="97" totalsRowDxfId="96"/>
    <tableColumn id="10" xr3:uid="{00000000-0010-0000-0100-00000A000000}" name="Ago" totalsRowFunction="sum" dataDxfId="95" totalsRowDxfId="94"/>
    <tableColumn id="11" xr3:uid="{00000000-0010-0000-0100-00000B000000}" name="Sep" totalsRowFunction="sum" dataDxfId="93" totalsRowDxfId="92"/>
    <tableColumn id="12" xr3:uid="{00000000-0010-0000-0100-00000C000000}" name="Oct" totalsRowFunction="sum" dataDxfId="91" totalsRowDxfId="90"/>
    <tableColumn id="13" xr3:uid="{00000000-0010-0000-0100-00000D000000}" name="Nov" totalsRowFunction="sum" dataDxfId="89" totalsRowDxfId="88"/>
    <tableColumn id="14" xr3:uid="{00000000-0010-0000-0100-00000E000000}" name="Dic" totalsRowFunction="sum" dataDxfId="87" totalsRowDxfId="86"/>
    <tableColumn id="15" xr3:uid="{00000000-0010-0000-0100-00000F000000}" name="Anualmente" totalsRowFunction="sum" dataDxfId="85" totalsRowDxfId="84">
      <calculatedColumnFormula>SUM(CostoDeVentas[[#This Row],[Ene]:[Dic]])</calculatedColumnFormula>
    </tableColumn>
    <tableColumn id="16" xr3:uid="{00000000-0010-0000-0100-000010000000}" name="Porcentaje de índice" totalsRowFunction="sum" dataDxfId="83" totalsRowDxfId="82"/>
    <tableColumn id="17" xr3:uid="{00000000-0010-0000-0100-000011000000}" name="Porcentaje de ene" totalsRowFunction="sum" dataDxfId="81" totalsRowDxfId="80">
      <calculatedColumnFormula>IFERROR(CostoDeVentas[[#This Row],[Ene]]/CostoDeVentas[[#Totals],[Ene]],"-")</calculatedColumnFormula>
    </tableColumn>
    <tableColumn id="18" xr3:uid="{00000000-0010-0000-0100-000012000000}" name="Porcentaje de feb" totalsRowFunction="sum" dataDxfId="79" totalsRowDxfId="78">
      <calculatedColumnFormula>IFERROR(CostoDeVentas[[#This Row],[Feb]]/CostoDeVentas[[#Totals],[Feb]],"-")</calculatedColumnFormula>
    </tableColumn>
    <tableColumn id="19" xr3:uid="{00000000-0010-0000-0100-000013000000}" name="Porcentaje de mar" totalsRowFunction="sum" dataDxfId="77" totalsRowDxfId="76">
      <calculatedColumnFormula>IFERROR(CostoDeVentas[[#This Row],[Mar]]/CostoDeVentas[[#Totals],[Mar]],"-")</calculatedColumnFormula>
    </tableColumn>
    <tableColumn id="20" xr3:uid="{00000000-0010-0000-0100-000014000000}" name="Porcentaje de abr" totalsRowFunction="sum" dataDxfId="75" totalsRowDxfId="74">
      <calculatedColumnFormula>IFERROR(CostoDeVentas[[#This Row],[Abr]]/CostoDeVentas[[#Totals],[Abr]],"-")</calculatedColumnFormula>
    </tableColumn>
    <tableColumn id="21" xr3:uid="{00000000-0010-0000-0100-000015000000}" name="Porcentaje de may" totalsRowFunction="sum" dataDxfId="73" totalsRowDxfId="72">
      <calculatedColumnFormula>IFERROR(CostoDeVentas[[#This Row],[May]]/CostoDeVentas[[#Totals],[May]],"-")</calculatedColumnFormula>
    </tableColumn>
    <tableColumn id="22" xr3:uid="{00000000-0010-0000-0100-000016000000}" name="Porcentaje de jun" totalsRowFunction="sum" dataDxfId="71" totalsRowDxfId="70">
      <calculatedColumnFormula>IFERROR(CostoDeVentas[[#This Row],[Jun]]/CostoDeVentas[[#Totals],[Jun]],"-")</calculatedColumnFormula>
    </tableColumn>
    <tableColumn id="23" xr3:uid="{00000000-0010-0000-0100-000017000000}" name="Porcentaje de jul" totalsRowFunction="sum" dataDxfId="69" totalsRowDxfId="68">
      <calculatedColumnFormula>IFERROR(CostoDeVentas[[#This Row],[Jul]]/CostoDeVentas[[#Totals],[Jul]],"-")</calculatedColumnFormula>
    </tableColumn>
    <tableColumn id="24" xr3:uid="{00000000-0010-0000-0100-000018000000}" name="Porcentaje de ago" totalsRowFunction="sum" dataDxfId="67" totalsRowDxfId="66">
      <calculatedColumnFormula>IFERROR(CostoDeVentas[[#This Row],[Ago]]/CostoDeVentas[[#Totals],[Ago]],"-")</calculatedColumnFormula>
    </tableColumn>
    <tableColumn id="25" xr3:uid="{00000000-0010-0000-0100-000019000000}" name="Porcentaje de sep" totalsRowFunction="sum" dataDxfId="65" totalsRowDxfId="64">
      <calculatedColumnFormula>IFERROR(CostoDeVentas[[#This Row],[Sep]]/CostoDeVentas[[#Totals],[Sep]],"-")</calculatedColumnFormula>
    </tableColumn>
    <tableColumn id="26" xr3:uid="{00000000-0010-0000-0100-00001A000000}" name="Porcentaje de oct" totalsRowFunction="sum" dataDxfId="63" totalsRowDxfId="62">
      <calculatedColumnFormula>IFERROR(CostoDeVentas[[#This Row],[Oct]]/CostoDeVentas[[#Totals],[Oct]],"-")</calculatedColumnFormula>
    </tableColumn>
    <tableColumn id="27" xr3:uid="{00000000-0010-0000-0100-00001B000000}" name="Porcentaje de nov" totalsRowFunction="sum" dataDxfId="61" totalsRowDxfId="60">
      <calculatedColumnFormula>IFERROR(CostoDeVentas[[#This Row],[Nov]]/CostoDeVentas[[#Totals],[Nov]],"-")</calculatedColumnFormula>
    </tableColumn>
    <tableColumn id="28" xr3:uid="{00000000-0010-0000-0100-00001C000000}" name="Porcentaje de dic" totalsRowFunction="sum" dataDxfId="59" totalsRowDxfId="58">
      <calculatedColumnFormula>IFERROR(CostoDeVentas[[#This Row],[Dic]]/CostoDeVentas[[#Totals],[Dic]],"-")</calculatedColumnFormula>
    </tableColumn>
    <tableColumn id="29" xr3:uid="{00000000-0010-0000-0100-00001D000000}" name="Porcentaje anual" totalsRowFunction="sum" dataDxfId="57" totalsRowDxfId="56">
      <calculatedColumnFormula>IFERROR(CostoDeVentas[[#This Row],[Anualmente]]/CostoDeVentas[[#Totals],[Anualmente]],"-")</calculatedColumnFormula>
    </tableColumn>
  </tableColumns>
  <tableStyleInfo name="Ventas de beneficios y pérdidas" showFirstColumn="0" showLastColumn="0" showRowStripes="1" showColumnStripes="0"/>
  <extLst>
    <ext xmlns:x14="http://schemas.microsoft.com/office/spreadsheetml/2009/9/main" uri="{504A1905-F514-4f6f-8877-14C23A59335A}">
      <x14:table altTextSummary="Resumen del costo de ventas, totales anuales y el porcentaje mensual para cada elemento de costo"/>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blGastos" displayName="tblGastos" ref="B6:AD26" totalsRowCount="1">
  <tableColumns count="29">
    <tableColumn id="1" xr3:uid="{00000000-0010-0000-0200-000001000000}" name="GASTOS" totalsRowLabel="GASTOS TOTALES" dataDxfId="55" totalsRowDxfId="54"/>
    <tableColumn id="2" xr3:uid="{00000000-0010-0000-0200-000002000000}" name="TENDENCIA" totalsRowLabel=" "/>
    <tableColumn id="3" xr3:uid="{00000000-0010-0000-0200-000003000000}" name="Ene" totalsRowFunction="sum" dataDxfId="53" totalsRowDxfId="52"/>
    <tableColumn id="4" xr3:uid="{00000000-0010-0000-0200-000004000000}" name="Feb" totalsRowFunction="sum" dataDxfId="51" totalsRowDxfId="50"/>
    <tableColumn id="5" xr3:uid="{00000000-0010-0000-0200-000005000000}" name="Mar" totalsRowFunction="sum" dataDxfId="49" totalsRowDxfId="48"/>
    <tableColumn id="6" xr3:uid="{00000000-0010-0000-0200-000006000000}" name="Abr" totalsRowFunction="sum" dataDxfId="47" totalsRowDxfId="46"/>
    <tableColumn id="7" xr3:uid="{00000000-0010-0000-0200-000007000000}" name="May" totalsRowFunction="sum" dataDxfId="45" totalsRowDxfId="44"/>
    <tableColumn id="8" xr3:uid="{00000000-0010-0000-0200-000008000000}" name="Jun" totalsRowFunction="sum" dataDxfId="43" totalsRowDxfId="42"/>
    <tableColumn id="9" xr3:uid="{00000000-0010-0000-0200-000009000000}" name="Jul" totalsRowFunction="sum" dataDxfId="41" totalsRowDxfId="40"/>
    <tableColumn id="10" xr3:uid="{00000000-0010-0000-0200-00000A000000}" name="Ago" totalsRowFunction="sum" dataDxfId="39" totalsRowDxfId="38"/>
    <tableColumn id="11" xr3:uid="{00000000-0010-0000-0200-00000B000000}" name="Sep" totalsRowFunction="sum" dataDxfId="37" totalsRowDxfId="36"/>
    <tableColumn id="12" xr3:uid="{00000000-0010-0000-0200-00000C000000}" name="Oct" totalsRowFunction="sum" dataDxfId="35" totalsRowDxfId="34"/>
    <tableColumn id="13" xr3:uid="{00000000-0010-0000-0200-00000D000000}" name="Nov" totalsRowFunction="sum" dataDxfId="33" totalsRowDxfId="32"/>
    <tableColumn id="14" xr3:uid="{00000000-0010-0000-0200-00000E000000}" name="Dic" totalsRowFunction="sum" dataDxfId="31" totalsRowDxfId="30"/>
    <tableColumn id="15" xr3:uid="{00000000-0010-0000-0200-00000F000000}" name="Anualmente" totalsRowFunction="sum" dataDxfId="29" totalsRowDxfId="28">
      <calculatedColumnFormula>SUM(tblGastos[[#This Row],[Ene]:[Dic]])</calculatedColumnFormula>
    </tableColumn>
    <tableColumn id="16" xr3:uid="{00000000-0010-0000-0200-000010000000}" name="Porcentaje de índice" totalsRowFunction="sum" dataDxfId="27" totalsRowDxfId="26"/>
    <tableColumn id="17" xr3:uid="{00000000-0010-0000-0200-000011000000}" name="Porcentaje de ene" totalsRowFunction="sum" dataDxfId="25" totalsRowDxfId="24">
      <calculatedColumnFormula>IFERROR(tblGastos[[#This Row],[Ene]]/tblGastos[[#Totals],[Ene]],"-")</calculatedColumnFormula>
    </tableColumn>
    <tableColumn id="18" xr3:uid="{00000000-0010-0000-0200-000012000000}" name="Porcentaje de feb" totalsRowFunction="sum" dataDxfId="23" totalsRowDxfId="22">
      <calculatedColumnFormula>IFERROR(tblGastos[[#This Row],[Feb]]/tblGastos[[#Totals],[Feb]],"-")</calculatedColumnFormula>
    </tableColumn>
    <tableColumn id="19" xr3:uid="{00000000-0010-0000-0200-000013000000}" name="Porcentaje de mar" totalsRowFunction="sum" dataDxfId="21" totalsRowDxfId="20">
      <calculatedColumnFormula>IFERROR(tblGastos[[#This Row],[Mar]]/tblGastos[[#Totals],[Mar]],"-")</calculatedColumnFormula>
    </tableColumn>
    <tableColumn id="20" xr3:uid="{00000000-0010-0000-0200-000014000000}" name="Porcentaje de abr" totalsRowFunction="sum" dataDxfId="19" totalsRowDxfId="18">
      <calculatedColumnFormula>IFERROR(tblGastos[[#This Row],[Abr]]/tblGastos[[#Totals],[Abr]],"-")</calculatedColumnFormula>
    </tableColumn>
    <tableColumn id="21" xr3:uid="{00000000-0010-0000-0200-000015000000}" name="Porcentaje de may" totalsRowFunction="sum" dataDxfId="17" totalsRowDxfId="16">
      <calculatedColumnFormula>IFERROR(tblGastos[[#This Row],[May]]/tblGastos[[#Totals],[May]],"-")</calculatedColumnFormula>
    </tableColumn>
    <tableColumn id="22" xr3:uid="{00000000-0010-0000-0200-000016000000}" name="Porcentaje de jun" totalsRowFunction="sum" dataDxfId="15" totalsRowDxfId="14">
      <calculatedColumnFormula>IFERROR(tblGastos[[#This Row],[Jun]]/tblGastos[[#Totals],[Jun]],"-")</calculatedColumnFormula>
    </tableColumn>
    <tableColumn id="23" xr3:uid="{00000000-0010-0000-0200-000017000000}" name="Porcentaje de jul" totalsRowFunction="sum" dataDxfId="13" totalsRowDxfId="12">
      <calculatedColumnFormula>IFERROR(tblGastos[[#This Row],[Jul]]/tblGastos[[#Totals],[Jul]],"-")</calculatedColumnFormula>
    </tableColumn>
    <tableColumn id="24" xr3:uid="{00000000-0010-0000-0200-000018000000}" name="Porcentaje de ago" totalsRowFunction="sum" dataDxfId="11" totalsRowDxfId="10">
      <calculatedColumnFormula>IFERROR(tblGastos[[#This Row],[Ago]]/tblGastos[[#Totals],[Ago]],"-")</calculatedColumnFormula>
    </tableColumn>
    <tableColumn id="25" xr3:uid="{00000000-0010-0000-0200-000019000000}" name="Porcentaje de sep" totalsRowFunction="sum" dataDxfId="9" totalsRowDxfId="8">
      <calculatedColumnFormula>IFERROR(tblGastos[[#This Row],[Sep]]/tblGastos[[#Totals],[Sep]],"-")</calculatedColumnFormula>
    </tableColumn>
    <tableColumn id="26" xr3:uid="{00000000-0010-0000-0200-00001A000000}" name="Porcentaje de oct" totalsRowFunction="sum" dataDxfId="7" totalsRowDxfId="6">
      <calculatedColumnFormula>IFERROR(tblGastos[[#This Row],[Oct]]/tblGastos[[#Totals],[Oct]],"-")</calculatedColumnFormula>
    </tableColumn>
    <tableColumn id="27" xr3:uid="{00000000-0010-0000-0200-00001B000000}" name="Porcentaje de nov" totalsRowFunction="sum" dataDxfId="5" totalsRowDxfId="4">
      <calculatedColumnFormula>IFERROR(tblGastos[[#This Row],[Nov]]/tblGastos[[#Totals],[Nov]],"-")</calculatedColumnFormula>
    </tableColumn>
    <tableColumn id="28" xr3:uid="{00000000-0010-0000-0200-00001C000000}" name="Porcentaje de dic" totalsRowFunction="sum" dataDxfId="3" totalsRowDxfId="2">
      <calculatedColumnFormula>IFERROR(tblGastos[[#This Row],[Dic]]/tblGastos[[#Totals],[Dic]],"-")</calculatedColumnFormula>
    </tableColumn>
    <tableColumn id="29" xr3:uid="{00000000-0010-0000-0200-00001D000000}" name="Porcentaje anual" totalsRowFunction="sum" dataDxfId="1" totalsRowDxfId="0">
      <calculatedColumnFormula>IFERROR(tblGastos[[#This Row],[Anualmente]]/tblGastos[[#Totals],[Anualmente]],"-")</calculatedColumnFormula>
    </tableColumn>
  </tableColumns>
  <tableStyleInfo name="Gastos de beneficios y pérdidas 2" showFirstColumn="0" showLastColumn="0" showRowStripes="1" showColumnStripes="0"/>
  <extLst>
    <ext xmlns:x14="http://schemas.microsoft.com/office/spreadsheetml/2009/9/main" uri="{504A1905-F514-4f6f-8877-14C23A59335A}">
      <x14:table altTextSummary="Resumen de los gastos, totales anuales y el porcentaje mensual para cada elemento de ingreso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Cambria">
      <a:majorFont>
        <a:latin typeface="Calibri" panose="020F0502020204030204"/>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B1:AD14"/>
  <sheetViews>
    <sheetView showGridLines="0" tabSelected="1" zoomScaleNormal="100" zoomScalePageLayoutView="85" workbookViewId="0">
      <pane xSplit="3" ySplit="5" topLeftCell="D6" activePane="bottomRight" state="frozen"/>
      <selection activeCell="D5" sqref="D5"/>
      <selection pane="topRight" activeCell="D5" sqref="D5"/>
      <selection pane="bottomLeft" activeCell="D5" sqref="D5"/>
      <selection pane="bottomRight"/>
    </sheetView>
  </sheetViews>
  <sheetFormatPr defaultColWidth="9" defaultRowHeight="30" customHeight="1" x14ac:dyDescent="0.2"/>
  <cols>
    <col min="1" max="1" width="2.625" customWidth="1"/>
    <col min="2" max="3" width="28.25" customWidth="1"/>
    <col min="4" max="15" width="9.625" bestFit="1" customWidth="1"/>
    <col min="16" max="16" width="11.875" bestFit="1" customWidth="1"/>
    <col min="17" max="17" width="16.5" bestFit="1" customWidth="1"/>
    <col min="18" max="29" width="7.5" customWidth="1"/>
    <col min="30" max="30" width="16.75" bestFit="1" customWidth="1"/>
    <col min="31" max="31" width="2.625" customWidth="1"/>
  </cols>
  <sheetData>
    <row r="1" spans="2:30" ht="38.1" customHeight="1" x14ac:dyDescent="0.2">
      <c r="B1" s="38" t="s">
        <v>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2:30" ht="35.1" customHeight="1" x14ac:dyDescent="0.2">
      <c r="B2" s="41" t="s">
        <v>1</v>
      </c>
      <c r="C2" s="42"/>
      <c r="D2" s="42"/>
      <c r="E2" s="43" t="s">
        <v>14</v>
      </c>
      <c r="F2" s="44" t="s">
        <v>16</v>
      </c>
      <c r="G2" s="44">
        <f ca="1">YEAR(TODAY())</f>
        <v>2019</v>
      </c>
      <c r="H2" s="42"/>
      <c r="Q2" s="3"/>
      <c r="R2" s="3"/>
      <c r="S2" s="3"/>
      <c r="T2" s="3"/>
      <c r="U2" s="3"/>
      <c r="V2" s="3"/>
      <c r="W2" s="3"/>
      <c r="X2" s="3"/>
      <c r="Y2" s="3"/>
      <c r="Z2" s="3"/>
      <c r="AA2" s="3"/>
      <c r="AB2" s="3"/>
      <c r="AC2" s="3"/>
    </row>
    <row r="3" spans="2:30" ht="60" customHeight="1" x14ac:dyDescent="0.2">
      <c r="B3" s="37" t="s">
        <v>2</v>
      </c>
      <c r="C3" s="10"/>
      <c r="D3" s="11"/>
      <c r="E3" s="11"/>
      <c r="F3" s="11"/>
      <c r="G3" s="11"/>
      <c r="H3" s="11"/>
      <c r="I3" s="11"/>
      <c r="J3" s="11"/>
      <c r="K3" s="11"/>
      <c r="L3" s="11"/>
      <c r="M3" s="11"/>
      <c r="N3" s="11"/>
      <c r="O3" s="11"/>
      <c r="P3" s="10"/>
      <c r="Q3" s="10"/>
      <c r="R3" s="10"/>
      <c r="S3" s="10"/>
      <c r="T3" s="10"/>
      <c r="U3" s="10"/>
      <c r="V3" s="10"/>
      <c r="W3" s="10"/>
      <c r="X3" s="12"/>
      <c r="Y3" s="12"/>
      <c r="Z3" s="12"/>
      <c r="AA3" s="12"/>
      <c r="AB3" s="10"/>
      <c r="AC3" s="10"/>
      <c r="AD3" s="10"/>
    </row>
    <row r="4" spans="2:30" ht="15" customHeight="1" x14ac:dyDescent="0.2">
      <c r="D4" s="15"/>
      <c r="E4" s="15"/>
      <c r="F4" s="15"/>
      <c r="G4" s="15"/>
      <c r="H4" s="15"/>
      <c r="I4" s="15"/>
      <c r="J4" s="15"/>
      <c r="K4" s="15"/>
      <c r="L4" s="15"/>
      <c r="M4" s="15"/>
      <c r="N4" s="15"/>
      <c r="O4" s="15"/>
      <c r="P4" s="16"/>
      <c r="X4" s="2"/>
      <c r="Y4" s="2"/>
      <c r="Z4" s="2"/>
      <c r="AA4" s="2"/>
      <c r="AB4" s="7"/>
      <c r="AC4" s="7"/>
      <c r="AD4" s="7"/>
    </row>
    <row r="5" spans="2:30" ht="20.100000000000001" customHeight="1" x14ac:dyDescent="0.2">
      <c r="D5" s="84" t="str">
        <f ca="1">UPPER(TEXT(DATE(FYStartYear,FYMonthNo,1),"mmm-aa"))</f>
        <v>JAN-AA</v>
      </c>
      <c r="E5" s="84" t="str">
        <f ca="1">UPPER(TEXT(DATE(FYStartYear,FYMonthNo+1,1),"mmm-aa"))</f>
        <v>FEB-AA</v>
      </c>
      <c r="F5" s="84" t="str">
        <f ca="1">UPPER(TEXT(DATE(FYStartYear,FYMonthNo+2,1),"mmm-aa"))</f>
        <v>MAR-AA</v>
      </c>
      <c r="G5" s="84" t="str">
        <f ca="1">UPPER(TEXT(DATE(FYStartYear,FYMonthNo+3,1),"mmm-aa"))</f>
        <v>APR-AA</v>
      </c>
      <c r="H5" s="84" t="str">
        <f ca="1">UPPER(TEXT(DATE(FYStartYear,FYMonthNo+4,1),"mmm-aa"))</f>
        <v>MAY-AA</v>
      </c>
      <c r="I5" s="84" t="str">
        <f ca="1">UPPER(TEXT(DATE(FYStartYear,FYMonthNo+5,1),"mmm-aa"))</f>
        <v>JUN-AA</v>
      </c>
      <c r="J5" s="84" t="str">
        <f ca="1">UPPER(TEXT(DATE(FYStartYear,FYMonthNo+6,1),"mmm-aa"))</f>
        <v>JUL-AA</v>
      </c>
      <c r="K5" s="84" t="str">
        <f ca="1">UPPER(TEXT(DATE(FYStartYear,FYMonthNo+7,1),"mmm-aa"))</f>
        <v>AUG-AA</v>
      </c>
      <c r="L5" s="84" t="str">
        <f ca="1">UPPER(TEXT(DATE(FYStartYear,FYMonthNo+8,1),"mmm-aa"))</f>
        <v>SEP-AA</v>
      </c>
      <c r="M5" s="84" t="str">
        <f ca="1">UPPER(TEXT(DATE(FYStartYear,FYMonthNo+9,1),"mmm-aa"))</f>
        <v>OCT-AA</v>
      </c>
      <c r="N5" s="84" t="str">
        <f ca="1">UPPER(TEXT(DATE(FYStartYear,FYMonthNo+10,1),"mmm-aa"))</f>
        <v>NOV-AA</v>
      </c>
      <c r="O5" s="85" t="str">
        <f ca="1">UPPER(TEXT(DATE(FYStartYear,FYMonthNo+11,1),"mmm-aa"))</f>
        <v>DEC-AA</v>
      </c>
      <c r="P5" s="86" t="s">
        <v>27</v>
      </c>
      <c r="Q5" s="87" t="s">
        <v>29</v>
      </c>
      <c r="R5" s="88" t="str">
        <f ca="1">LEFT(D5,3)&amp;" %"</f>
        <v>JAN %</v>
      </c>
      <c r="S5" s="89" t="str">
        <f t="shared" ref="S5:AC5" ca="1" si="0">LEFT(E5,3)&amp;" %"</f>
        <v>FEB %</v>
      </c>
      <c r="T5" s="89" t="str">
        <f t="shared" ca="1" si="0"/>
        <v>MAR %</v>
      </c>
      <c r="U5" s="89" t="str">
        <f t="shared" ca="1" si="0"/>
        <v>APR %</v>
      </c>
      <c r="V5" s="89" t="str">
        <f t="shared" ca="1" si="0"/>
        <v>MAY %</v>
      </c>
      <c r="W5" s="89" t="str">
        <f t="shared" ca="1" si="0"/>
        <v>JUN %</v>
      </c>
      <c r="X5" s="89" t="str">
        <f t="shared" ca="1" si="0"/>
        <v>JUL %</v>
      </c>
      <c r="Y5" s="89" t="str">
        <f t="shared" ca="1" si="0"/>
        <v>AUG %</v>
      </c>
      <c r="Z5" s="89" t="str">
        <f t="shared" ca="1" si="0"/>
        <v>SEP %</v>
      </c>
      <c r="AA5" s="89" t="str">
        <f t="shared" ca="1" si="0"/>
        <v>OCT %</v>
      </c>
      <c r="AB5" s="89" t="str">
        <f t="shared" ca="1" si="0"/>
        <v>NOV %</v>
      </c>
      <c r="AC5" s="89" t="str">
        <f t="shared" ca="1" si="0"/>
        <v>DEC %</v>
      </c>
      <c r="AD5" s="90" t="s">
        <v>43</v>
      </c>
    </row>
    <row r="6" spans="2:30" ht="30" customHeight="1" x14ac:dyDescent="0.2">
      <c r="B6" s="33" t="s">
        <v>3</v>
      </c>
      <c r="C6" s="33" t="s">
        <v>12</v>
      </c>
      <c r="D6" s="8" t="s">
        <v>13</v>
      </c>
      <c r="E6" s="8" t="s">
        <v>15</v>
      </c>
      <c r="F6" s="8" t="s">
        <v>17</v>
      </c>
      <c r="G6" s="8" t="s">
        <v>18</v>
      </c>
      <c r="H6" s="8" t="s">
        <v>19</v>
      </c>
      <c r="I6" s="8" t="s">
        <v>20</v>
      </c>
      <c r="J6" s="8" t="s">
        <v>21</v>
      </c>
      <c r="K6" s="8" t="s">
        <v>22</v>
      </c>
      <c r="L6" s="8" t="s">
        <v>23</v>
      </c>
      <c r="M6" s="8" t="s">
        <v>24</v>
      </c>
      <c r="N6" s="8" t="s">
        <v>25</v>
      </c>
      <c r="O6" s="8" t="s">
        <v>26</v>
      </c>
      <c r="P6" s="18" t="s">
        <v>28</v>
      </c>
      <c r="Q6" s="8" t="s">
        <v>30</v>
      </c>
      <c r="R6" s="19" t="s">
        <v>31</v>
      </c>
      <c r="S6" s="8" t="s">
        <v>32</v>
      </c>
      <c r="T6" s="8" t="s">
        <v>33</v>
      </c>
      <c r="U6" s="8" t="s">
        <v>34</v>
      </c>
      <c r="V6" s="8" t="s">
        <v>35</v>
      </c>
      <c r="W6" s="8" t="s">
        <v>36</v>
      </c>
      <c r="X6" s="8" t="s">
        <v>37</v>
      </c>
      <c r="Y6" s="8" t="s">
        <v>38</v>
      </c>
      <c r="Z6" s="8" t="s">
        <v>39</v>
      </c>
      <c r="AA6" s="8" t="s">
        <v>40</v>
      </c>
      <c r="AB6" s="8" t="s">
        <v>41</v>
      </c>
      <c r="AC6" s="8" t="s">
        <v>42</v>
      </c>
      <c r="AD6" s="20" t="s">
        <v>44</v>
      </c>
    </row>
    <row r="7" spans="2:30" ht="30" customHeight="1" x14ac:dyDescent="0.2">
      <c r="B7" s="13" t="s">
        <v>4</v>
      </c>
      <c r="C7" s="14"/>
      <c r="D7" s="63">
        <v>186</v>
      </c>
      <c r="E7" s="63">
        <v>108</v>
      </c>
      <c r="F7" s="63">
        <v>92</v>
      </c>
      <c r="G7" s="63">
        <v>122</v>
      </c>
      <c r="H7" s="63">
        <v>190</v>
      </c>
      <c r="I7" s="63">
        <v>71</v>
      </c>
      <c r="J7" s="63">
        <v>21</v>
      </c>
      <c r="K7" s="63">
        <v>37</v>
      </c>
      <c r="L7" s="63">
        <v>24</v>
      </c>
      <c r="M7" s="63">
        <v>178</v>
      </c>
      <c r="N7" s="63">
        <v>92</v>
      </c>
      <c r="O7" s="63">
        <v>97</v>
      </c>
      <c r="P7" s="64">
        <f>SUM(Ingresos[[#This Row],[Ene]:[Dic]])</f>
        <v>1218</v>
      </c>
      <c r="Q7" s="67">
        <v>0.12</v>
      </c>
      <c r="R7" s="68">
        <f>IFERROR(Ingresos[[#This Row],[Ene]]/Ingresos[[#Totals],[Ene]],"-")</f>
        <v>0.29807692307692307</v>
      </c>
      <c r="S7" s="67">
        <f>IFERROR(Ingresos[[#This Row],[Feb]]/Ingresos[[#Totals],[Feb]],"-")</f>
        <v>0.14673913043478262</v>
      </c>
      <c r="T7" s="67">
        <f>IFERROR(Ingresos[[#This Row],[Mar]]/Ingresos[[#Totals],[Mar]],"-")</f>
        <v>0.11219512195121951</v>
      </c>
      <c r="U7" s="67">
        <f>IFERROR(Ingresos[[#This Row],[Abr]]/Ingresos[[#Totals],[Abr]],"-")</f>
        <v>0.19967266775777415</v>
      </c>
      <c r="V7" s="67">
        <f>IFERROR(Ingresos[[#This Row],[May]]/Ingresos[[#Totals],[May]],"-")</f>
        <v>0.23399014778325122</v>
      </c>
      <c r="W7" s="67">
        <f>IFERROR(Ingresos[[#This Row],[Jun]]/Ingresos[[#Totals],[Jun]],"-")</f>
        <v>0.12283737024221453</v>
      </c>
      <c r="X7" s="67">
        <f>IFERROR(Ingresos[[#This Row],[Jul]]/Ingresos[[#Totals],[Jul]],"-")</f>
        <v>3.5175879396984924E-2</v>
      </c>
      <c r="Y7" s="67">
        <f>IFERROR(Ingresos[[#This Row],[Ago]]/Ingresos[[#Totals],[Ago]],"-")</f>
        <v>5.4814814814814816E-2</v>
      </c>
      <c r="Z7" s="67">
        <f>IFERROR(Ingresos[[#This Row],[Sep]]/Ingresos[[#Totals],[Sep]],"-")</f>
        <v>3.2258064516129031E-2</v>
      </c>
      <c r="AA7" s="67">
        <f>IFERROR(Ingresos[[#This Row],[Oct]]/Ingresos[[#Totals],[Oct]],"-")</f>
        <v>0.26138032305433184</v>
      </c>
      <c r="AB7" s="67">
        <f>IFERROR(Ingresos[[#This Row],[Nov]]/Ingresos[[#Totals],[Nov]],"-")</f>
        <v>0.12449255751014884</v>
      </c>
      <c r="AC7" s="67">
        <f>IFERROR(Ingresos[[#This Row],[Dic]]/Ingresos[[#Totals],[Dic]],"-")</f>
        <v>9.3000958772770856E-2</v>
      </c>
      <c r="AD7" s="69">
        <f>IFERROR(Ingresos[[#This Row],[Anualmente]]/Ingresos[[#Totals],[Anualmente]],"-")</f>
        <v>0.14064665127020784</v>
      </c>
    </row>
    <row r="8" spans="2:30" ht="30" customHeight="1" x14ac:dyDescent="0.2">
      <c r="B8" s="13" t="s">
        <v>5</v>
      </c>
      <c r="C8" s="14"/>
      <c r="D8" s="63">
        <v>15</v>
      </c>
      <c r="E8" s="63">
        <v>16</v>
      </c>
      <c r="F8" s="63">
        <v>198</v>
      </c>
      <c r="G8" s="63">
        <v>44</v>
      </c>
      <c r="H8" s="63">
        <v>25</v>
      </c>
      <c r="I8" s="63">
        <v>68</v>
      </c>
      <c r="J8" s="63">
        <v>43</v>
      </c>
      <c r="K8" s="63">
        <v>119</v>
      </c>
      <c r="L8" s="63">
        <v>37</v>
      </c>
      <c r="M8" s="63">
        <v>118</v>
      </c>
      <c r="N8" s="63">
        <v>29</v>
      </c>
      <c r="O8" s="63">
        <v>171</v>
      </c>
      <c r="P8" s="64">
        <f>SUM(Ingresos[[#This Row],[Ene]:[Dic]])</f>
        <v>883</v>
      </c>
      <c r="Q8" s="67">
        <v>0.18</v>
      </c>
      <c r="R8" s="68">
        <f>IFERROR(Ingresos[[#This Row],[Ene]]/Ingresos[[#Totals],[Ene]],"-")</f>
        <v>2.403846153846154E-2</v>
      </c>
      <c r="S8" s="67">
        <f>IFERROR(Ingresos[[#This Row],[Feb]]/Ingresos[[#Totals],[Feb]],"-")</f>
        <v>2.1739130434782608E-2</v>
      </c>
      <c r="T8" s="67">
        <f>IFERROR(Ingresos[[#This Row],[Mar]]/Ingresos[[#Totals],[Mar]],"-")</f>
        <v>0.24146341463414633</v>
      </c>
      <c r="U8" s="67">
        <f>IFERROR(Ingresos[[#This Row],[Abr]]/Ingresos[[#Totals],[Abr]],"-")</f>
        <v>7.2013093289689037E-2</v>
      </c>
      <c r="V8" s="67">
        <f>IFERROR(Ingresos[[#This Row],[May]]/Ingresos[[#Totals],[May]],"-")</f>
        <v>3.0788177339901478E-2</v>
      </c>
      <c r="W8" s="67">
        <f>IFERROR(Ingresos[[#This Row],[Jun]]/Ingresos[[#Totals],[Jun]],"-")</f>
        <v>0.11764705882352941</v>
      </c>
      <c r="X8" s="67">
        <f>IFERROR(Ingresos[[#This Row],[Jul]]/Ingresos[[#Totals],[Jul]],"-")</f>
        <v>7.2026800670016752E-2</v>
      </c>
      <c r="Y8" s="67">
        <f>IFERROR(Ingresos[[#This Row],[Ago]]/Ingresos[[#Totals],[Ago]],"-")</f>
        <v>0.17629629629629628</v>
      </c>
      <c r="Z8" s="67">
        <f>IFERROR(Ingresos[[#This Row],[Sep]]/Ingresos[[#Totals],[Sep]],"-")</f>
        <v>4.9731182795698922E-2</v>
      </c>
      <c r="AA8" s="67">
        <f>IFERROR(Ingresos[[#This Row],[Oct]]/Ingresos[[#Totals],[Oct]],"-")</f>
        <v>0.17327459618208516</v>
      </c>
      <c r="AB8" s="67">
        <f>IFERROR(Ingresos[[#This Row],[Nov]]/Ingresos[[#Totals],[Nov]],"-")</f>
        <v>3.9242219215155617E-2</v>
      </c>
      <c r="AC8" s="67">
        <f>IFERROR(Ingresos[[#This Row],[Dic]]/Ingresos[[#Totals],[Dic]],"-")</f>
        <v>0.16395014381591563</v>
      </c>
      <c r="AD8" s="69">
        <f>IFERROR(Ingresos[[#This Row],[Anualmente]]/Ingresos[[#Totals],[Anualmente]],"-")</f>
        <v>0.10196304849884527</v>
      </c>
    </row>
    <row r="9" spans="2:30" ht="30" customHeight="1" x14ac:dyDescent="0.2">
      <c r="B9" s="13" t="s">
        <v>6</v>
      </c>
      <c r="C9" s="14"/>
      <c r="D9" s="63">
        <v>166</v>
      </c>
      <c r="E9" s="63">
        <v>185</v>
      </c>
      <c r="F9" s="63">
        <v>89</v>
      </c>
      <c r="G9" s="63">
        <v>170</v>
      </c>
      <c r="H9" s="63">
        <v>131</v>
      </c>
      <c r="I9" s="63">
        <v>70</v>
      </c>
      <c r="J9" s="63">
        <v>50</v>
      </c>
      <c r="K9" s="63">
        <v>149</v>
      </c>
      <c r="L9" s="63">
        <v>179</v>
      </c>
      <c r="M9" s="63">
        <v>104</v>
      </c>
      <c r="N9" s="63">
        <v>119</v>
      </c>
      <c r="O9" s="63">
        <v>187</v>
      </c>
      <c r="P9" s="64">
        <f>SUM(Ingresos[[#This Row],[Ene]:[Dic]])</f>
        <v>1599</v>
      </c>
      <c r="Q9" s="67">
        <v>0.19</v>
      </c>
      <c r="R9" s="68">
        <f>IFERROR(Ingresos[[#This Row],[Ene]]/Ingresos[[#Totals],[Ene]],"-")</f>
        <v>0.26602564102564102</v>
      </c>
      <c r="S9" s="67">
        <f>IFERROR(Ingresos[[#This Row],[Feb]]/Ingresos[[#Totals],[Feb]],"-")</f>
        <v>0.25135869565217389</v>
      </c>
      <c r="T9" s="67">
        <f>IFERROR(Ingresos[[#This Row],[Mar]]/Ingresos[[#Totals],[Mar]],"-")</f>
        <v>0.10853658536585366</v>
      </c>
      <c r="U9" s="67">
        <f>IFERROR(Ingresos[[#This Row],[Abr]]/Ingresos[[#Totals],[Abr]],"-")</f>
        <v>0.27823240589198034</v>
      </c>
      <c r="V9" s="67">
        <f>IFERROR(Ingresos[[#This Row],[May]]/Ingresos[[#Totals],[May]],"-")</f>
        <v>0.16133004926108374</v>
      </c>
      <c r="W9" s="67">
        <f>IFERROR(Ingresos[[#This Row],[Jun]]/Ingresos[[#Totals],[Jun]],"-")</f>
        <v>0.12110726643598616</v>
      </c>
      <c r="X9" s="67">
        <f>IFERROR(Ingresos[[#This Row],[Jul]]/Ingresos[[#Totals],[Jul]],"-")</f>
        <v>8.3752093802345065E-2</v>
      </c>
      <c r="Y9" s="67">
        <f>IFERROR(Ingresos[[#This Row],[Ago]]/Ingresos[[#Totals],[Ago]],"-")</f>
        <v>0.22074074074074074</v>
      </c>
      <c r="Z9" s="67">
        <f>IFERROR(Ingresos[[#This Row],[Sep]]/Ingresos[[#Totals],[Sep]],"-")</f>
        <v>0.24059139784946237</v>
      </c>
      <c r="AA9" s="67">
        <f>IFERROR(Ingresos[[#This Row],[Oct]]/Ingresos[[#Totals],[Oct]],"-")</f>
        <v>0.1527165932452276</v>
      </c>
      <c r="AB9" s="67">
        <f>IFERROR(Ingresos[[#This Row],[Nov]]/Ingresos[[#Totals],[Nov]],"-")</f>
        <v>0.16102841677943167</v>
      </c>
      <c r="AC9" s="67">
        <f>IFERROR(Ingresos[[#This Row],[Dic]]/Ingresos[[#Totals],[Dic]],"-")</f>
        <v>0.17929050814956854</v>
      </c>
      <c r="AD9" s="69">
        <f>IFERROR(Ingresos[[#This Row],[Anualmente]]/Ingresos[[#Totals],[Anualmente]],"-")</f>
        <v>0.18464203233256352</v>
      </c>
    </row>
    <row r="10" spans="2:30" ht="30" customHeight="1" x14ac:dyDescent="0.2">
      <c r="B10" s="13" t="s">
        <v>7</v>
      </c>
      <c r="C10" s="14"/>
      <c r="D10" s="63">
        <v>21</v>
      </c>
      <c r="E10" s="63">
        <v>113</v>
      </c>
      <c r="F10" s="63">
        <v>83</v>
      </c>
      <c r="G10" s="63">
        <v>17</v>
      </c>
      <c r="H10" s="63">
        <v>130</v>
      </c>
      <c r="I10" s="63">
        <v>26</v>
      </c>
      <c r="J10" s="63">
        <v>167</v>
      </c>
      <c r="K10" s="63">
        <v>102</v>
      </c>
      <c r="L10" s="63">
        <v>82</v>
      </c>
      <c r="M10" s="63">
        <v>33</v>
      </c>
      <c r="N10" s="63">
        <v>88</v>
      </c>
      <c r="O10" s="63">
        <v>193</v>
      </c>
      <c r="P10" s="64">
        <f>SUM(Ingresos[[#This Row],[Ene]:[Dic]])</f>
        <v>1055</v>
      </c>
      <c r="Q10" s="67">
        <v>0.11</v>
      </c>
      <c r="R10" s="68">
        <f>IFERROR(Ingresos[[#This Row],[Ene]]/Ingresos[[#Totals],[Ene]],"-")</f>
        <v>3.3653846153846152E-2</v>
      </c>
      <c r="S10" s="67">
        <f>IFERROR(Ingresos[[#This Row],[Feb]]/Ingresos[[#Totals],[Feb]],"-")</f>
        <v>0.15353260869565216</v>
      </c>
      <c r="T10" s="67">
        <f>IFERROR(Ingresos[[#This Row],[Mar]]/Ingresos[[#Totals],[Mar]],"-")</f>
        <v>0.10121951219512196</v>
      </c>
      <c r="U10" s="67">
        <f>IFERROR(Ingresos[[#This Row],[Abr]]/Ingresos[[#Totals],[Abr]],"-")</f>
        <v>2.7823240589198037E-2</v>
      </c>
      <c r="V10" s="67">
        <f>IFERROR(Ingresos[[#This Row],[May]]/Ingresos[[#Totals],[May]],"-")</f>
        <v>0.16009852216748768</v>
      </c>
      <c r="W10" s="67">
        <f>IFERROR(Ingresos[[#This Row],[Jun]]/Ingresos[[#Totals],[Jun]],"-")</f>
        <v>4.4982698961937718E-2</v>
      </c>
      <c r="X10" s="67">
        <f>IFERROR(Ingresos[[#This Row],[Jul]]/Ingresos[[#Totals],[Jul]],"-")</f>
        <v>0.2797319932998325</v>
      </c>
      <c r="Y10" s="67">
        <f>IFERROR(Ingresos[[#This Row],[Ago]]/Ingresos[[#Totals],[Ago]],"-")</f>
        <v>0.15111111111111111</v>
      </c>
      <c r="Z10" s="67">
        <f>IFERROR(Ingresos[[#This Row],[Sep]]/Ingresos[[#Totals],[Sep]],"-")</f>
        <v>0.11021505376344086</v>
      </c>
      <c r="AA10" s="67">
        <f>IFERROR(Ingresos[[#This Row],[Oct]]/Ingresos[[#Totals],[Oct]],"-")</f>
        <v>4.8458149779735685E-2</v>
      </c>
      <c r="AB10" s="67">
        <f>IFERROR(Ingresos[[#This Row],[Nov]]/Ingresos[[#Totals],[Nov]],"-")</f>
        <v>0.11907983761840325</v>
      </c>
      <c r="AC10" s="67">
        <f>IFERROR(Ingresos[[#This Row],[Dic]]/Ingresos[[#Totals],[Dic]],"-")</f>
        <v>0.18504314477468839</v>
      </c>
      <c r="AD10" s="69">
        <f>IFERROR(Ingresos[[#This Row],[Anualmente]]/Ingresos[[#Totals],[Anualmente]],"-")</f>
        <v>0.12182448036951501</v>
      </c>
    </row>
    <row r="11" spans="2:30" ht="30" customHeight="1" x14ac:dyDescent="0.2">
      <c r="B11" s="13" t="s">
        <v>8</v>
      </c>
      <c r="C11" s="14"/>
      <c r="D11" s="63">
        <v>70</v>
      </c>
      <c r="E11" s="63">
        <v>160</v>
      </c>
      <c r="F11" s="63">
        <v>125</v>
      </c>
      <c r="G11" s="63">
        <v>84</v>
      </c>
      <c r="H11" s="63">
        <v>191</v>
      </c>
      <c r="I11" s="63">
        <v>97</v>
      </c>
      <c r="J11" s="63">
        <v>52</v>
      </c>
      <c r="K11" s="63">
        <v>45</v>
      </c>
      <c r="L11" s="63">
        <v>173</v>
      </c>
      <c r="M11" s="63">
        <v>136</v>
      </c>
      <c r="N11" s="63">
        <v>144</v>
      </c>
      <c r="O11" s="63">
        <v>167</v>
      </c>
      <c r="P11" s="64">
        <f>SUM(Ingresos[[#This Row],[Ene]:[Dic]])</f>
        <v>1444</v>
      </c>
      <c r="Q11" s="67">
        <v>0.2</v>
      </c>
      <c r="R11" s="68">
        <f>IFERROR(Ingresos[[#This Row],[Ene]]/Ingresos[[#Totals],[Ene]],"-")</f>
        <v>0.11217948717948718</v>
      </c>
      <c r="S11" s="67">
        <f>IFERROR(Ingresos[[#This Row],[Feb]]/Ingresos[[#Totals],[Feb]],"-")</f>
        <v>0.21739130434782608</v>
      </c>
      <c r="T11" s="67">
        <f>IFERROR(Ingresos[[#This Row],[Mar]]/Ingresos[[#Totals],[Mar]],"-")</f>
        <v>0.1524390243902439</v>
      </c>
      <c r="U11" s="67">
        <f>IFERROR(Ingresos[[#This Row],[Abr]]/Ingresos[[#Totals],[Abr]],"-")</f>
        <v>0.13747954173486088</v>
      </c>
      <c r="V11" s="67">
        <f>IFERROR(Ingresos[[#This Row],[May]]/Ingresos[[#Totals],[May]],"-")</f>
        <v>0.23522167487684728</v>
      </c>
      <c r="W11" s="67">
        <f>IFERROR(Ingresos[[#This Row],[Jun]]/Ingresos[[#Totals],[Jun]],"-")</f>
        <v>0.16782006920415224</v>
      </c>
      <c r="X11" s="67">
        <f>IFERROR(Ingresos[[#This Row],[Jul]]/Ingresos[[#Totals],[Jul]],"-")</f>
        <v>8.7102177554438859E-2</v>
      </c>
      <c r="Y11" s="67">
        <f>IFERROR(Ingresos[[#This Row],[Ago]]/Ingresos[[#Totals],[Ago]],"-")</f>
        <v>6.6666666666666666E-2</v>
      </c>
      <c r="Z11" s="67">
        <f>IFERROR(Ingresos[[#This Row],[Sep]]/Ingresos[[#Totals],[Sep]],"-")</f>
        <v>0.2325268817204301</v>
      </c>
      <c r="AA11" s="67">
        <f>IFERROR(Ingresos[[#This Row],[Oct]]/Ingresos[[#Totals],[Oct]],"-")</f>
        <v>0.19970631424375918</v>
      </c>
      <c r="AB11" s="67">
        <f>IFERROR(Ingresos[[#This Row],[Nov]]/Ingresos[[#Totals],[Nov]],"-")</f>
        <v>0.19485791610284167</v>
      </c>
      <c r="AC11" s="67">
        <f>IFERROR(Ingresos[[#This Row],[Dic]]/Ingresos[[#Totals],[Dic]],"-")</f>
        <v>0.1601150527325024</v>
      </c>
      <c r="AD11" s="69">
        <f>IFERROR(Ingresos[[#This Row],[Anualmente]]/Ingresos[[#Totals],[Anualmente]],"-")</f>
        <v>0.16674364896073904</v>
      </c>
    </row>
    <row r="12" spans="2:30" ht="30" customHeight="1" x14ac:dyDescent="0.2">
      <c r="B12" s="13" t="s">
        <v>9</v>
      </c>
      <c r="C12" s="14"/>
      <c r="D12" s="63">
        <v>61</v>
      </c>
      <c r="E12" s="63">
        <v>99</v>
      </c>
      <c r="F12" s="63">
        <v>70</v>
      </c>
      <c r="G12" s="63">
        <v>162</v>
      </c>
      <c r="H12" s="63">
        <v>28</v>
      </c>
      <c r="I12" s="63">
        <v>163</v>
      </c>
      <c r="J12" s="63">
        <v>101</v>
      </c>
      <c r="K12" s="63">
        <v>103</v>
      </c>
      <c r="L12" s="63">
        <v>78</v>
      </c>
      <c r="M12" s="63">
        <v>33</v>
      </c>
      <c r="N12" s="63">
        <v>162</v>
      </c>
      <c r="O12" s="63">
        <v>159</v>
      </c>
      <c r="P12" s="64">
        <f>SUM(Ingresos[[#This Row],[Ene]:[Dic]])</f>
        <v>1219</v>
      </c>
      <c r="Q12" s="67">
        <v>0.1</v>
      </c>
      <c r="R12" s="68">
        <f>IFERROR(Ingresos[[#This Row],[Ene]]/Ingresos[[#Totals],[Ene]],"-")</f>
        <v>9.7756410256410256E-2</v>
      </c>
      <c r="S12" s="67">
        <f>IFERROR(Ingresos[[#This Row],[Feb]]/Ingresos[[#Totals],[Feb]],"-")</f>
        <v>0.13451086956521738</v>
      </c>
      <c r="T12" s="67">
        <f>IFERROR(Ingresos[[#This Row],[Mar]]/Ingresos[[#Totals],[Mar]],"-")</f>
        <v>8.5365853658536592E-2</v>
      </c>
      <c r="U12" s="67">
        <f>IFERROR(Ingresos[[#This Row],[Abr]]/Ingresos[[#Totals],[Abr]],"-")</f>
        <v>0.265139116202946</v>
      </c>
      <c r="V12" s="67">
        <f>IFERROR(Ingresos[[#This Row],[May]]/Ingresos[[#Totals],[May]],"-")</f>
        <v>3.4482758620689655E-2</v>
      </c>
      <c r="W12" s="67">
        <f>IFERROR(Ingresos[[#This Row],[Jun]]/Ingresos[[#Totals],[Jun]],"-")</f>
        <v>0.2820069204152249</v>
      </c>
      <c r="X12" s="67">
        <f>IFERROR(Ingresos[[#This Row],[Jul]]/Ingresos[[#Totals],[Jul]],"-")</f>
        <v>0.16917922948073702</v>
      </c>
      <c r="Y12" s="67">
        <f>IFERROR(Ingresos[[#This Row],[Ago]]/Ingresos[[#Totals],[Ago]],"-")</f>
        <v>0.15259259259259259</v>
      </c>
      <c r="Z12" s="67">
        <f>IFERROR(Ingresos[[#This Row],[Sep]]/Ingresos[[#Totals],[Sep]],"-")</f>
        <v>0.10483870967741936</v>
      </c>
      <c r="AA12" s="67">
        <f>IFERROR(Ingresos[[#This Row],[Oct]]/Ingresos[[#Totals],[Oct]],"-")</f>
        <v>4.8458149779735685E-2</v>
      </c>
      <c r="AB12" s="67">
        <f>IFERROR(Ingresos[[#This Row],[Nov]]/Ingresos[[#Totals],[Nov]],"-")</f>
        <v>0.21921515561569688</v>
      </c>
      <c r="AC12" s="67">
        <f>IFERROR(Ingresos[[#This Row],[Dic]]/Ingresos[[#Totals],[Dic]],"-")</f>
        <v>0.15244487056567593</v>
      </c>
      <c r="AD12" s="69">
        <f>IFERROR(Ingresos[[#This Row],[Anualmente]]/Ingresos[[#Totals],[Anualmente]],"-")</f>
        <v>0.14076212471131641</v>
      </c>
    </row>
    <row r="13" spans="2:30" ht="30" customHeight="1" x14ac:dyDescent="0.2">
      <c r="B13" s="13" t="s">
        <v>10</v>
      </c>
      <c r="C13" s="14"/>
      <c r="D13" s="63">
        <v>105</v>
      </c>
      <c r="E13" s="63">
        <v>55</v>
      </c>
      <c r="F13" s="63">
        <v>163</v>
      </c>
      <c r="G13" s="63">
        <v>12</v>
      </c>
      <c r="H13" s="63">
        <v>117</v>
      </c>
      <c r="I13" s="63">
        <v>83</v>
      </c>
      <c r="J13" s="63">
        <v>163</v>
      </c>
      <c r="K13" s="63">
        <v>120</v>
      </c>
      <c r="L13" s="63">
        <v>171</v>
      </c>
      <c r="M13" s="63">
        <v>79</v>
      </c>
      <c r="N13" s="63">
        <v>105</v>
      </c>
      <c r="O13" s="63">
        <v>69</v>
      </c>
      <c r="P13" s="64">
        <f>SUM(Ingresos[[#This Row],[Ene]:[Dic]])</f>
        <v>1242</v>
      </c>
      <c r="Q13" s="67">
        <v>0.1</v>
      </c>
      <c r="R13" s="68">
        <f>IFERROR(Ingresos[[#This Row],[Ene]]/Ingresos[[#Totals],[Ene]],"-")</f>
        <v>0.16826923076923078</v>
      </c>
      <c r="S13" s="67">
        <f>IFERROR(Ingresos[[#This Row],[Feb]]/Ingresos[[#Totals],[Feb]],"-")</f>
        <v>7.4728260869565216E-2</v>
      </c>
      <c r="T13" s="67">
        <f>IFERROR(Ingresos[[#This Row],[Mar]]/Ingresos[[#Totals],[Mar]],"-")</f>
        <v>0.19878048780487806</v>
      </c>
      <c r="U13" s="67">
        <f>IFERROR(Ingresos[[#This Row],[Abr]]/Ingresos[[#Totals],[Abr]],"-")</f>
        <v>1.9639934533551555E-2</v>
      </c>
      <c r="V13" s="67">
        <f>IFERROR(Ingresos[[#This Row],[May]]/Ingresos[[#Totals],[May]],"-")</f>
        <v>0.14408866995073891</v>
      </c>
      <c r="W13" s="67">
        <f>IFERROR(Ingresos[[#This Row],[Jun]]/Ingresos[[#Totals],[Jun]],"-")</f>
        <v>0.14359861591695502</v>
      </c>
      <c r="X13" s="67">
        <f>IFERROR(Ingresos[[#This Row],[Jul]]/Ingresos[[#Totals],[Jul]],"-")</f>
        <v>0.27303182579564489</v>
      </c>
      <c r="Y13" s="67">
        <f>IFERROR(Ingresos[[#This Row],[Ago]]/Ingresos[[#Totals],[Ago]],"-")</f>
        <v>0.17777777777777778</v>
      </c>
      <c r="Z13" s="67">
        <f>IFERROR(Ingresos[[#This Row],[Sep]]/Ingresos[[#Totals],[Sep]],"-")</f>
        <v>0.22983870967741934</v>
      </c>
      <c r="AA13" s="67">
        <f>IFERROR(Ingresos[[#This Row],[Oct]]/Ingresos[[#Totals],[Oct]],"-")</f>
        <v>0.11600587371512482</v>
      </c>
      <c r="AB13" s="67">
        <f>IFERROR(Ingresos[[#This Row],[Nov]]/Ingresos[[#Totals],[Nov]],"-")</f>
        <v>0.14208389715832206</v>
      </c>
      <c r="AC13" s="67">
        <f>IFERROR(Ingresos[[#This Row],[Dic]]/Ingresos[[#Totals],[Dic]],"-")</f>
        <v>6.6155321188878236E-2</v>
      </c>
      <c r="AD13" s="69">
        <f>IFERROR(Ingresos[[#This Row],[Anualmente]]/Ingresos[[#Totals],[Anualmente]],"-")</f>
        <v>0.14341801385681294</v>
      </c>
    </row>
    <row r="14" spans="2:30" ht="30" customHeight="1" x14ac:dyDescent="0.2">
      <c r="B14" s="17" t="s">
        <v>11</v>
      </c>
      <c r="D14" s="65">
        <f>SUBTOTAL(109,Ingresos[Ene])</f>
        <v>624</v>
      </c>
      <c r="E14" s="65">
        <f>SUBTOTAL(109,Ingresos[Feb])</f>
        <v>736</v>
      </c>
      <c r="F14" s="65">
        <f>SUBTOTAL(109,Ingresos[Mar])</f>
        <v>820</v>
      </c>
      <c r="G14" s="65">
        <f>SUBTOTAL(109,Ingresos[Abr])</f>
        <v>611</v>
      </c>
      <c r="H14" s="65">
        <f>SUBTOTAL(109,Ingresos[May])</f>
        <v>812</v>
      </c>
      <c r="I14" s="65">
        <f>SUBTOTAL(109,Ingresos[Jun])</f>
        <v>578</v>
      </c>
      <c r="J14" s="65">
        <f>SUBTOTAL(109,Ingresos[Jul])</f>
        <v>597</v>
      </c>
      <c r="K14" s="65">
        <f>SUBTOTAL(109,Ingresos[Ago])</f>
        <v>675</v>
      </c>
      <c r="L14" s="65">
        <f>SUBTOTAL(109,Ingresos[Sep])</f>
        <v>744</v>
      </c>
      <c r="M14" s="65">
        <f>SUBTOTAL(109,Ingresos[Oct])</f>
        <v>681</v>
      </c>
      <c r="N14" s="65">
        <f>SUBTOTAL(109,Ingresos[Nov])</f>
        <v>739</v>
      </c>
      <c r="O14" s="65">
        <f>SUBTOTAL(109,Ingresos[Dic])</f>
        <v>1043</v>
      </c>
      <c r="P14" s="66">
        <f>SUBTOTAL(109,Ingresos[Anualmente])</f>
        <v>8660</v>
      </c>
      <c r="Q14" s="9">
        <f>SUBTOTAL(109,Ingresos[Porcentaje de índice])</f>
        <v>1</v>
      </c>
      <c r="R14" s="21">
        <f>SUBTOTAL(109,Ingresos[Porcentaje de ene])</f>
        <v>1</v>
      </c>
      <c r="S14" s="22">
        <f>SUBTOTAL(109,Ingresos[Porcentaje de feb])</f>
        <v>1</v>
      </c>
      <c r="T14" s="22">
        <f>SUBTOTAL(109,Ingresos[Porcentaje de mar])</f>
        <v>1</v>
      </c>
      <c r="U14" s="22">
        <f>SUBTOTAL(109,Ingresos[Porcentaje de abr])</f>
        <v>0.99999999999999989</v>
      </c>
      <c r="V14" s="22">
        <f>SUBTOTAL(109,Ingresos[Porcentaje de may])</f>
        <v>0.99999999999999989</v>
      </c>
      <c r="W14" s="22">
        <f>SUBTOTAL(109,Ingresos[Porcentaje de jun])</f>
        <v>1</v>
      </c>
      <c r="X14" s="22">
        <f>SUBTOTAL(109,Ingresos[Porcentaje de jul])</f>
        <v>1</v>
      </c>
      <c r="Y14" s="22">
        <f>SUBTOTAL(109,Ingresos[Porcentaje de ago])</f>
        <v>1</v>
      </c>
      <c r="Z14" s="22">
        <f>SUBTOTAL(109,Ingresos[Porcentaje de sep])</f>
        <v>1</v>
      </c>
      <c r="AA14" s="22">
        <f>SUBTOTAL(109,Ingresos[Porcentaje de oct])</f>
        <v>1</v>
      </c>
      <c r="AB14" s="22">
        <f>SUBTOTAL(109,Ingresos[Porcentaje de nov])</f>
        <v>1</v>
      </c>
      <c r="AC14" s="22">
        <f>SUBTOTAL(109,Ingresos[Porcentaje de dic])</f>
        <v>0.99999999999999989</v>
      </c>
      <c r="AD14" s="23">
        <f>SUBTOTAL(109,Ingresos[Porcentaje anual])</f>
        <v>1</v>
      </c>
    </row>
  </sheetData>
  <dataConsolidate/>
  <dataValidations count="18">
    <dataValidation allowBlank="1" showInputMessage="1" showErrorMessage="1" prompt="Los ingresos anuales se calculan automáticamente en esta columna." sqref="P5" xr:uid="{00000000-0002-0000-0000-000000000000}"/>
    <dataValidation allowBlank="1" showInputMessage="1" showErrorMessage="1" prompt="Escribe un título para el período de proyección para el que se calculan las ventas totales." sqref="B2" xr:uid="{00000000-0002-0000-0000-000001000000}"/>
    <dataValidation allowBlank="1" showInputMessage="1" showErrorMessage="1" prompt="Escribe el nombre de la compañía en esta celda." sqref="B1" xr:uid="{00000000-0002-0000-0000-000002000000}"/>
    <dataValidation allowBlank="1" showInputMessage="1" showErrorMessage="1" prompt="Las fechas de la fila se actualizan automáticamente en función del mes inicial del año fiscal. Para cambiar el mes inicial, modifica la celda F2." sqref="D5" xr:uid="{00000000-0002-0000-0000-000003000000}"/>
    <dataValidation allowBlank="1" showInputMessage="1" showErrorMessage="1" prompt="Escribe el porcentaje de índice en esta columna." sqref="Q6" xr:uid="{00000000-0002-0000-0000-000004000000}"/>
    <dataValidation allowBlank="1" showInputMessage="1" showErrorMessage="1" prompt="Mes actualizado automáticamente" sqref="E5:O5" xr:uid="{00000000-0002-0000-0000-000007000000}"/>
    <dataValidation allowBlank="1" showInputMessage="1" showErrorMessage="1" prompt="Calcula automáticamente la proporción de ventas en función de distintos orígenes a las ventas totales del mes en esta columna." sqref="R5:AC5" xr:uid="{00000000-0002-0000-0000-000008000000}"/>
    <dataValidation allowBlank="1" showInputMessage="1" showErrorMessage="1" prompt="Calcula automáticamente la proporción de ventas en función de distintos orígenes a las ventas totales del año en esta columna." sqref="AD5" xr:uid="{00000000-0002-0000-0000-000009000000}"/>
    <dataValidation allowBlank="1" showInputMessage="1" showErrorMessage="1" prompt="Escribe los ingresos generados por ventas en esta columna." sqref="B6" xr:uid="{00000000-0002-0000-0000-00000A000000}"/>
    <dataValidation allowBlank="1" showInputMessage="1" showErrorMessage="1" prompt="En esta columna, se encuentra un gráfico de tendencia de beneficios a lo largo del tiempo." sqref="C6" xr:uid="{00000000-0002-0000-0000-00000B000000}"/>
    <dataValidation allowBlank="1" showInputMessage="1" showErrorMessage="1" prompt="Escribe en esta columna el beneficio de las fuentes enumeradas en la columna B." sqref="D6:O6" xr:uid="{00000000-0002-0000-0000-00000C000000}"/>
    <dataValidation allowBlank="1" showInputMessage="1" showErrorMessage="1" prompt="El porcentaje de índice se encuentra en esta columna." sqref="Q5" xr:uid="{00000000-0002-0000-0000-00000D000000}"/>
    <dataValidation errorStyle="information" allowBlank="1" showInputMessage="1" errorTitle="Año desconocido" error="Selecciona un año de la lista desplegable. Para agregar o quitar un año de la lista, en la pestaña Datos, en el grupo Herramientas de datos, haz clic en Validación de datos." prompt="Escribe el año en esta celda." sqref="G2" xr:uid="{00000000-0002-0000-0000-00000F000000}"/>
    <dataValidation allowBlank="1" showInputMessage="1" showErrorMessage="1" prompt="El título de la proyección se encuentra en esta celda. Escribe los valores en la tabla Ingresos, que se encuentra a continuación, para calcular las ventas totales." sqref="B3" xr:uid="{00000000-0002-0000-0000-000011000000}"/>
    <dataValidation allowBlank="1" showInputMessage="1" showErrorMessage="1" prompt="En esta hoja de cálculo, se calcula el total de ventas anual de cada mes y año, y las ventas totales anuales basándose en diferentes orígenes. Escribe el mes de inicio del año fiscal en la celda F2 y el año en la celda G2." sqref="A1" xr:uid="{00000000-0002-0000-0000-000012000000}"/>
    <dataValidation allowBlank="1" showInputMessage="1" showErrorMessage="1" prompt="Selecciona el mes de inicio del año fiscal en la celda F2 y especifica un año en la celda G2 a la derecha de esta etiqueta." sqref="E2" xr:uid="{00000000-0002-0000-0000-000013000000}"/>
    <dataValidation allowBlank="1" showInputMessage="1" showErrorMessage="1" prompt="El título de la proyección se encuentra en esta celda. Escribe los valores en la tabla Ingresos, que se encuentra a continuación, para calcular" sqref="E2" xr:uid="{00000000-0002-0000-0000-000014000000}"/>
    <dataValidation type="list" errorStyle="warning" allowBlank="1" showInputMessage="1" showErrorMessage="1" error="Selecciona el mes de la lista desplegable. Selecciona CANCELAR y, después, presiona ALT+FLECHA ABAJO. Presiona ENTRAR para seleccionar un mes." prompt="Selecciona el mes en esta celda. Presiona ALT+FLECHA ABAJO para abrir la lista desplegable y luego ENTRAR para seleccionar un mes." sqref="F2" xr:uid="{83867348-ECB0-4230-9FD4-9D5F54DB384B}">
      <formula1>"ENE,FEB,MAR,ABR,MAY,JUN,JUL,AGO,SEP,OCT,NOV,DIC"</formula1>
    </dataValidation>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1000000}">
          <x14:colorSeries theme="5" tint="-0.499984740745262"/>
          <x14:colorNegative theme="5"/>
          <x14:colorAxis rgb="FF000000"/>
          <x14:colorMarkers theme="4" tint="-0.499984740745262"/>
          <x14:colorFirst theme="4" tint="0.39997558519241921"/>
          <x14:colorLast theme="4" tint="0.39997558519241921"/>
          <x14:colorHigh theme="5" tint="-0.499984740745262"/>
          <x14:colorLow theme="5" tint="-0.499984740745262"/>
          <x14:sparklines>
            <x14:sparkline>
              <xm:f>'Ingresos (ventas)'!$D$7:$O$7</xm:f>
              <xm:sqref>C7</xm:sqref>
            </x14:sparkline>
            <x14:sparkline>
              <xm:f>'Ingresos (ventas)'!$D$8:$O$8</xm:f>
              <xm:sqref>C8</xm:sqref>
            </x14:sparkline>
            <x14:sparkline>
              <xm:f>'Ingresos (ventas)'!$D$9:$O$9</xm:f>
              <xm:sqref>C9</xm:sqref>
            </x14:sparkline>
            <x14:sparkline>
              <xm:f>'Ingresos (ventas)'!$D$10:$O$10</xm:f>
              <xm:sqref>C10</xm:sqref>
            </x14:sparkline>
            <x14:sparkline>
              <xm:f>'Ingresos (ventas)'!$D$11:$O$11</xm:f>
              <xm:sqref>C11</xm:sqref>
            </x14:sparkline>
            <x14:sparkline>
              <xm:f>'Ingresos (ventas)'!$D$12:$O$12</xm:f>
              <xm:sqref>C12</xm:sqref>
            </x14:sparkline>
            <x14:sparkline>
              <xm:f>'Ingresos (ventas)'!$D$13:$O$13</xm:f>
              <xm:sqref>C13</xm:sqref>
            </x14:sparkline>
          </x14:sparklines>
        </x14:sparklineGroup>
        <x14:sparklineGroup lineWeight="1" displayEmptyCellsAs="gap" high="1" low="1" negative="1" xr2:uid="{00000000-0003-0000-0000-000000000000}">
          <x14:colorSeries theme="5" tint="-0.499984740745262"/>
          <x14:colorNegative theme="0"/>
          <x14:colorAxis rgb="FF000000"/>
          <x14:colorMarkers theme="4" tint="-0.499984740745262"/>
          <x14:colorFirst theme="4" tint="0.39997558519241921"/>
          <x14:colorLast theme="4" tint="0.39997558519241921"/>
          <x14:colorHigh theme="5" tint="-0.499984740745262"/>
          <x14:colorLow theme="5" tint="-0.499984740745262"/>
          <x14:sparklines>
            <x14:sparkline>
              <xm:f>'Ingresos (ventas)'!D14:O14</xm:f>
              <xm:sqref>C14</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AE16"/>
  <sheetViews>
    <sheetView showGridLines="0" zoomScaleNormal="100" workbookViewId="0">
      <pane xSplit="3" ySplit="5" topLeftCell="D6" activePane="bottomRight" state="frozen"/>
      <selection activeCell="D5" sqref="D5"/>
      <selection pane="topRight" activeCell="D5" sqref="D5"/>
      <selection pane="bottomLeft" activeCell="D5" sqref="D5"/>
      <selection pane="bottomRight"/>
    </sheetView>
  </sheetViews>
  <sheetFormatPr defaultColWidth="9" defaultRowHeight="30" customHeight="1" x14ac:dyDescent="0.2"/>
  <cols>
    <col min="1" max="1" width="2.625" customWidth="1"/>
    <col min="2" max="3" width="28.25" customWidth="1"/>
    <col min="4" max="15" width="9.625" bestFit="1" customWidth="1"/>
    <col min="16" max="16" width="11.875" bestFit="1" customWidth="1"/>
    <col min="17" max="17" width="16.5" bestFit="1" customWidth="1"/>
    <col min="18" max="29" width="7.5" customWidth="1"/>
    <col min="30" max="30" width="16.75" bestFit="1" customWidth="1"/>
    <col min="31" max="31" width="2.625" customWidth="1"/>
  </cols>
  <sheetData>
    <row r="1" spans="2:31" ht="38.1" customHeight="1" x14ac:dyDescent="0.2">
      <c r="B1" s="38" t="str">
        <f>Company_Name</f>
        <v>Nombre de la compañía</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2:31" ht="35.1" customHeight="1" x14ac:dyDescent="0.2">
      <c r="B2" s="45" t="str">
        <f>Projection_Period_Title</f>
        <v>Doce meses</v>
      </c>
      <c r="C2" s="36"/>
      <c r="D2" s="36"/>
      <c r="E2" s="46" t="s">
        <v>55</v>
      </c>
      <c r="F2" s="47" t="str">
        <f>FYMonthStart</f>
        <v>ENE</v>
      </c>
      <c r="G2" s="47">
        <f ca="1">FYStartYear</f>
        <v>2019</v>
      </c>
      <c r="Q2" s="3"/>
      <c r="R2" s="3"/>
      <c r="S2" s="3"/>
      <c r="T2" s="3"/>
      <c r="U2" s="3"/>
      <c r="V2" s="3"/>
      <c r="W2" s="3"/>
      <c r="X2" s="3"/>
      <c r="Y2" s="3"/>
      <c r="Z2" s="3"/>
      <c r="AA2" s="3"/>
      <c r="AB2" s="3"/>
      <c r="AC2" s="3"/>
    </row>
    <row r="3" spans="2:31" ht="60" customHeight="1" x14ac:dyDescent="0.2">
      <c r="B3" s="37" t="str">
        <f>Wksht_Título</f>
        <v>Proyección de pérdidas y beneficios</v>
      </c>
      <c r="C3" s="10"/>
      <c r="D3" s="11"/>
      <c r="E3" s="11"/>
      <c r="F3" s="11"/>
      <c r="G3" s="11"/>
      <c r="H3" s="11"/>
      <c r="I3" s="11"/>
      <c r="J3" s="11"/>
      <c r="K3" s="11"/>
      <c r="L3" s="11"/>
      <c r="M3" s="11"/>
      <c r="N3" s="11"/>
      <c r="O3" s="11"/>
      <c r="P3" s="10"/>
      <c r="Q3" s="10"/>
      <c r="R3" s="10"/>
      <c r="S3" s="10"/>
      <c r="T3" s="10"/>
      <c r="U3" s="10"/>
      <c r="V3" s="10"/>
      <c r="W3" s="10"/>
      <c r="X3" s="12"/>
      <c r="Y3" s="12"/>
      <c r="Z3" s="12"/>
      <c r="AA3" s="12"/>
      <c r="AB3" s="10"/>
      <c r="AC3" s="10"/>
      <c r="AD3" s="10"/>
    </row>
    <row r="4" spans="2:31" ht="15" customHeight="1" x14ac:dyDescent="0.2">
      <c r="D4" s="15"/>
      <c r="E4" s="15"/>
      <c r="F4" s="15"/>
      <c r="G4" s="15"/>
      <c r="H4" s="15"/>
      <c r="I4" s="15"/>
      <c r="J4" s="15"/>
      <c r="K4" s="15"/>
      <c r="L4" s="15"/>
      <c r="M4" s="15"/>
      <c r="N4" s="15"/>
      <c r="O4" s="15"/>
      <c r="P4" s="16"/>
      <c r="X4" s="2"/>
      <c r="Y4" s="2"/>
      <c r="Z4" s="2"/>
      <c r="AA4" s="2"/>
      <c r="AB4" s="7"/>
      <c r="AC4" s="7"/>
      <c r="AD4" s="7"/>
    </row>
    <row r="5" spans="2:31" ht="20.100000000000001" customHeight="1" x14ac:dyDescent="0.2">
      <c r="D5" s="91" t="str">
        <f ca="1">UPPER(TEXT(DATE(FYStartYear,FYMonthNo,1),"mmm-aa"))</f>
        <v>JAN-AA</v>
      </c>
      <c r="E5" s="91" t="str">
        <f ca="1">UPPER(TEXT(DATE(FYStartYear,FYMonthNo+1,1),"mmm-aa"))</f>
        <v>FEB-AA</v>
      </c>
      <c r="F5" s="91" t="str">
        <f ca="1">UPPER(TEXT(DATE(FYStartYear,FYMonthNo+2,1),"mmm-aa"))</f>
        <v>MAR-AA</v>
      </c>
      <c r="G5" s="91" t="str">
        <f ca="1">UPPER(TEXT(DATE(FYStartYear,FYMonthNo+3,1),"mmm-aa"))</f>
        <v>APR-AA</v>
      </c>
      <c r="H5" s="91" t="str">
        <f ca="1">UPPER(TEXT(DATE(FYStartYear,FYMonthNo+4,1),"mmm-aa"))</f>
        <v>MAY-AA</v>
      </c>
      <c r="I5" s="91" t="str">
        <f ca="1">UPPER(TEXT(DATE(FYStartYear,FYMonthNo+5,1),"mmm-aa"))</f>
        <v>JUN-AA</v>
      </c>
      <c r="J5" s="91" t="str">
        <f ca="1">UPPER(TEXT(DATE(FYStartYear,FYMonthNo+6,1),"mmm-aa"))</f>
        <v>JUL-AA</v>
      </c>
      <c r="K5" s="91" t="str">
        <f ca="1">UPPER(TEXT(DATE(FYStartYear,FYMonthNo+7,1),"mmm-aa"))</f>
        <v>AUG-AA</v>
      </c>
      <c r="L5" s="91" t="str">
        <f ca="1">UPPER(TEXT(DATE(FYStartYear,FYMonthNo+8,1),"mmm-aa"))</f>
        <v>SEP-AA</v>
      </c>
      <c r="M5" s="91" t="str">
        <f ca="1">UPPER(TEXT(DATE(FYStartYear,FYMonthNo+9,1),"mmm-aa"))</f>
        <v>OCT-AA</v>
      </c>
      <c r="N5" s="91" t="str">
        <f ca="1">UPPER(TEXT(DATE(FYStartYear,FYMonthNo+10,1),"mmm-aa"))</f>
        <v>NOV-AA</v>
      </c>
      <c r="O5" s="87" t="str">
        <f ca="1">UPPER(TEXT(DATE(FYStartYear,FYMonthNo+11,1),"mmm-aa"))</f>
        <v>DEC-AA</v>
      </c>
      <c r="P5" s="92" t="s">
        <v>27</v>
      </c>
      <c r="Q5" s="87" t="s">
        <v>29</v>
      </c>
      <c r="R5" s="93" t="str">
        <f ca="1">LEFT(D5,3)&amp;" %"</f>
        <v>JAN %</v>
      </c>
      <c r="S5" s="94" t="str">
        <f t="shared" ref="S5:AC5" ca="1" si="0">LEFT(E5,3)&amp;" %"</f>
        <v>FEB %</v>
      </c>
      <c r="T5" s="94" t="str">
        <f t="shared" ca="1" si="0"/>
        <v>MAR %</v>
      </c>
      <c r="U5" s="94" t="str">
        <f t="shared" ca="1" si="0"/>
        <v>APR %</v>
      </c>
      <c r="V5" s="94" t="str">
        <f t="shared" ca="1" si="0"/>
        <v>MAY %</v>
      </c>
      <c r="W5" s="94" t="str">
        <f t="shared" ca="1" si="0"/>
        <v>JUN %</v>
      </c>
      <c r="X5" s="94" t="str">
        <f t="shared" ca="1" si="0"/>
        <v>JUL %</v>
      </c>
      <c r="Y5" s="94" t="str">
        <f t="shared" ca="1" si="0"/>
        <v>AUG %</v>
      </c>
      <c r="Z5" s="94" t="str">
        <f t="shared" ca="1" si="0"/>
        <v>SEP %</v>
      </c>
      <c r="AA5" s="94" t="str">
        <f t="shared" ca="1" si="0"/>
        <v>OCT %</v>
      </c>
      <c r="AB5" s="94" t="str">
        <f t="shared" ca="1" si="0"/>
        <v>NOV %</v>
      </c>
      <c r="AC5" s="94" t="str">
        <f t="shared" ca="1" si="0"/>
        <v>DEC %</v>
      </c>
      <c r="AD5" s="95" t="s">
        <v>43</v>
      </c>
      <c r="AE5" s="62"/>
    </row>
    <row r="6" spans="2:31" ht="30" customHeight="1" x14ac:dyDescent="0.2">
      <c r="B6" s="52" t="s">
        <v>45</v>
      </c>
      <c r="C6" s="52" t="s">
        <v>12</v>
      </c>
      <c r="D6" s="8" t="s">
        <v>13</v>
      </c>
      <c r="E6" s="8" t="s">
        <v>15</v>
      </c>
      <c r="F6" s="8" t="s">
        <v>17</v>
      </c>
      <c r="G6" s="8" t="s">
        <v>18</v>
      </c>
      <c r="H6" s="8" t="s">
        <v>19</v>
      </c>
      <c r="I6" s="8" t="s">
        <v>20</v>
      </c>
      <c r="J6" s="8" t="s">
        <v>21</v>
      </c>
      <c r="K6" s="8" t="s">
        <v>22</v>
      </c>
      <c r="L6" s="8" t="s">
        <v>23</v>
      </c>
      <c r="M6" s="8" t="s">
        <v>24</v>
      </c>
      <c r="N6" s="8" t="s">
        <v>25</v>
      </c>
      <c r="O6" s="8" t="s">
        <v>26</v>
      </c>
      <c r="P6" s="32" t="s">
        <v>28</v>
      </c>
      <c r="Q6" s="8" t="s">
        <v>30</v>
      </c>
      <c r="R6" s="26" t="s">
        <v>31</v>
      </c>
      <c r="S6" s="8" t="s">
        <v>32</v>
      </c>
      <c r="T6" s="8" t="s">
        <v>33</v>
      </c>
      <c r="U6" s="8" t="s">
        <v>34</v>
      </c>
      <c r="V6" s="8" t="s">
        <v>35</v>
      </c>
      <c r="W6" s="8" t="s">
        <v>36</v>
      </c>
      <c r="X6" s="8" t="s">
        <v>37</v>
      </c>
      <c r="Y6" s="8" t="s">
        <v>38</v>
      </c>
      <c r="Z6" s="8" t="s">
        <v>39</v>
      </c>
      <c r="AA6" s="8" t="s">
        <v>40</v>
      </c>
      <c r="AB6" s="8" t="s">
        <v>41</v>
      </c>
      <c r="AC6" s="8" t="s">
        <v>42</v>
      </c>
      <c r="AD6" s="25" t="s">
        <v>44</v>
      </c>
      <c r="AE6" s="62"/>
    </row>
    <row r="7" spans="2:31" ht="30" customHeight="1" x14ac:dyDescent="0.2">
      <c r="B7" s="13" t="s">
        <v>46</v>
      </c>
      <c r="C7" s="14"/>
      <c r="D7" s="63">
        <v>61</v>
      </c>
      <c r="E7" s="63">
        <v>78</v>
      </c>
      <c r="F7" s="63">
        <v>65</v>
      </c>
      <c r="G7" s="63">
        <v>29</v>
      </c>
      <c r="H7" s="63">
        <v>125</v>
      </c>
      <c r="I7" s="63">
        <v>49</v>
      </c>
      <c r="J7" s="63">
        <v>14</v>
      </c>
      <c r="K7" s="63">
        <v>26</v>
      </c>
      <c r="L7" s="63">
        <v>14</v>
      </c>
      <c r="M7" s="63">
        <v>129</v>
      </c>
      <c r="N7" s="63">
        <v>60</v>
      </c>
      <c r="O7" s="63">
        <v>65</v>
      </c>
      <c r="P7" s="70">
        <f>SUM(CostoDeVentas[[#This Row],[Ene]:[Dic]])</f>
        <v>715</v>
      </c>
      <c r="Q7" s="67">
        <v>0.12</v>
      </c>
      <c r="R7" s="73">
        <f>IFERROR(CostoDeVentas[[#This Row],[Ene]]/CostoDeVentas[[#Totals],[Ene]],"-")</f>
        <v>0.23018867924528302</v>
      </c>
      <c r="S7" s="67">
        <f>IFERROR(CostoDeVentas[[#This Row],[Feb]]/CostoDeVentas[[#Totals],[Feb]],"-")</f>
        <v>0.21910112359550563</v>
      </c>
      <c r="T7" s="67">
        <f>IFERROR(CostoDeVentas[[#This Row],[Mar]]/CostoDeVentas[[#Totals],[Mar]],"-")</f>
        <v>0.20634920634920634</v>
      </c>
      <c r="U7" s="67">
        <f>IFERROR(CostoDeVentas[[#This Row],[Abr]]/CostoDeVentas[[#Totals],[Abr]],"-")</f>
        <v>0.12033195020746888</v>
      </c>
      <c r="V7" s="67">
        <f>IFERROR(CostoDeVentas[[#This Row],[May]]/CostoDeVentas[[#Totals],[May]],"-")</f>
        <v>0.31328320802005011</v>
      </c>
      <c r="W7" s="67">
        <f>IFERROR(CostoDeVentas[[#This Row],[Jun]]/CostoDeVentas[[#Totals],[Jun]],"-")</f>
        <v>0.15705128205128205</v>
      </c>
      <c r="X7" s="67">
        <f>IFERROR(CostoDeVentas[[#This Row],[Jul]]/CostoDeVentas[[#Totals],[Jul]],"-")</f>
        <v>4.6822742474916385E-2</v>
      </c>
      <c r="Y7" s="67">
        <f>IFERROR(CostoDeVentas[[#This Row],[Ago]]/CostoDeVentas[[#Totals],[Ago]],"-")</f>
        <v>0.11504424778761062</v>
      </c>
      <c r="Z7" s="67">
        <f>IFERROR(CostoDeVentas[[#This Row],[Sep]]/CostoDeVentas[[#Totals],[Sep]],"-")</f>
        <v>3.3816425120772944E-2</v>
      </c>
      <c r="AA7" s="67">
        <f>IFERROR(CostoDeVentas[[#This Row],[Oct]]/CostoDeVentas[[#Totals],[Oct]],"-")</f>
        <v>0.47080291970802918</v>
      </c>
      <c r="AB7" s="67">
        <f>IFERROR(CostoDeVentas[[#This Row],[Nov]]/CostoDeVentas[[#Totals],[Nov]],"-")</f>
        <v>0.22727272727272727</v>
      </c>
      <c r="AC7" s="67">
        <f>IFERROR(CostoDeVentas[[#This Row],[Dic]]/CostoDeVentas[[#Totals],[Dic]],"-")</f>
        <v>0.14348785871964681</v>
      </c>
      <c r="AD7" s="74">
        <f>IFERROR(CostoDeVentas[[#This Row],[Anualmente]]/CostoDeVentas[[#Totals],[Anualmente]],"-")</f>
        <v>0.18727082242011525</v>
      </c>
      <c r="AE7" s="62"/>
    </row>
    <row r="8" spans="2:31" ht="30" customHeight="1" x14ac:dyDescent="0.2">
      <c r="B8" s="13" t="s">
        <v>47</v>
      </c>
      <c r="C8" s="14"/>
      <c r="D8" s="63">
        <v>7</v>
      </c>
      <c r="E8" s="63">
        <v>5</v>
      </c>
      <c r="F8" s="63">
        <v>69</v>
      </c>
      <c r="G8" s="63">
        <v>32</v>
      </c>
      <c r="H8" s="63">
        <v>11</v>
      </c>
      <c r="I8" s="63">
        <v>30</v>
      </c>
      <c r="J8" s="63">
        <v>27</v>
      </c>
      <c r="K8" s="63">
        <v>32</v>
      </c>
      <c r="L8" s="63">
        <v>10</v>
      </c>
      <c r="M8" s="63">
        <v>41</v>
      </c>
      <c r="N8" s="63">
        <v>13</v>
      </c>
      <c r="O8" s="63">
        <v>105</v>
      </c>
      <c r="P8" s="70">
        <f>SUM(CostoDeVentas[[#This Row],[Ene]:[Dic]])</f>
        <v>382</v>
      </c>
      <c r="Q8" s="67">
        <v>0.18</v>
      </c>
      <c r="R8" s="73">
        <f>IFERROR(CostoDeVentas[[#This Row],[Ene]]/CostoDeVentas[[#Totals],[Ene]],"-")</f>
        <v>2.6415094339622643E-2</v>
      </c>
      <c r="S8" s="67">
        <f>IFERROR(CostoDeVentas[[#This Row],[Feb]]/CostoDeVentas[[#Totals],[Feb]],"-")</f>
        <v>1.4044943820224719E-2</v>
      </c>
      <c r="T8" s="67">
        <f>IFERROR(CostoDeVentas[[#This Row],[Mar]]/CostoDeVentas[[#Totals],[Mar]],"-")</f>
        <v>0.21904761904761905</v>
      </c>
      <c r="U8" s="67">
        <f>IFERROR(CostoDeVentas[[#This Row],[Abr]]/CostoDeVentas[[#Totals],[Abr]],"-")</f>
        <v>0.13278008298755187</v>
      </c>
      <c r="V8" s="67">
        <f>IFERROR(CostoDeVentas[[#This Row],[May]]/CostoDeVentas[[#Totals],[May]],"-")</f>
        <v>2.7568922305764409E-2</v>
      </c>
      <c r="W8" s="67">
        <f>IFERROR(CostoDeVentas[[#This Row],[Jun]]/CostoDeVentas[[#Totals],[Jun]],"-")</f>
        <v>9.6153846153846159E-2</v>
      </c>
      <c r="X8" s="67">
        <f>IFERROR(CostoDeVentas[[#This Row],[Jul]]/CostoDeVentas[[#Totals],[Jul]],"-")</f>
        <v>9.0301003344481601E-2</v>
      </c>
      <c r="Y8" s="67">
        <f>IFERROR(CostoDeVentas[[#This Row],[Ago]]/CostoDeVentas[[#Totals],[Ago]],"-")</f>
        <v>0.1415929203539823</v>
      </c>
      <c r="Z8" s="67">
        <f>IFERROR(CostoDeVentas[[#This Row],[Sep]]/CostoDeVentas[[#Totals],[Sep]],"-")</f>
        <v>2.4154589371980676E-2</v>
      </c>
      <c r="AA8" s="67">
        <f>IFERROR(CostoDeVentas[[#This Row],[Oct]]/CostoDeVentas[[#Totals],[Oct]],"-")</f>
        <v>0.14963503649635038</v>
      </c>
      <c r="AB8" s="67">
        <f>IFERROR(CostoDeVentas[[#This Row],[Nov]]/CostoDeVentas[[#Totals],[Nov]],"-")</f>
        <v>4.924242424242424E-2</v>
      </c>
      <c r="AC8" s="67">
        <f>IFERROR(CostoDeVentas[[#This Row],[Dic]]/CostoDeVentas[[#Totals],[Dic]],"-")</f>
        <v>0.23178807947019867</v>
      </c>
      <c r="AD8" s="74">
        <f>IFERROR(CostoDeVentas[[#This Row],[Anualmente]]/CostoDeVentas[[#Totals],[Anualmente]],"-")</f>
        <v>0.1000523834468308</v>
      </c>
      <c r="AE8" s="62"/>
    </row>
    <row r="9" spans="2:31" ht="30" customHeight="1" x14ac:dyDescent="0.2">
      <c r="B9" s="13" t="s">
        <v>48</v>
      </c>
      <c r="C9" s="14"/>
      <c r="D9" s="63">
        <v>99</v>
      </c>
      <c r="E9" s="63">
        <v>95</v>
      </c>
      <c r="F9" s="63">
        <v>51</v>
      </c>
      <c r="G9" s="63">
        <v>90</v>
      </c>
      <c r="H9" s="63">
        <v>21</v>
      </c>
      <c r="I9" s="63">
        <v>34</v>
      </c>
      <c r="J9" s="63">
        <v>30</v>
      </c>
      <c r="K9" s="63">
        <v>24</v>
      </c>
      <c r="L9" s="63">
        <v>109</v>
      </c>
      <c r="M9" s="63">
        <v>16</v>
      </c>
      <c r="N9" s="63">
        <v>21</v>
      </c>
      <c r="O9" s="63">
        <v>52</v>
      </c>
      <c r="P9" s="70">
        <f>SUM(CostoDeVentas[[#This Row],[Ene]:[Dic]])</f>
        <v>642</v>
      </c>
      <c r="Q9" s="67">
        <v>0.19</v>
      </c>
      <c r="R9" s="73">
        <f>IFERROR(CostoDeVentas[[#This Row],[Ene]]/CostoDeVentas[[#Totals],[Ene]],"-")</f>
        <v>0.37358490566037733</v>
      </c>
      <c r="S9" s="67">
        <f>IFERROR(CostoDeVentas[[#This Row],[Feb]]/CostoDeVentas[[#Totals],[Feb]],"-")</f>
        <v>0.26685393258426965</v>
      </c>
      <c r="T9" s="67">
        <f>IFERROR(CostoDeVentas[[#This Row],[Mar]]/CostoDeVentas[[#Totals],[Mar]],"-")</f>
        <v>0.16190476190476191</v>
      </c>
      <c r="U9" s="67">
        <f>IFERROR(CostoDeVentas[[#This Row],[Abr]]/CostoDeVentas[[#Totals],[Abr]],"-")</f>
        <v>0.37344398340248963</v>
      </c>
      <c r="V9" s="67">
        <f>IFERROR(CostoDeVentas[[#This Row],[May]]/CostoDeVentas[[#Totals],[May]],"-")</f>
        <v>5.2631578947368418E-2</v>
      </c>
      <c r="W9" s="67">
        <f>IFERROR(CostoDeVentas[[#This Row],[Jun]]/CostoDeVentas[[#Totals],[Jun]],"-")</f>
        <v>0.10897435897435898</v>
      </c>
      <c r="X9" s="67">
        <f>IFERROR(CostoDeVentas[[#This Row],[Jul]]/CostoDeVentas[[#Totals],[Jul]],"-")</f>
        <v>0.10033444816053512</v>
      </c>
      <c r="Y9" s="67">
        <f>IFERROR(CostoDeVentas[[#This Row],[Ago]]/CostoDeVentas[[#Totals],[Ago]],"-")</f>
        <v>0.10619469026548672</v>
      </c>
      <c r="Z9" s="67">
        <f>IFERROR(CostoDeVentas[[#This Row],[Sep]]/CostoDeVentas[[#Totals],[Sep]],"-")</f>
        <v>0.26328502415458938</v>
      </c>
      <c r="AA9" s="67">
        <f>IFERROR(CostoDeVentas[[#This Row],[Oct]]/CostoDeVentas[[#Totals],[Oct]],"-")</f>
        <v>5.8394160583941604E-2</v>
      </c>
      <c r="AB9" s="67">
        <f>IFERROR(CostoDeVentas[[#This Row],[Nov]]/CostoDeVentas[[#Totals],[Nov]],"-")</f>
        <v>7.9545454545454544E-2</v>
      </c>
      <c r="AC9" s="67">
        <f>IFERROR(CostoDeVentas[[#This Row],[Dic]]/CostoDeVentas[[#Totals],[Dic]],"-")</f>
        <v>0.11479028697571744</v>
      </c>
      <c r="AD9" s="74">
        <f>IFERROR(CostoDeVentas[[#This Row],[Anualmente]]/CostoDeVentas[[#Totals],[Anualmente]],"-")</f>
        <v>0.16815086432687271</v>
      </c>
      <c r="AE9" s="62"/>
    </row>
    <row r="10" spans="2:31" ht="30" customHeight="1" x14ac:dyDescent="0.2">
      <c r="B10" s="13" t="s">
        <v>49</v>
      </c>
      <c r="C10" s="14"/>
      <c r="D10" s="63">
        <v>13</v>
      </c>
      <c r="E10" s="63">
        <v>28</v>
      </c>
      <c r="F10" s="63">
        <v>15</v>
      </c>
      <c r="G10" s="63">
        <v>8</v>
      </c>
      <c r="H10" s="63">
        <v>84</v>
      </c>
      <c r="I10" s="63">
        <v>12</v>
      </c>
      <c r="J10" s="63">
        <v>54</v>
      </c>
      <c r="K10" s="63">
        <v>72</v>
      </c>
      <c r="L10" s="63">
        <v>49</v>
      </c>
      <c r="M10" s="63">
        <v>24</v>
      </c>
      <c r="N10" s="63">
        <v>60</v>
      </c>
      <c r="O10" s="63">
        <v>39</v>
      </c>
      <c r="P10" s="70">
        <f>SUM(CostoDeVentas[[#This Row],[Ene]:[Dic]])</f>
        <v>458</v>
      </c>
      <c r="Q10" s="67">
        <v>0.11</v>
      </c>
      <c r="R10" s="73">
        <f>IFERROR(CostoDeVentas[[#This Row],[Ene]]/CostoDeVentas[[#Totals],[Ene]],"-")</f>
        <v>4.9056603773584909E-2</v>
      </c>
      <c r="S10" s="67">
        <f>IFERROR(CostoDeVentas[[#This Row],[Feb]]/CostoDeVentas[[#Totals],[Feb]],"-")</f>
        <v>7.8651685393258425E-2</v>
      </c>
      <c r="T10" s="67">
        <f>IFERROR(CostoDeVentas[[#This Row],[Mar]]/CostoDeVentas[[#Totals],[Mar]],"-")</f>
        <v>4.7619047619047616E-2</v>
      </c>
      <c r="U10" s="67">
        <f>IFERROR(CostoDeVentas[[#This Row],[Abr]]/CostoDeVentas[[#Totals],[Abr]],"-")</f>
        <v>3.3195020746887967E-2</v>
      </c>
      <c r="V10" s="67">
        <f>IFERROR(CostoDeVentas[[#This Row],[May]]/CostoDeVentas[[#Totals],[May]],"-")</f>
        <v>0.21052631578947367</v>
      </c>
      <c r="W10" s="67">
        <f>IFERROR(CostoDeVentas[[#This Row],[Jun]]/CostoDeVentas[[#Totals],[Jun]],"-")</f>
        <v>3.8461538461538464E-2</v>
      </c>
      <c r="X10" s="67">
        <f>IFERROR(CostoDeVentas[[#This Row],[Jul]]/CostoDeVentas[[#Totals],[Jul]],"-")</f>
        <v>0.1806020066889632</v>
      </c>
      <c r="Y10" s="67">
        <f>IFERROR(CostoDeVentas[[#This Row],[Ago]]/CostoDeVentas[[#Totals],[Ago]],"-")</f>
        <v>0.31858407079646017</v>
      </c>
      <c r="Z10" s="67">
        <f>IFERROR(CostoDeVentas[[#This Row],[Sep]]/CostoDeVentas[[#Totals],[Sep]],"-")</f>
        <v>0.11835748792270531</v>
      </c>
      <c r="AA10" s="67">
        <f>IFERROR(CostoDeVentas[[#This Row],[Oct]]/CostoDeVentas[[#Totals],[Oct]],"-")</f>
        <v>8.7591240875912413E-2</v>
      </c>
      <c r="AB10" s="67">
        <f>IFERROR(CostoDeVentas[[#This Row],[Nov]]/CostoDeVentas[[#Totals],[Nov]],"-")</f>
        <v>0.22727272727272727</v>
      </c>
      <c r="AC10" s="67">
        <f>IFERROR(CostoDeVentas[[#This Row],[Dic]]/CostoDeVentas[[#Totals],[Dic]],"-")</f>
        <v>8.6092715231788075E-2</v>
      </c>
      <c r="AD10" s="74">
        <f>IFERROR(CostoDeVentas[[#This Row],[Anualmente]]/CostoDeVentas[[#Totals],[Anualmente]],"-")</f>
        <v>0.11995809324253535</v>
      </c>
      <c r="AE10" s="62"/>
    </row>
    <row r="11" spans="2:31" ht="30" customHeight="1" x14ac:dyDescent="0.2">
      <c r="B11" s="13" t="s">
        <v>50</v>
      </c>
      <c r="C11" s="14"/>
      <c r="D11" s="63">
        <v>34</v>
      </c>
      <c r="E11" s="63">
        <v>78</v>
      </c>
      <c r="F11" s="63">
        <v>43</v>
      </c>
      <c r="G11" s="63">
        <v>30</v>
      </c>
      <c r="H11" s="63">
        <v>77</v>
      </c>
      <c r="I11" s="63">
        <v>54</v>
      </c>
      <c r="J11" s="63">
        <v>26</v>
      </c>
      <c r="K11" s="63">
        <v>13</v>
      </c>
      <c r="L11" s="63">
        <v>56</v>
      </c>
      <c r="M11" s="63">
        <v>30</v>
      </c>
      <c r="N11" s="63">
        <v>40</v>
      </c>
      <c r="O11" s="63">
        <v>63</v>
      </c>
      <c r="P11" s="70">
        <f>SUM(CostoDeVentas[[#This Row],[Ene]:[Dic]])</f>
        <v>544</v>
      </c>
      <c r="Q11" s="67">
        <v>0.2</v>
      </c>
      <c r="R11" s="73">
        <f>IFERROR(CostoDeVentas[[#This Row],[Ene]]/CostoDeVentas[[#Totals],[Ene]],"-")</f>
        <v>0.12830188679245283</v>
      </c>
      <c r="S11" s="67">
        <f>IFERROR(CostoDeVentas[[#This Row],[Feb]]/CostoDeVentas[[#Totals],[Feb]],"-")</f>
        <v>0.21910112359550563</v>
      </c>
      <c r="T11" s="67">
        <f>IFERROR(CostoDeVentas[[#This Row],[Mar]]/CostoDeVentas[[#Totals],[Mar]],"-")</f>
        <v>0.13650793650793649</v>
      </c>
      <c r="U11" s="67">
        <f>IFERROR(CostoDeVentas[[#This Row],[Abr]]/CostoDeVentas[[#Totals],[Abr]],"-")</f>
        <v>0.12448132780082988</v>
      </c>
      <c r="V11" s="67">
        <f>IFERROR(CostoDeVentas[[#This Row],[May]]/CostoDeVentas[[#Totals],[May]],"-")</f>
        <v>0.19298245614035087</v>
      </c>
      <c r="W11" s="67">
        <f>IFERROR(CostoDeVentas[[#This Row],[Jun]]/CostoDeVentas[[#Totals],[Jun]],"-")</f>
        <v>0.17307692307692307</v>
      </c>
      <c r="X11" s="67">
        <f>IFERROR(CostoDeVentas[[#This Row],[Jul]]/CostoDeVentas[[#Totals],[Jul]],"-")</f>
        <v>8.6956521739130432E-2</v>
      </c>
      <c r="Y11" s="67">
        <f>IFERROR(CostoDeVentas[[#This Row],[Ago]]/CostoDeVentas[[#Totals],[Ago]],"-")</f>
        <v>5.7522123893805309E-2</v>
      </c>
      <c r="Z11" s="67">
        <f>IFERROR(CostoDeVentas[[#This Row],[Sep]]/CostoDeVentas[[#Totals],[Sep]],"-")</f>
        <v>0.13526570048309178</v>
      </c>
      <c r="AA11" s="67">
        <f>IFERROR(CostoDeVentas[[#This Row],[Oct]]/CostoDeVentas[[#Totals],[Oct]],"-")</f>
        <v>0.10948905109489052</v>
      </c>
      <c r="AB11" s="67">
        <f>IFERROR(CostoDeVentas[[#This Row],[Nov]]/CostoDeVentas[[#Totals],[Nov]],"-")</f>
        <v>0.15151515151515152</v>
      </c>
      <c r="AC11" s="67">
        <f>IFERROR(CostoDeVentas[[#This Row],[Dic]]/CostoDeVentas[[#Totals],[Dic]],"-")</f>
        <v>0.13907284768211919</v>
      </c>
      <c r="AD11" s="74">
        <f>IFERROR(CostoDeVentas[[#This Row],[Anualmente]]/CostoDeVentas[[#Totals],[Anualmente]],"-")</f>
        <v>0.14248297537978</v>
      </c>
      <c r="AE11" s="62"/>
    </row>
    <row r="12" spans="2:31" ht="30" customHeight="1" x14ac:dyDescent="0.2">
      <c r="B12" s="13" t="s">
        <v>51</v>
      </c>
      <c r="C12" s="14"/>
      <c r="D12" s="63">
        <v>33</v>
      </c>
      <c r="E12" s="63">
        <v>61</v>
      </c>
      <c r="F12" s="63">
        <v>42</v>
      </c>
      <c r="G12" s="63">
        <v>43</v>
      </c>
      <c r="H12" s="63">
        <v>19</v>
      </c>
      <c r="I12" s="63">
        <v>94</v>
      </c>
      <c r="J12" s="63">
        <v>46</v>
      </c>
      <c r="K12" s="63">
        <v>15</v>
      </c>
      <c r="L12" s="63">
        <v>55</v>
      </c>
      <c r="M12" s="63">
        <v>15</v>
      </c>
      <c r="N12" s="63">
        <v>37</v>
      </c>
      <c r="O12" s="63">
        <v>89</v>
      </c>
      <c r="P12" s="70">
        <f>SUM(CostoDeVentas[[#This Row],[Ene]:[Dic]])</f>
        <v>549</v>
      </c>
      <c r="Q12" s="67">
        <v>0.1</v>
      </c>
      <c r="R12" s="73">
        <f>IFERROR(CostoDeVentas[[#This Row],[Ene]]/CostoDeVentas[[#Totals],[Ene]],"-")</f>
        <v>0.12452830188679245</v>
      </c>
      <c r="S12" s="67">
        <f>IFERROR(CostoDeVentas[[#This Row],[Feb]]/CostoDeVentas[[#Totals],[Feb]],"-")</f>
        <v>0.17134831460674158</v>
      </c>
      <c r="T12" s="67">
        <f>IFERROR(CostoDeVentas[[#This Row],[Mar]]/CostoDeVentas[[#Totals],[Mar]],"-")</f>
        <v>0.13333333333333333</v>
      </c>
      <c r="U12" s="67">
        <f>IFERROR(CostoDeVentas[[#This Row],[Abr]]/CostoDeVentas[[#Totals],[Abr]],"-")</f>
        <v>0.17842323651452283</v>
      </c>
      <c r="V12" s="67">
        <f>IFERROR(CostoDeVentas[[#This Row],[May]]/CostoDeVentas[[#Totals],[May]],"-")</f>
        <v>4.7619047619047616E-2</v>
      </c>
      <c r="W12" s="67">
        <f>IFERROR(CostoDeVentas[[#This Row],[Jun]]/CostoDeVentas[[#Totals],[Jun]],"-")</f>
        <v>0.30128205128205127</v>
      </c>
      <c r="X12" s="67">
        <f>IFERROR(CostoDeVentas[[#This Row],[Jul]]/CostoDeVentas[[#Totals],[Jul]],"-")</f>
        <v>0.15384615384615385</v>
      </c>
      <c r="Y12" s="67">
        <f>IFERROR(CostoDeVentas[[#This Row],[Ago]]/CostoDeVentas[[#Totals],[Ago]],"-")</f>
        <v>6.637168141592921E-2</v>
      </c>
      <c r="Z12" s="67">
        <f>IFERROR(CostoDeVentas[[#This Row],[Sep]]/CostoDeVentas[[#Totals],[Sep]],"-")</f>
        <v>0.13285024154589373</v>
      </c>
      <c r="AA12" s="67">
        <f>IFERROR(CostoDeVentas[[#This Row],[Oct]]/CostoDeVentas[[#Totals],[Oct]],"-")</f>
        <v>5.4744525547445258E-2</v>
      </c>
      <c r="AB12" s="67">
        <f>IFERROR(CostoDeVentas[[#This Row],[Nov]]/CostoDeVentas[[#Totals],[Nov]],"-")</f>
        <v>0.14015151515151514</v>
      </c>
      <c r="AC12" s="67">
        <f>IFERROR(CostoDeVentas[[#This Row],[Dic]]/CostoDeVentas[[#Totals],[Dic]],"-")</f>
        <v>0.19646799116997793</v>
      </c>
      <c r="AD12" s="74">
        <f>IFERROR(CostoDeVentas[[#This Row],[Anualmente]]/CostoDeVentas[[#Totals],[Anualmente]],"-")</f>
        <v>0.14379256155055004</v>
      </c>
      <c r="AE12" s="62"/>
    </row>
    <row r="13" spans="2:31" ht="30" customHeight="1" x14ac:dyDescent="0.2">
      <c r="B13" s="13" t="s">
        <v>52</v>
      </c>
      <c r="C13" s="14"/>
      <c r="D13" s="63">
        <v>18</v>
      </c>
      <c r="E13" s="63">
        <v>11</v>
      </c>
      <c r="F13" s="63">
        <v>30</v>
      </c>
      <c r="G13" s="63">
        <v>9</v>
      </c>
      <c r="H13" s="63">
        <v>62</v>
      </c>
      <c r="I13" s="63">
        <v>39</v>
      </c>
      <c r="J13" s="63">
        <v>102</v>
      </c>
      <c r="K13" s="63">
        <v>44</v>
      </c>
      <c r="L13" s="63">
        <v>121</v>
      </c>
      <c r="M13" s="63">
        <v>19</v>
      </c>
      <c r="N13" s="63">
        <v>33</v>
      </c>
      <c r="O13" s="63">
        <v>40</v>
      </c>
      <c r="P13" s="70">
        <f>SUM(CostoDeVentas[[#This Row],[Ene]:[Dic]])</f>
        <v>528</v>
      </c>
      <c r="Q13" s="67">
        <v>0.1</v>
      </c>
      <c r="R13" s="73">
        <f>IFERROR(CostoDeVentas[[#This Row],[Ene]]/CostoDeVentas[[#Totals],[Ene]],"-")</f>
        <v>6.7924528301886791E-2</v>
      </c>
      <c r="S13" s="67">
        <f>IFERROR(CostoDeVentas[[#This Row],[Feb]]/CostoDeVentas[[#Totals],[Feb]],"-")</f>
        <v>3.0898876404494381E-2</v>
      </c>
      <c r="T13" s="67">
        <f>IFERROR(CostoDeVentas[[#This Row],[Mar]]/CostoDeVentas[[#Totals],[Mar]],"-")</f>
        <v>9.5238095238095233E-2</v>
      </c>
      <c r="U13" s="67">
        <f>IFERROR(CostoDeVentas[[#This Row],[Abr]]/CostoDeVentas[[#Totals],[Abr]],"-")</f>
        <v>3.7344398340248962E-2</v>
      </c>
      <c r="V13" s="67">
        <f>IFERROR(CostoDeVentas[[#This Row],[May]]/CostoDeVentas[[#Totals],[May]],"-")</f>
        <v>0.15538847117794485</v>
      </c>
      <c r="W13" s="67">
        <f>IFERROR(CostoDeVentas[[#This Row],[Jun]]/CostoDeVentas[[#Totals],[Jun]],"-")</f>
        <v>0.125</v>
      </c>
      <c r="X13" s="67">
        <f>IFERROR(CostoDeVentas[[#This Row],[Jul]]/CostoDeVentas[[#Totals],[Jul]],"-")</f>
        <v>0.34113712374581939</v>
      </c>
      <c r="Y13" s="67">
        <f>IFERROR(CostoDeVentas[[#This Row],[Ago]]/CostoDeVentas[[#Totals],[Ago]],"-")</f>
        <v>0.19469026548672566</v>
      </c>
      <c r="Z13" s="67">
        <f>IFERROR(CostoDeVentas[[#This Row],[Sep]]/CostoDeVentas[[#Totals],[Sep]],"-")</f>
        <v>0.2922705314009662</v>
      </c>
      <c r="AA13" s="67">
        <f>IFERROR(CostoDeVentas[[#This Row],[Oct]]/CostoDeVentas[[#Totals],[Oct]],"-")</f>
        <v>6.9343065693430656E-2</v>
      </c>
      <c r="AB13" s="67">
        <f>IFERROR(CostoDeVentas[[#This Row],[Nov]]/CostoDeVentas[[#Totals],[Nov]],"-")</f>
        <v>0.125</v>
      </c>
      <c r="AC13" s="67">
        <f>IFERROR(CostoDeVentas[[#This Row],[Dic]]/CostoDeVentas[[#Totals],[Dic]],"-")</f>
        <v>8.8300220750551883E-2</v>
      </c>
      <c r="AD13" s="74">
        <f>IFERROR(CostoDeVentas[[#This Row],[Anualmente]]/CostoDeVentas[[#Totals],[Anualmente]],"-")</f>
        <v>0.13829229963331588</v>
      </c>
      <c r="AE13" s="62"/>
    </row>
    <row r="14" spans="2:31" ht="30" customHeight="1" x14ac:dyDescent="0.2">
      <c r="B14" s="24" t="s">
        <v>53</v>
      </c>
      <c r="D14" s="65">
        <f>SUBTOTAL(109,CostoDeVentas[Ene])</f>
        <v>265</v>
      </c>
      <c r="E14" s="65">
        <f>SUBTOTAL(109,CostoDeVentas[Feb])</f>
        <v>356</v>
      </c>
      <c r="F14" s="65">
        <f>SUBTOTAL(109,CostoDeVentas[Mar])</f>
        <v>315</v>
      </c>
      <c r="G14" s="65">
        <f>SUBTOTAL(109,CostoDeVentas[Abr])</f>
        <v>241</v>
      </c>
      <c r="H14" s="65">
        <f>SUBTOTAL(109,CostoDeVentas[May])</f>
        <v>399</v>
      </c>
      <c r="I14" s="65">
        <f>SUBTOTAL(109,CostoDeVentas[Jun])</f>
        <v>312</v>
      </c>
      <c r="J14" s="65">
        <f>SUBTOTAL(109,CostoDeVentas[Jul])</f>
        <v>299</v>
      </c>
      <c r="K14" s="65">
        <f>SUBTOTAL(109,CostoDeVentas[Ago])</f>
        <v>226</v>
      </c>
      <c r="L14" s="65">
        <f>SUBTOTAL(109,CostoDeVentas[Sep])</f>
        <v>414</v>
      </c>
      <c r="M14" s="65">
        <f>SUBTOTAL(109,CostoDeVentas[Oct])</f>
        <v>274</v>
      </c>
      <c r="N14" s="65">
        <f>SUBTOTAL(109,CostoDeVentas[Nov])</f>
        <v>264</v>
      </c>
      <c r="O14" s="65">
        <f>SUBTOTAL(109,CostoDeVentas[Dic])</f>
        <v>453</v>
      </c>
      <c r="P14" s="71">
        <f>SUBTOTAL(109,CostoDeVentas[Anualmente])</f>
        <v>3818</v>
      </c>
      <c r="Q14" s="9">
        <f>SUBTOTAL(109,CostoDeVentas[Porcentaje de índice])</f>
        <v>1</v>
      </c>
      <c r="R14" s="27">
        <f>SUBTOTAL(109,CostoDeVentas[Porcentaje de ene])</f>
        <v>0.99999999999999989</v>
      </c>
      <c r="S14" s="28">
        <f>SUBTOTAL(109,CostoDeVentas[Porcentaje de feb])</f>
        <v>1</v>
      </c>
      <c r="T14" s="28">
        <f>SUBTOTAL(109,CostoDeVentas[Porcentaje de mar])</f>
        <v>0.99999999999999989</v>
      </c>
      <c r="U14" s="28">
        <f>SUBTOTAL(109,CostoDeVentas[Porcentaje de abr])</f>
        <v>1</v>
      </c>
      <c r="V14" s="28">
        <f>SUBTOTAL(109,CostoDeVentas[Porcentaje de may])</f>
        <v>0.99999999999999989</v>
      </c>
      <c r="W14" s="28">
        <f>SUBTOTAL(109,CostoDeVentas[Porcentaje de jun])</f>
        <v>1</v>
      </c>
      <c r="X14" s="28">
        <f>SUBTOTAL(109,CostoDeVentas[Porcentaje de jul])</f>
        <v>1</v>
      </c>
      <c r="Y14" s="28">
        <f>SUBTOTAL(109,CostoDeVentas[Porcentaje de ago])</f>
        <v>0.99999999999999989</v>
      </c>
      <c r="Z14" s="28">
        <f>SUBTOTAL(109,CostoDeVentas[Porcentaje de sep])</f>
        <v>1</v>
      </c>
      <c r="AA14" s="28">
        <f>SUBTOTAL(109,CostoDeVentas[Porcentaje de oct])</f>
        <v>1</v>
      </c>
      <c r="AB14" s="28">
        <f>SUBTOTAL(109,CostoDeVentas[Porcentaje de nov])</f>
        <v>0.99999999999999989</v>
      </c>
      <c r="AC14" s="28">
        <f>SUBTOTAL(109,CostoDeVentas[Porcentaje de dic])</f>
        <v>1</v>
      </c>
      <c r="AD14" s="29">
        <f>SUBTOTAL(109,CostoDeVentas[Porcentaje anual])</f>
        <v>0.99999999999999989</v>
      </c>
      <c r="AE14" s="62"/>
    </row>
    <row r="15" spans="2:31" ht="9.9499999999999993" customHeight="1" x14ac:dyDescent="0.2"/>
    <row r="16" spans="2:31" ht="25.5" customHeight="1" x14ac:dyDescent="0.2">
      <c r="B16" s="35" t="s">
        <v>54</v>
      </c>
      <c r="C16" s="4"/>
      <c r="D16" s="72">
        <f>Ingresos[[#Totals],[Ene]]-CostoDeVentas[[#Totals],[Ene]]</f>
        <v>359</v>
      </c>
      <c r="E16" s="72">
        <f>Ingresos[[#Totals],[Feb]]-CostoDeVentas[[#Totals],[Feb]]</f>
        <v>380</v>
      </c>
      <c r="F16" s="72">
        <f>Ingresos[[#Totals],[Mar]]-CostoDeVentas[[#Totals],[Mar]]</f>
        <v>505</v>
      </c>
      <c r="G16" s="72">
        <f>Ingresos[[#Totals],[Abr]]-CostoDeVentas[[#Totals],[Abr]]</f>
        <v>370</v>
      </c>
      <c r="H16" s="72">
        <f>Ingresos[[#Totals],[May]]-CostoDeVentas[[#Totals],[May]]</f>
        <v>413</v>
      </c>
      <c r="I16" s="72">
        <f>Ingresos[[#Totals],[Jun]]-CostoDeVentas[[#Totals],[Jun]]</f>
        <v>266</v>
      </c>
      <c r="J16" s="72">
        <f>Ingresos[[#Totals],[Jul]]-CostoDeVentas[[#Totals],[Jul]]</f>
        <v>298</v>
      </c>
      <c r="K16" s="72">
        <f>Ingresos[[#Totals],[Ago]]-CostoDeVentas[[#Totals],[Ago]]</f>
        <v>449</v>
      </c>
      <c r="L16" s="72">
        <f>Ingresos[[#Totals],[Sep]]-CostoDeVentas[[#Totals],[Sep]]</f>
        <v>330</v>
      </c>
      <c r="M16" s="72">
        <f>Ingresos[[#Totals],[Oct]]-CostoDeVentas[[#Totals],[Oct]]</f>
        <v>407</v>
      </c>
      <c r="N16" s="72">
        <f>Ingresos[[#Totals],[Nov]]-CostoDeVentas[[#Totals],[Nov]]</f>
        <v>475</v>
      </c>
      <c r="O16" s="72">
        <f>Ingresos[[#Totals],[Dic]]-CostoDeVentas[[#Totals],[Dic]]</f>
        <v>590</v>
      </c>
      <c r="P16" s="72">
        <f>Ingresos[[#Totals],[Anualmente]]-CostoDeVentas[[#Totals],[Anualmente]]</f>
        <v>4842</v>
      </c>
      <c r="Q16" s="34"/>
      <c r="R16" s="75">
        <f t="shared" ref="R16:AC16" si="1">D16/$P$16</f>
        <v>7.4142916150351096E-2</v>
      </c>
      <c r="S16" s="75">
        <f t="shared" si="1"/>
        <v>7.8479966955803393E-2</v>
      </c>
      <c r="T16" s="75">
        <f t="shared" si="1"/>
        <v>0.10429574555968608</v>
      </c>
      <c r="U16" s="75">
        <f t="shared" si="1"/>
        <v>7.6414704667492769E-2</v>
      </c>
      <c r="V16" s="75">
        <f t="shared" si="1"/>
        <v>8.5295332507228414E-2</v>
      </c>
      <c r="W16" s="75">
        <f t="shared" si="1"/>
        <v>5.4935976869062368E-2</v>
      </c>
      <c r="X16" s="75">
        <f t="shared" si="1"/>
        <v>6.1544816191656339E-2</v>
      </c>
      <c r="Y16" s="75">
        <f t="shared" si="1"/>
        <v>9.2730276745146639E-2</v>
      </c>
      <c r="Z16" s="75">
        <f t="shared" si="1"/>
        <v>6.8153655514250316E-2</v>
      </c>
      <c r="AA16" s="75">
        <f t="shared" si="1"/>
        <v>8.4056175134242045E-2</v>
      </c>
      <c r="AB16" s="75">
        <f t="shared" si="1"/>
        <v>9.8099958694754227E-2</v>
      </c>
      <c r="AC16" s="75">
        <f t="shared" si="1"/>
        <v>0.12185047501032631</v>
      </c>
      <c r="AD16" s="75">
        <f>P16/$P$16</f>
        <v>1</v>
      </c>
    </row>
  </sheetData>
  <dataValidations count="18">
    <dataValidation allowBlank="1" showInputMessage="1" showErrorMessage="1" prompt="Los beneficios brutos para cada mes y año se calculan automáticamente en esta fila en función de las ventas totales y el costo total de ventas." sqref="B16" xr:uid="{00000000-0002-0000-0100-000000000000}"/>
    <dataValidation allowBlank="1" showInputMessage="1" showErrorMessage="1" prompt="En esta hoja de cálculo, se calcula el costo total de ventas para cada mes y año, y el costo anual de ventas para los elementos. El beneficio bruto se calcula en función de las entradas." sqref="A1" xr:uid="{00000000-0002-0000-0100-000001000000}"/>
    <dataValidation allowBlank="1" showInputMessage="1" showErrorMessage="1" prompt="El título se actualiza automáticamente a partir de la hoja de cálculo Ingresos (ventas). Escribe valores en la tabla Costo de ventas que se encuentra debajo para calcular el costo total de ventas." sqref="B3:B4" xr:uid="{00000000-0002-0000-0100-000002000000}"/>
    <dataValidation allowBlank="1" showInputMessage="1" showErrorMessage="1" prompt="El mes y el año se actualizan automáticamente en las celdas a la derecha. Para cambiar el mes o el año, modifica las celdas F2 y G2 en la hoja de cálculo Ingresos (ventas)" sqref="E2" xr:uid="{00000000-0002-0000-0100-000003000000}"/>
    <dataValidation allowBlank="1" showInputMessage="1" showErrorMessage="1" prompt="Escribe el porcentaje de índice en esta columna." sqref="Q6" xr:uid="{00000000-0002-0000-0100-000004000000}"/>
    <dataValidation allowBlank="1" showInputMessage="1" showErrorMessage="1" prompt="Escribe en esta columna el costo de las fuentes enumeradas en la columna B." sqref="D6:O6" xr:uid="{00000000-0002-0000-0100-000005000000}"/>
    <dataValidation allowBlank="1" showInputMessage="1" showErrorMessage="1" prompt="En esta columna, se encuentra un gráfico de tendencia de costo a lo largo del tiempo." sqref="C6" xr:uid="{00000000-0002-0000-0100-000006000000}"/>
    <dataValidation allowBlank="1" showInputMessage="1" showErrorMessage="1" prompt="Escribe el costo de ventas en esta columna." sqref="B6" xr:uid="{00000000-0002-0000-0100-000007000000}"/>
    <dataValidation allowBlank="1" showInputMessage="1" showErrorMessage="1" prompt="Calcula automáticamente la proporción de costo de ventas en función de distintos orígenes a las ventas totales del año en esta columna." sqref="AD5" xr:uid="{00000000-0002-0000-0100-000008000000}"/>
    <dataValidation allowBlank="1" showInputMessage="1" showErrorMessage="1" prompt="Calcula automáticamente la proporción de costo de ventas en función de distintos orígenes a las ventas totales del mes en esta columna." sqref="R5:AC5" xr:uid="{00000000-0002-0000-0100-000009000000}"/>
    <dataValidation allowBlank="1" showInputMessage="1" showErrorMessage="1" prompt="Mes actualizado automáticamente" sqref="E5:O5" xr:uid="{00000000-0002-0000-0100-00000A000000}"/>
    <dataValidation allowBlank="1" showInputMessage="1" showErrorMessage="1" prompt="Las fechas de esta fila se actualizan automáticamente en función del mes inicial del año fiscal. Para cambiar el mes inicial, modifica la celda F2 en la hoja Ingresos (ventas)." sqref="D5" xr:uid="{00000000-0002-0000-0100-00000B000000}"/>
    <dataValidation allowBlank="1" showInputMessage="1" showErrorMessage="1" prompt="El Costo anual se calcula automáticamente en esta columna." sqref="P5" xr:uid="{00000000-0002-0000-0100-00000C000000}"/>
    <dataValidation allowBlank="1" showInputMessage="1" showErrorMessage="1" prompt="El porcentaje de índice se encuentra en esta columna." sqref="Q5" xr:uid="{00000000-0002-0000-0100-00000D000000}"/>
    <dataValidation allowBlank="1" showInputMessage="1" showErrorMessage="1" prompt="Mes actualizado automáticamente. Para cambiarlo, modifica la celda F2 en la hoja de cálculo Ingresos (ventas)" sqref="F2" xr:uid="{00000000-0002-0000-0100-00000E000000}"/>
    <dataValidation allowBlank="1" showInputMessage="1" showErrorMessage="1" prompt="Año actualizado automáticamente. Para cambiarlo, modifica la celda G2 en la hoja de cálculo Ingresos (ventas)" sqref="G2" xr:uid="{00000000-0002-0000-0100-00000F000000}"/>
    <dataValidation allowBlank="1" showInputMessage="1" showErrorMessage="1" prompt="Esta celda se actualiza automáticamente a partir del título del período de proyección en la hoja de cálculo Ingresos (ventas)." sqref="B2" xr:uid="{00000000-0002-0000-0100-000010000000}"/>
    <dataValidation allowBlank="1" showInputMessage="1" showErrorMessage="1" prompt="El nombre de la empresa se actualiza automáticamente con la información de la hoja de cálculo Ingresos (ventas)." sqref="AD2 B1" xr:uid="{00000000-0002-0000-0100-000011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100-000002000000}">
          <x14:colorSeries theme="4" tint="-0.499984740745262"/>
          <x14:colorNegative theme="5"/>
          <x14:colorAxis rgb="FF000000"/>
          <x14:colorMarkers theme="4" tint="-0.499984740745262"/>
          <x14:colorFirst theme="4" tint="0.39997558519241921"/>
          <x14:colorLast theme="4" tint="0.39997558519241921"/>
          <x14:colorHigh theme="4" tint="-0.499984740745262"/>
          <x14:colorLow theme="4" tint="-0.499984740745262"/>
          <x14:sparklines>
            <x14:sparkline>
              <xm:f>'Costo de ventas'!D7:O7</xm:f>
              <xm:sqref>C7</xm:sqref>
            </x14:sparkline>
            <x14:sparkline>
              <xm:f>'Costo de ventas'!D8:O8</xm:f>
              <xm:sqref>C8</xm:sqref>
            </x14:sparkline>
            <x14:sparkline>
              <xm:f>'Costo de ventas'!D9:O9</xm:f>
              <xm:sqref>C9</xm:sqref>
            </x14:sparkline>
            <x14:sparkline>
              <xm:f>'Costo de ventas'!D10:O10</xm:f>
              <xm:sqref>C10</xm:sqref>
            </x14:sparkline>
            <x14:sparkline>
              <xm:f>'Costo de ventas'!D11:O11</xm:f>
              <xm:sqref>C11</xm:sqref>
            </x14:sparkline>
            <x14:sparkline>
              <xm:f>'Costo de ventas'!D12:O12</xm:f>
              <xm:sqref>C12</xm:sqref>
            </x14:sparkline>
            <x14:sparkline>
              <xm:f>'Costo de ventas'!D13:O13</xm:f>
              <xm:sqref>C13</xm:sqref>
            </x14:sparkline>
          </x14:sparklines>
        </x14:sparklineGroup>
        <x14:sparklineGroup lineWeight="1" displayEmptyCellsAs="gap" high="1" low="1" xr2:uid="{00000000-0003-0000-0100-000003000000}">
          <x14:colorSeries theme="4" tint="-0.499984740745262"/>
          <x14:colorNegative theme="5"/>
          <x14:colorAxis rgb="FF000000"/>
          <x14:colorMarkers theme="4" tint="-0.499984740745262"/>
          <x14:colorFirst theme="4" tint="0.39997558519241921"/>
          <x14:colorLast theme="4" tint="0.39997558519241921"/>
          <x14:colorHigh theme="4" tint="-0.499984740745262"/>
          <x14:colorLow theme="4" tint="-0.499984740745262"/>
          <x14:sparklines>
            <x14:sparkline>
              <xm:f>'Costo de ventas'!D14:O14</xm:f>
              <xm:sqref>C14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B1:AD28"/>
  <sheetViews>
    <sheetView showGridLines="0" zoomScaleNormal="100" workbookViewId="0">
      <pane xSplit="3" ySplit="5" topLeftCell="D6" activePane="bottomRight" state="frozen"/>
      <selection activeCell="D5" sqref="D5"/>
      <selection pane="topRight" activeCell="D5" sqref="D5"/>
      <selection pane="bottomLeft" activeCell="D5" sqref="D5"/>
      <selection pane="bottomRight"/>
    </sheetView>
  </sheetViews>
  <sheetFormatPr defaultColWidth="9" defaultRowHeight="30" customHeight="1" x14ac:dyDescent="0.2"/>
  <cols>
    <col min="1" max="1" width="2.625" customWidth="1"/>
    <col min="2" max="3" width="28.25" customWidth="1"/>
    <col min="4" max="15" width="9.625" customWidth="1"/>
    <col min="16" max="16" width="11.875" bestFit="1" customWidth="1"/>
    <col min="17" max="17" width="16.5" bestFit="1" customWidth="1"/>
    <col min="18" max="29" width="7.5" customWidth="1"/>
    <col min="30" max="30" width="16.75" bestFit="1" customWidth="1"/>
    <col min="31" max="31" width="2.625" customWidth="1"/>
  </cols>
  <sheetData>
    <row r="1" spans="2:30" ht="38.1" customHeight="1" x14ac:dyDescent="0.2">
      <c r="B1" s="38" t="str">
        <f>Company_Name</f>
        <v>Nombre de la compañía</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2:30" ht="35.1" customHeight="1" x14ac:dyDescent="0.2">
      <c r="B2" s="48" t="str">
        <f>Projection_Period_Title</f>
        <v>Doce meses</v>
      </c>
      <c r="C2" s="49"/>
      <c r="D2" s="49"/>
      <c r="E2" s="50" t="s">
        <v>55</v>
      </c>
      <c r="F2" s="51" t="str">
        <f>FYMonthStart</f>
        <v>ENE</v>
      </c>
      <c r="G2" s="51">
        <f ca="1">FYStartYear</f>
        <v>2019</v>
      </c>
      <c r="J2" s="5"/>
      <c r="Q2" s="3"/>
      <c r="R2" s="3"/>
      <c r="S2" s="3"/>
      <c r="T2" s="3"/>
      <c r="U2" s="3"/>
      <c r="V2" s="3"/>
      <c r="W2" s="3"/>
      <c r="X2" s="3"/>
      <c r="Y2" s="3"/>
      <c r="Z2" s="3"/>
      <c r="AA2" s="3"/>
      <c r="AB2" s="3"/>
      <c r="AC2" s="3"/>
      <c r="AD2" s="6"/>
    </row>
    <row r="3" spans="2:30" ht="60" customHeight="1" x14ac:dyDescent="0.2">
      <c r="B3" s="37" t="str">
        <f>'Ingresos (ventas)'!$B$3</f>
        <v>Proyección de pérdidas y beneficios</v>
      </c>
      <c r="C3" s="10"/>
      <c r="D3" s="11"/>
      <c r="E3" s="11"/>
      <c r="F3" s="11"/>
      <c r="G3" s="11"/>
      <c r="H3" s="11"/>
      <c r="I3" s="11"/>
      <c r="J3" s="11"/>
      <c r="K3" s="11"/>
      <c r="L3" s="11"/>
      <c r="M3" s="11"/>
      <c r="N3" s="11"/>
      <c r="O3" s="11"/>
      <c r="P3" s="10"/>
      <c r="Q3" s="10"/>
      <c r="R3" s="10"/>
      <c r="S3" s="10"/>
      <c r="T3" s="10"/>
      <c r="U3" s="10"/>
      <c r="V3" s="10"/>
      <c r="W3" s="10"/>
      <c r="X3" s="12"/>
      <c r="Y3" s="12"/>
      <c r="Z3" s="12"/>
      <c r="AA3" s="12"/>
      <c r="AB3" s="10"/>
      <c r="AC3" s="10"/>
      <c r="AD3" s="10"/>
    </row>
    <row r="4" spans="2:30" ht="15" customHeight="1" x14ac:dyDescent="0.2">
      <c r="B4" s="30"/>
      <c r="D4" s="1"/>
      <c r="E4" s="1"/>
      <c r="F4" s="1"/>
      <c r="G4" s="1"/>
      <c r="K4" s="1"/>
      <c r="L4" s="1"/>
      <c r="M4" s="1"/>
      <c r="N4" s="1"/>
      <c r="O4" s="1"/>
      <c r="X4" s="2"/>
      <c r="Y4" s="2"/>
    </row>
    <row r="5" spans="2:30" ht="20.100000000000001" customHeight="1" x14ac:dyDescent="0.2">
      <c r="D5" s="96" t="str">
        <f ca="1">UPPER(TEXT(DATE(FYStartYear,FYMonthNo,1),"mmm-aa"))</f>
        <v>JAN-AA</v>
      </c>
      <c r="E5" s="96" t="str">
        <f ca="1">UPPER(TEXT(DATE(FYStartYear,FYMonthNo+1,1),"mmm-aa"))</f>
        <v>FEB-AA</v>
      </c>
      <c r="F5" s="96" t="str">
        <f ca="1">UPPER(TEXT(DATE(FYStartYear,FYMonthNo+2,1),"mmm-aa"))</f>
        <v>MAR-AA</v>
      </c>
      <c r="G5" s="96" t="str">
        <f ca="1">UPPER(TEXT(DATE(FYStartYear,FYMonthNo+3,1),"mmm-aa"))</f>
        <v>APR-AA</v>
      </c>
      <c r="H5" s="96" t="str">
        <f ca="1">UPPER(TEXT(DATE(FYStartYear,FYMonthNo+4,1),"mmm-aa"))</f>
        <v>MAY-AA</v>
      </c>
      <c r="I5" s="96" t="str">
        <f ca="1">UPPER(TEXT(DATE(FYStartYear,FYMonthNo+5,1),"mmm-aa"))</f>
        <v>JUN-AA</v>
      </c>
      <c r="J5" s="96" t="str">
        <f ca="1">UPPER(TEXT(DATE(FYStartYear,FYMonthNo+6,1),"mmm-aa"))</f>
        <v>JUL-AA</v>
      </c>
      <c r="K5" s="96" t="str">
        <f ca="1">UPPER(TEXT(DATE(FYStartYear,FYMonthNo+7,1),"mmm-aa"))</f>
        <v>AUG-AA</v>
      </c>
      <c r="L5" s="96" t="str">
        <f ca="1">UPPER(TEXT(DATE(FYStartYear,FYMonthNo+8,1),"mmm-aa"))</f>
        <v>SEP-AA</v>
      </c>
      <c r="M5" s="96" t="str">
        <f ca="1">UPPER(TEXT(DATE(FYStartYear,FYMonthNo+9,1),"mmm-aa"))</f>
        <v>OCT-AA</v>
      </c>
      <c r="N5" s="96" t="str">
        <f ca="1">UPPER(TEXT(DATE(FYStartYear,FYMonthNo+10,1),"mmm-aa"))</f>
        <v>NOV-AA</v>
      </c>
      <c r="O5" s="97" t="str">
        <f ca="1">UPPER(TEXT(DATE(FYStartYear,FYMonthNo+11,1),"mmm-aa"))</f>
        <v>DEC-AA</v>
      </c>
      <c r="P5" s="98" t="s">
        <v>27</v>
      </c>
      <c r="Q5" s="97" t="s">
        <v>29</v>
      </c>
      <c r="R5" s="99" t="str">
        <f ca="1">LEFT(D5,3)&amp;" %"</f>
        <v>JAN %</v>
      </c>
      <c r="S5" s="100" t="str">
        <f t="shared" ref="S5:AC5" ca="1" si="0">LEFT(E5,3)&amp;" %"</f>
        <v>FEB %</v>
      </c>
      <c r="T5" s="100" t="str">
        <f t="shared" ca="1" si="0"/>
        <v>MAR %</v>
      </c>
      <c r="U5" s="100" t="str">
        <f t="shared" ca="1" si="0"/>
        <v>APR %</v>
      </c>
      <c r="V5" s="100" t="str">
        <f t="shared" ca="1" si="0"/>
        <v>MAY %</v>
      </c>
      <c r="W5" s="100" t="str">
        <f t="shared" ca="1" si="0"/>
        <v>JUN %</v>
      </c>
      <c r="X5" s="100" t="str">
        <f t="shared" ca="1" si="0"/>
        <v>JUL %</v>
      </c>
      <c r="Y5" s="100" t="str">
        <f t="shared" ca="1" si="0"/>
        <v>AUG %</v>
      </c>
      <c r="Z5" s="100" t="str">
        <f t="shared" ca="1" si="0"/>
        <v>SEP %</v>
      </c>
      <c r="AA5" s="100" t="str">
        <f t="shared" ca="1" si="0"/>
        <v>OCT %</v>
      </c>
      <c r="AB5" s="100" t="str">
        <f t="shared" ca="1" si="0"/>
        <v>NOV %</v>
      </c>
      <c r="AC5" s="100" t="str">
        <f t="shared" ca="1" si="0"/>
        <v>DEC %</v>
      </c>
      <c r="AD5" s="101" t="s">
        <v>43</v>
      </c>
    </row>
    <row r="6" spans="2:30" ht="30" customHeight="1" x14ac:dyDescent="0.2">
      <c r="B6" s="53" t="s">
        <v>56</v>
      </c>
      <c r="C6" s="53" t="s">
        <v>12</v>
      </c>
      <c r="D6" s="54" t="s">
        <v>13</v>
      </c>
      <c r="E6" s="54" t="s">
        <v>15</v>
      </c>
      <c r="F6" s="54" t="s">
        <v>17</v>
      </c>
      <c r="G6" s="54" t="s">
        <v>18</v>
      </c>
      <c r="H6" s="54" t="s">
        <v>19</v>
      </c>
      <c r="I6" s="54" t="s">
        <v>20</v>
      </c>
      <c r="J6" s="54" t="s">
        <v>21</v>
      </c>
      <c r="K6" s="54" t="s">
        <v>22</v>
      </c>
      <c r="L6" s="54" t="s">
        <v>23</v>
      </c>
      <c r="M6" s="54" t="s">
        <v>24</v>
      </c>
      <c r="N6" s="54" t="s">
        <v>25</v>
      </c>
      <c r="O6" s="54" t="s">
        <v>26</v>
      </c>
      <c r="P6" s="55" t="s">
        <v>28</v>
      </c>
      <c r="Q6" s="54" t="s">
        <v>30</v>
      </c>
      <c r="R6" s="56" t="s">
        <v>31</v>
      </c>
      <c r="S6" s="54" t="s">
        <v>32</v>
      </c>
      <c r="T6" s="54" t="s">
        <v>33</v>
      </c>
      <c r="U6" s="54" t="s">
        <v>34</v>
      </c>
      <c r="V6" s="54" t="s">
        <v>35</v>
      </c>
      <c r="W6" s="54" t="s">
        <v>36</v>
      </c>
      <c r="X6" s="54" t="s">
        <v>37</v>
      </c>
      <c r="Y6" s="54" t="s">
        <v>38</v>
      </c>
      <c r="Z6" s="54" t="s">
        <v>39</v>
      </c>
      <c r="AA6" s="54" t="s">
        <v>40</v>
      </c>
      <c r="AB6" s="54" t="s">
        <v>41</v>
      </c>
      <c r="AC6" s="54" t="s">
        <v>42</v>
      </c>
      <c r="AD6" s="57" t="s">
        <v>44</v>
      </c>
    </row>
    <row r="7" spans="2:30" ht="30" customHeight="1" x14ac:dyDescent="0.2">
      <c r="B7" s="31" t="s">
        <v>57</v>
      </c>
      <c r="C7" t="s">
        <v>76</v>
      </c>
      <c r="D7" s="63">
        <v>10</v>
      </c>
      <c r="E7" s="63">
        <v>18</v>
      </c>
      <c r="F7" s="63">
        <v>13</v>
      </c>
      <c r="G7" s="63">
        <v>8</v>
      </c>
      <c r="H7" s="63">
        <v>22</v>
      </c>
      <c r="I7" s="63">
        <v>18</v>
      </c>
      <c r="J7" s="63">
        <v>8</v>
      </c>
      <c r="K7" s="63">
        <v>17</v>
      </c>
      <c r="L7" s="63">
        <v>20</v>
      </c>
      <c r="M7" s="63">
        <v>8</v>
      </c>
      <c r="N7" s="63">
        <v>4</v>
      </c>
      <c r="O7" s="63">
        <v>12</v>
      </c>
      <c r="P7" s="76">
        <f>SUM(tblGastos[[#This Row],[Ene]:[Dic]])</f>
        <v>158</v>
      </c>
      <c r="Q7" s="67">
        <v>0.12</v>
      </c>
      <c r="R7" s="82">
        <f>IFERROR(tblGastos[[#This Row],[Ene]]/tblGastos[[#Totals],[Ene]],"-")</f>
        <v>4.2372881355932202E-2</v>
      </c>
      <c r="S7" s="67">
        <f>IFERROR(tblGastos[[#This Row],[Feb]]/tblGastos[[#Totals],[Feb]],"-")</f>
        <v>8.7804878048780483E-2</v>
      </c>
      <c r="T7" s="67">
        <f>IFERROR(tblGastos[[#This Row],[Mar]]/tblGastos[[#Totals],[Mar]],"-")</f>
        <v>5.2208835341365459E-2</v>
      </c>
      <c r="U7" s="67">
        <f>IFERROR(tblGastos[[#This Row],[Abr]]/tblGastos[[#Totals],[Abr]],"-")</f>
        <v>3.0651340996168581E-2</v>
      </c>
      <c r="V7" s="67">
        <f>IFERROR(tblGastos[[#This Row],[May]]/tblGastos[[#Totals],[May]],"-")</f>
        <v>8.5603112840466927E-2</v>
      </c>
      <c r="W7" s="67">
        <f>IFERROR(tblGastos[[#This Row],[Jun]]/tblGastos[[#Totals],[Jun]],"-")</f>
        <v>6.569343065693431E-2</v>
      </c>
      <c r="X7" s="67">
        <f>IFERROR(tblGastos[[#This Row],[Jul]]/tblGastos[[#Totals],[Jul]],"-")</f>
        <v>3.007518796992481E-2</v>
      </c>
      <c r="Y7" s="67">
        <f>IFERROR(tblGastos[[#This Row],[Ago]]/tblGastos[[#Totals],[Ago]],"-")</f>
        <v>7.2340425531914887E-2</v>
      </c>
      <c r="Z7" s="67">
        <f>IFERROR(tblGastos[[#This Row],[Sep]]/tblGastos[[#Totals],[Sep]],"-")</f>
        <v>8.6956521739130432E-2</v>
      </c>
      <c r="AA7" s="67">
        <f>IFERROR(tblGastos[[#This Row],[Oct]]/tblGastos[[#Totals],[Oct]],"-")</f>
        <v>3.0888030888030889E-2</v>
      </c>
      <c r="AB7" s="67">
        <f>IFERROR(tblGastos[[#This Row],[Nov]]/tblGastos[[#Totals],[Nov]],"-")</f>
        <v>1.3513513513513514E-2</v>
      </c>
      <c r="AC7" s="67">
        <f>IFERROR(tblGastos[[#This Row],[Dic]]/tblGastos[[#Totals],[Dic]],"-")</f>
        <v>5.1948051948051951E-2</v>
      </c>
      <c r="AD7" s="83">
        <f>IFERROR(tblGastos[[#This Row],[Anualmente]]/tblGastos[[#Totals],[Anualmente]],"-")</f>
        <v>5.2684228076025338E-2</v>
      </c>
    </row>
    <row r="8" spans="2:30" ht="30" customHeight="1" x14ac:dyDescent="0.2">
      <c r="B8" s="31" t="s">
        <v>58</v>
      </c>
      <c r="C8" t="s">
        <v>76</v>
      </c>
      <c r="D8" s="63">
        <v>23</v>
      </c>
      <c r="E8" s="63">
        <v>11</v>
      </c>
      <c r="F8" s="63">
        <v>7</v>
      </c>
      <c r="G8" s="63">
        <v>14</v>
      </c>
      <c r="H8" s="63">
        <v>12</v>
      </c>
      <c r="I8" s="63">
        <v>19</v>
      </c>
      <c r="J8" s="63">
        <v>19</v>
      </c>
      <c r="K8" s="63">
        <v>4</v>
      </c>
      <c r="L8" s="63">
        <v>7</v>
      </c>
      <c r="M8" s="63">
        <v>13</v>
      </c>
      <c r="N8" s="63">
        <v>25</v>
      </c>
      <c r="O8" s="63">
        <v>5</v>
      </c>
      <c r="P8" s="76">
        <f>SUM(tblGastos[[#This Row],[Ene]:[Dic]])</f>
        <v>159</v>
      </c>
      <c r="Q8" s="67">
        <v>0.09</v>
      </c>
      <c r="R8" s="82">
        <f>IFERROR(tblGastos[[#This Row],[Ene]]/tblGastos[[#Totals],[Ene]],"-")</f>
        <v>9.7457627118644072E-2</v>
      </c>
      <c r="S8" s="67">
        <f>IFERROR(tblGastos[[#This Row],[Feb]]/tblGastos[[#Totals],[Feb]],"-")</f>
        <v>5.3658536585365853E-2</v>
      </c>
      <c r="T8" s="67">
        <f>IFERROR(tblGastos[[#This Row],[Mar]]/tblGastos[[#Totals],[Mar]],"-")</f>
        <v>2.8112449799196786E-2</v>
      </c>
      <c r="U8" s="67">
        <f>IFERROR(tblGastos[[#This Row],[Abr]]/tblGastos[[#Totals],[Abr]],"-")</f>
        <v>5.3639846743295021E-2</v>
      </c>
      <c r="V8" s="67">
        <f>IFERROR(tblGastos[[#This Row],[May]]/tblGastos[[#Totals],[May]],"-")</f>
        <v>4.6692607003891051E-2</v>
      </c>
      <c r="W8" s="67">
        <f>IFERROR(tblGastos[[#This Row],[Jun]]/tblGastos[[#Totals],[Jun]],"-")</f>
        <v>6.9343065693430656E-2</v>
      </c>
      <c r="X8" s="67">
        <f>IFERROR(tblGastos[[#This Row],[Jul]]/tblGastos[[#Totals],[Jul]],"-")</f>
        <v>7.1428571428571425E-2</v>
      </c>
      <c r="Y8" s="67">
        <f>IFERROR(tblGastos[[#This Row],[Ago]]/tblGastos[[#Totals],[Ago]],"-")</f>
        <v>1.7021276595744681E-2</v>
      </c>
      <c r="Z8" s="67">
        <f>IFERROR(tblGastos[[#This Row],[Sep]]/tblGastos[[#Totals],[Sep]],"-")</f>
        <v>3.0434782608695653E-2</v>
      </c>
      <c r="AA8" s="67">
        <f>IFERROR(tblGastos[[#This Row],[Oct]]/tblGastos[[#Totals],[Oct]],"-")</f>
        <v>5.019305019305019E-2</v>
      </c>
      <c r="AB8" s="67">
        <f>IFERROR(tblGastos[[#This Row],[Nov]]/tblGastos[[#Totals],[Nov]],"-")</f>
        <v>8.4459459459459457E-2</v>
      </c>
      <c r="AC8" s="67">
        <f>IFERROR(tblGastos[[#This Row],[Dic]]/tblGastos[[#Totals],[Dic]],"-")</f>
        <v>2.1645021645021644E-2</v>
      </c>
      <c r="AD8" s="83">
        <f>IFERROR(tblGastos[[#This Row],[Anualmente]]/tblGastos[[#Totals],[Anualmente]],"-")</f>
        <v>5.3017672557519172E-2</v>
      </c>
    </row>
    <row r="9" spans="2:30" ht="30" customHeight="1" x14ac:dyDescent="0.2">
      <c r="B9" s="31" t="s">
        <v>59</v>
      </c>
      <c r="C9" t="s">
        <v>76</v>
      </c>
      <c r="D9" s="63">
        <v>23</v>
      </c>
      <c r="E9" s="63">
        <v>20</v>
      </c>
      <c r="F9" s="63">
        <v>3</v>
      </c>
      <c r="G9" s="63">
        <v>16</v>
      </c>
      <c r="H9" s="63">
        <v>10</v>
      </c>
      <c r="I9" s="63">
        <v>5</v>
      </c>
      <c r="J9" s="63">
        <v>20</v>
      </c>
      <c r="K9" s="63">
        <v>7</v>
      </c>
      <c r="L9" s="63">
        <v>4</v>
      </c>
      <c r="M9" s="63">
        <v>22</v>
      </c>
      <c r="N9" s="63">
        <v>13</v>
      </c>
      <c r="O9" s="63">
        <v>14</v>
      </c>
      <c r="P9" s="76">
        <f>SUM(tblGastos[[#This Row],[Ene]:[Dic]])</f>
        <v>157</v>
      </c>
      <c r="Q9" s="67">
        <v>0.02</v>
      </c>
      <c r="R9" s="82">
        <f>IFERROR(tblGastos[[#This Row],[Ene]]/tblGastos[[#Totals],[Ene]],"-")</f>
        <v>9.7457627118644072E-2</v>
      </c>
      <c r="S9" s="67">
        <f>IFERROR(tblGastos[[#This Row],[Feb]]/tblGastos[[#Totals],[Feb]],"-")</f>
        <v>9.7560975609756101E-2</v>
      </c>
      <c r="T9" s="67">
        <f>IFERROR(tblGastos[[#This Row],[Mar]]/tblGastos[[#Totals],[Mar]],"-")</f>
        <v>1.2048192771084338E-2</v>
      </c>
      <c r="U9" s="67">
        <f>IFERROR(tblGastos[[#This Row],[Abr]]/tblGastos[[#Totals],[Abr]],"-")</f>
        <v>6.1302681992337162E-2</v>
      </c>
      <c r="V9" s="67">
        <f>IFERROR(tblGastos[[#This Row],[May]]/tblGastos[[#Totals],[May]],"-")</f>
        <v>3.8910505836575876E-2</v>
      </c>
      <c r="W9" s="67">
        <f>IFERROR(tblGastos[[#This Row],[Jun]]/tblGastos[[#Totals],[Jun]],"-")</f>
        <v>1.824817518248175E-2</v>
      </c>
      <c r="X9" s="67">
        <f>IFERROR(tblGastos[[#This Row],[Jul]]/tblGastos[[#Totals],[Jul]],"-")</f>
        <v>7.5187969924812026E-2</v>
      </c>
      <c r="Y9" s="67">
        <f>IFERROR(tblGastos[[#This Row],[Ago]]/tblGastos[[#Totals],[Ago]],"-")</f>
        <v>2.9787234042553193E-2</v>
      </c>
      <c r="Z9" s="67">
        <f>IFERROR(tblGastos[[#This Row],[Sep]]/tblGastos[[#Totals],[Sep]],"-")</f>
        <v>1.7391304347826087E-2</v>
      </c>
      <c r="AA9" s="67">
        <f>IFERROR(tblGastos[[#This Row],[Oct]]/tblGastos[[#Totals],[Oct]],"-")</f>
        <v>8.4942084942084939E-2</v>
      </c>
      <c r="AB9" s="67">
        <f>IFERROR(tblGastos[[#This Row],[Nov]]/tblGastos[[#Totals],[Nov]],"-")</f>
        <v>4.3918918918918921E-2</v>
      </c>
      <c r="AC9" s="67">
        <f>IFERROR(tblGastos[[#This Row],[Dic]]/tblGastos[[#Totals],[Dic]],"-")</f>
        <v>6.0606060606060608E-2</v>
      </c>
      <c r="AD9" s="83">
        <f>IFERROR(tblGastos[[#This Row],[Anualmente]]/tblGastos[[#Totals],[Anualmente]],"-")</f>
        <v>5.2350783594531512E-2</v>
      </c>
    </row>
    <row r="10" spans="2:30" ht="30" customHeight="1" x14ac:dyDescent="0.2">
      <c r="B10" s="31" t="s">
        <v>60</v>
      </c>
      <c r="C10" t="s">
        <v>76</v>
      </c>
      <c r="D10" s="63">
        <v>19</v>
      </c>
      <c r="E10" s="63">
        <v>4</v>
      </c>
      <c r="F10" s="63">
        <v>7</v>
      </c>
      <c r="G10" s="63">
        <v>14</v>
      </c>
      <c r="H10" s="63">
        <v>22</v>
      </c>
      <c r="I10" s="63">
        <v>10</v>
      </c>
      <c r="J10" s="63">
        <v>22</v>
      </c>
      <c r="K10" s="63">
        <v>5</v>
      </c>
      <c r="L10" s="63">
        <v>4</v>
      </c>
      <c r="M10" s="63">
        <v>12</v>
      </c>
      <c r="N10" s="63">
        <v>18</v>
      </c>
      <c r="O10" s="63">
        <v>24</v>
      </c>
      <c r="P10" s="76">
        <f>SUM(tblGastos[[#This Row],[Ene]:[Dic]])</f>
        <v>161</v>
      </c>
      <c r="Q10" s="67">
        <v>0.08</v>
      </c>
      <c r="R10" s="82">
        <f>IFERROR(tblGastos[[#This Row],[Ene]]/tblGastos[[#Totals],[Ene]],"-")</f>
        <v>8.050847457627118E-2</v>
      </c>
      <c r="S10" s="67">
        <f>IFERROR(tblGastos[[#This Row],[Feb]]/tblGastos[[#Totals],[Feb]],"-")</f>
        <v>1.9512195121951219E-2</v>
      </c>
      <c r="T10" s="67">
        <f>IFERROR(tblGastos[[#This Row],[Mar]]/tblGastos[[#Totals],[Mar]],"-")</f>
        <v>2.8112449799196786E-2</v>
      </c>
      <c r="U10" s="67">
        <f>IFERROR(tblGastos[[#This Row],[Abr]]/tblGastos[[#Totals],[Abr]],"-")</f>
        <v>5.3639846743295021E-2</v>
      </c>
      <c r="V10" s="67">
        <f>IFERROR(tblGastos[[#This Row],[May]]/tblGastos[[#Totals],[May]],"-")</f>
        <v>8.5603112840466927E-2</v>
      </c>
      <c r="W10" s="67">
        <f>IFERROR(tblGastos[[#This Row],[Jun]]/tblGastos[[#Totals],[Jun]],"-")</f>
        <v>3.6496350364963501E-2</v>
      </c>
      <c r="X10" s="67">
        <f>IFERROR(tblGastos[[#This Row],[Jul]]/tblGastos[[#Totals],[Jul]],"-")</f>
        <v>8.2706766917293228E-2</v>
      </c>
      <c r="Y10" s="67">
        <f>IFERROR(tblGastos[[#This Row],[Ago]]/tblGastos[[#Totals],[Ago]],"-")</f>
        <v>2.1276595744680851E-2</v>
      </c>
      <c r="Z10" s="67">
        <f>IFERROR(tblGastos[[#This Row],[Sep]]/tblGastos[[#Totals],[Sep]],"-")</f>
        <v>1.7391304347826087E-2</v>
      </c>
      <c r="AA10" s="67">
        <f>IFERROR(tblGastos[[#This Row],[Oct]]/tblGastos[[#Totals],[Oct]],"-")</f>
        <v>4.633204633204633E-2</v>
      </c>
      <c r="AB10" s="67">
        <f>IFERROR(tblGastos[[#This Row],[Nov]]/tblGastos[[#Totals],[Nov]],"-")</f>
        <v>6.0810810810810814E-2</v>
      </c>
      <c r="AC10" s="67">
        <f>IFERROR(tblGastos[[#This Row],[Dic]]/tblGastos[[#Totals],[Dic]],"-")</f>
        <v>0.1038961038961039</v>
      </c>
      <c r="AD10" s="83">
        <f>IFERROR(tblGastos[[#This Row],[Anualmente]]/tblGastos[[#Totals],[Anualmente]],"-")</f>
        <v>5.3684561520506838E-2</v>
      </c>
    </row>
    <row r="11" spans="2:30" ht="30" customHeight="1" x14ac:dyDescent="0.2">
      <c r="B11" s="31" t="s">
        <v>61</v>
      </c>
      <c r="C11" t="s">
        <v>76</v>
      </c>
      <c r="D11" s="63">
        <v>11</v>
      </c>
      <c r="E11" s="63">
        <v>11</v>
      </c>
      <c r="F11" s="63">
        <v>17</v>
      </c>
      <c r="G11" s="63">
        <v>12</v>
      </c>
      <c r="H11" s="63">
        <v>2</v>
      </c>
      <c r="I11" s="63">
        <v>14</v>
      </c>
      <c r="J11" s="63">
        <v>12</v>
      </c>
      <c r="K11" s="63">
        <v>10</v>
      </c>
      <c r="L11" s="63">
        <v>18</v>
      </c>
      <c r="M11" s="63">
        <v>11</v>
      </c>
      <c r="N11" s="63">
        <v>23</v>
      </c>
      <c r="O11" s="63">
        <v>11</v>
      </c>
      <c r="P11" s="76">
        <f>SUM(tblGastos[[#This Row],[Ene]:[Dic]])</f>
        <v>152</v>
      </c>
      <c r="Q11" s="67">
        <v>0.03</v>
      </c>
      <c r="R11" s="82">
        <f>IFERROR(tblGastos[[#This Row],[Ene]]/tblGastos[[#Totals],[Ene]],"-")</f>
        <v>4.6610169491525424E-2</v>
      </c>
      <c r="S11" s="67">
        <f>IFERROR(tblGastos[[#This Row],[Feb]]/tblGastos[[#Totals],[Feb]],"-")</f>
        <v>5.3658536585365853E-2</v>
      </c>
      <c r="T11" s="67">
        <f>IFERROR(tblGastos[[#This Row],[Mar]]/tblGastos[[#Totals],[Mar]],"-")</f>
        <v>6.8273092369477914E-2</v>
      </c>
      <c r="U11" s="67">
        <f>IFERROR(tblGastos[[#This Row],[Abr]]/tblGastos[[#Totals],[Abr]],"-")</f>
        <v>4.5977011494252873E-2</v>
      </c>
      <c r="V11" s="67">
        <f>IFERROR(tblGastos[[#This Row],[May]]/tblGastos[[#Totals],[May]],"-")</f>
        <v>7.7821011673151752E-3</v>
      </c>
      <c r="W11" s="67">
        <f>IFERROR(tblGastos[[#This Row],[Jun]]/tblGastos[[#Totals],[Jun]],"-")</f>
        <v>5.1094890510948905E-2</v>
      </c>
      <c r="X11" s="67">
        <f>IFERROR(tblGastos[[#This Row],[Jul]]/tblGastos[[#Totals],[Jul]],"-")</f>
        <v>4.5112781954887216E-2</v>
      </c>
      <c r="Y11" s="67">
        <f>IFERROR(tblGastos[[#This Row],[Ago]]/tblGastos[[#Totals],[Ago]],"-")</f>
        <v>4.2553191489361701E-2</v>
      </c>
      <c r="Z11" s="67">
        <f>IFERROR(tblGastos[[#This Row],[Sep]]/tblGastos[[#Totals],[Sep]],"-")</f>
        <v>7.8260869565217397E-2</v>
      </c>
      <c r="AA11" s="67">
        <f>IFERROR(tblGastos[[#This Row],[Oct]]/tblGastos[[#Totals],[Oct]],"-")</f>
        <v>4.2471042471042469E-2</v>
      </c>
      <c r="AB11" s="67">
        <f>IFERROR(tblGastos[[#This Row],[Nov]]/tblGastos[[#Totals],[Nov]],"-")</f>
        <v>7.77027027027027E-2</v>
      </c>
      <c r="AC11" s="67">
        <f>IFERROR(tblGastos[[#This Row],[Dic]]/tblGastos[[#Totals],[Dic]],"-")</f>
        <v>4.7619047619047616E-2</v>
      </c>
      <c r="AD11" s="83">
        <f>IFERROR(tblGastos[[#This Row],[Anualmente]]/tblGastos[[#Totals],[Anualmente]],"-")</f>
        <v>5.0683561187062354E-2</v>
      </c>
    </row>
    <row r="12" spans="2:30" ht="30" customHeight="1" x14ac:dyDescent="0.2">
      <c r="B12" s="31" t="s">
        <v>62</v>
      </c>
      <c r="C12" t="s">
        <v>76</v>
      </c>
      <c r="D12" s="77">
        <v>2</v>
      </c>
      <c r="E12" s="77">
        <v>16</v>
      </c>
      <c r="F12" s="77">
        <v>6</v>
      </c>
      <c r="G12" s="77">
        <v>13</v>
      </c>
      <c r="H12" s="77">
        <v>11</v>
      </c>
      <c r="I12" s="77">
        <v>22</v>
      </c>
      <c r="J12" s="77">
        <v>21</v>
      </c>
      <c r="K12" s="77">
        <v>3</v>
      </c>
      <c r="L12" s="77">
        <v>12</v>
      </c>
      <c r="M12" s="77">
        <v>7</v>
      </c>
      <c r="N12" s="77">
        <v>17</v>
      </c>
      <c r="O12" s="77">
        <v>20</v>
      </c>
      <c r="P12" s="78">
        <f>SUM(tblGastos[[#This Row],[Ene]:[Dic]])</f>
        <v>150</v>
      </c>
      <c r="Q12" s="67">
        <v>0.15</v>
      </c>
      <c r="R12" s="82">
        <f>IFERROR(tblGastos[[#This Row],[Ene]]/tblGastos[[#Totals],[Ene]],"-")</f>
        <v>8.4745762711864406E-3</v>
      </c>
      <c r="S12" s="67">
        <f>IFERROR(tblGastos[[#This Row],[Feb]]/tblGastos[[#Totals],[Feb]],"-")</f>
        <v>7.8048780487804878E-2</v>
      </c>
      <c r="T12" s="67">
        <f>IFERROR(tblGastos[[#This Row],[Mar]]/tblGastos[[#Totals],[Mar]],"-")</f>
        <v>2.4096385542168676E-2</v>
      </c>
      <c r="U12" s="67">
        <f>IFERROR(tblGastos[[#This Row],[Abr]]/tblGastos[[#Totals],[Abr]],"-")</f>
        <v>4.9808429118773943E-2</v>
      </c>
      <c r="V12" s="67">
        <f>IFERROR(tblGastos[[#This Row],[May]]/tblGastos[[#Totals],[May]],"-")</f>
        <v>4.2801556420233464E-2</v>
      </c>
      <c r="W12" s="67">
        <f>IFERROR(tblGastos[[#This Row],[Jun]]/tblGastos[[#Totals],[Jun]],"-")</f>
        <v>8.0291970802919707E-2</v>
      </c>
      <c r="X12" s="67">
        <f>IFERROR(tblGastos[[#This Row],[Jul]]/tblGastos[[#Totals],[Jul]],"-")</f>
        <v>7.8947368421052627E-2</v>
      </c>
      <c r="Y12" s="67">
        <f>IFERROR(tblGastos[[#This Row],[Ago]]/tblGastos[[#Totals],[Ago]],"-")</f>
        <v>1.276595744680851E-2</v>
      </c>
      <c r="Z12" s="67">
        <f>IFERROR(tblGastos[[#This Row],[Sep]]/tblGastos[[#Totals],[Sep]],"-")</f>
        <v>5.2173913043478258E-2</v>
      </c>
      <c r="AA12" s="67">
        <f>IFERROR(tblGastos[[#This Row],[Oct]]/tblGastos[[#Totals],[Oct]],"-")</f>
        <v>2.7027027027027029E-2</v>
      </c>
      <c r="AB12" s="67">
        <f>IFERROR(tblGastos[[#This Row],[Nov]]/tblGastos[[#Totals],[Nov]],"-")</f>
        <v>5.7432432432432436E-2</v>
      </c>
      <c r="AC12" s="67">
        <f>IFERROR(tblGastos[[#This Row],[Dic]]/tblGastos[[#Totals],[Dic]],"-")</f>
        <v>8.6580086580086577E-2</v>
      </c>
      <c r="AD12" s="83">
        <f>IFERROR(tblGastos[[#This Row],[Anualmente]]/tblGastos[[#Totals],[Anualmente]],"-")</f>
        <v>5.0016672224074694E-2</v>
      </c>
    </row>
    <row r="13" spans="2:30" ht="30" customHeight="1" x14ac:dyDescent="0.2">
      <c r="B13" s="31" t="s">
        <v>63</v>
      </c>
      <c r="C13" t="s">
        <v>76</v>
      </c>
      <c r="D13" s="77">
        <v>8</v>
      </c>
      <c r="E13" s="77">
        <v>17</v>
      </c>
      <c r="F13" s="77">
        <v>11</v>
      </c>
      <c r="G13" s="77">
        <v>11</v>
      </c>
      <c r="H13" s="77">
        <v>21</v>
      </c>
      <c r="I13" s="77">
        <v>9</v>
      </c>
      <c r="J13" s="77">
        <v>20</v>
      </c>
      <c r="K13" s="77">
        <v>3</v>
      </c>
      <c r="L13" s="77">
        <v>14</v>
      </c>
      <c r="M13" s="77">
        <v>22</v>
      </c>
      <c r="N13" s="77">
        <v>16</v>
      </c>
      <c r="O13" s="77">
        <v>12</v>
      </c>
      <c r="P13" s="78">
        <f>SUM(tblGastos[[#This Row],[Ene]:[Dic]])</f>
        <v>164</v>
      </c>
      <c r="Q13" s="67">
        <v>0.12</v>
      </c>
      <c r="R13" s="82">
        <f>IFERROR(tblGastos[[#This Row],[Ene]]/tblGastos[[#Totals],[Ene]],"-")</f>
        <v>3.3898305084745763E-2</v>
      </c>
      <c r="S13" s="67">
        <f>IFERROR(tblGastos[[#This Row],[Feb]]/tblGastos[[#Totals],[Feb]],"-")</f>
        <v>8.2926829268292687E-2</v>
      </c>
      <c r="T13" s="67">
        <f>IFERROR(tblGastos[[#This Row],[Mar]]/tblGastos[[#Totals],[Mar]],"-")</f>
        <v>4.4176706827309238E-2</v>
      </c>
      <c r="U13" s="67">
        <f>IFERROR(tblGastos[[#This Row],[Abr]]/tblGastos[[#Totals],[Abr]],"-")</f>
        <v>4.2145593869731802E-2</v>
      </c>
      <c r="V13" s="67">
        <f>IFERROR(tblGastos[[#This Row],[May]]/tblGastos[[#Totals],[May]],"-")</f>
        <v>8.171206225680934E-2</v>
      </c>
      <c r="W13" s="67">
        <f>IFERROR(tblGastos[[#This Row],[Jun]]/tblGastos[[#Totals],[Jun]],"-")</f>
        <v>3.2846715328467155E-2</v>
      </c>
      <c r="X13" s="67">
        <f>IFERROR(tblGastos[[#This Row],[Jul]]/tblGastos[[#Totals],[Jul]],"-")</f>
        <v>7.5187969924812026E-2</v>
      </c>
      <c r="Y13" s="67">
        <f>IFERROR(tblGastos[[#This Row],[Ago]]/tblGastos[[#Totals],[Ago]],"-")</f>
        <v>1.276595744680851E-2</v>
      </c>
      <c r="Z13" s="67">
        <f>IFERROR(tblGastos[[#This Row],[Sep]]/tblGastos[[#Totals],[Sep]],"-")</f>
        <v>6.0869565217391307E-2</v>
      </c>
      <c r="AA13" s="67">
        <f>IFERROR(tblGastos[[#This Row],[Oct]]/tblGastos[[#Totals],[Oct]],"-")</f>
        <v>8.4942084942084939E-2</v>
      </c>
      <c r="AB13" s="67">
        <f>IFERROR(tblGastos[[#This Row],[Nov]]/tblGastos[[#Totals],[Nov]],"-")</f>
        <v>5.4054054054054057E-2</v>
      </c>
      <c r="AC13" s="67">
        <f>IFERROR(tblGastos[[#This Row],[Dic]]/tblGastos[[#Totals],[Dic]],"-")</f>
        <v>5.1948051948051951E-2</v>
      </c>
      <c r="AD13" s="83">
        <f>IFERROR(tblGastos[[#This Row],[Anualmente]]/tblGastos[[#Totals],[Anualmente]],"-")</f>
        <v>5.468489496498833E-2</v>
      </c>
    </row>
    <row r="14" spans="2:30" ht="30" customHeight="1" x14ac:dyDescent="0.2">
      <c r="B14" s="31" t="s">
        <v>64</v>
      </c>
      <c r="C14" t="s">
        <v>76</v>
      </c>
      <c r="D14" s="77">
        <v>5</v>
      </c>
      <c r="E14" s="77">
        <v>13</v>
      </c>
      <c r="F14" s="77">
        <v>6</v>
      </c>
      <c r="G14" s="77">
        <v>15</v>
      </c>
      <c r="H14" s="77">
        <v>19</v>
      </c>
      <c r="I14" s="77">
        <v>10</v>
      </c>
      <c r="J14" s="77">
        <v>12</v>
      </c>
      <c r="K14" s="77">
        <v>9</v>
      </c>
      <c r="L14" s="77">
        <v>15</v>
      </c>
      <c r="M14" s="77">
        <v>16</v>
      </c>
      <c r="N14" s="77">
        <v>4</v>
      </c>
      <c r="O14" s="77">
        <v>9</v>
      </c>
      <c r="P14" s="78">
        <f>SUM(tblGastos[[#This Row],[Ene]:[Dic]])</f>
        <v>133</v>
      </c>
      <c r="Q14" s="67">
        <v>0.09</v>
      </c>
      <c r="R14" s="82">
        <f>IFERROR(tblGastos[[#This Row],[Ene]]/tblGastos[[#Totals],[Ene]],"-")</f>
        <v>2.1186440677966101E-2</v>
      </c>
      <c r="S14" s="67">
        <f>IFERROR(tblGastos[[#This Row],[Feb]]/tblGastos[[#Totals],[Feb]],"-")</f>
        <v>6.3414634146341464E-2</v>
      </c>
      <c r="T14" s="67">
        <f>IFERROR(tblGastos[[#This Row],[Mar]]/tblGastos[[#Totals],[Mar]],"-")</f>
        <v>2.4096385542168676E-2</v>
      </c>
      <c r="U14" s="67">
        <f>IFERROR(tblGastos[[#This Row],[Abr]]/tblGastos[[#Totals],[Abr]],"-")</f>
        <v>5.7471264367816091E-2</v>
      </c>
      <c r="V14" s="67">
        <f>IFERROR(tblGastos[[#This Row],[May]]/tblGastos[[#Totals],[May]],"-")</f>
        <v>7.3929961089494164E-2</v>
      </c>
      <c r="W14" s="67">
        <f>IFERROR(tblGastos[[#This Row],[Jun]]/tblGastos[[#Totals],[Jun]],"-")</f>
        <v>3.6496350364963501E-2</v>
      </c>
      <c r="X14" s="67">
        <f>IFERROR(tblGastos[[#This Row],[Jul]]/tblGastos[[#Totals],[Jul]],"-")</f>
        <v>4.5112781954887216E-2</v>
      </c>
      <c r="Y14" s="67">
        <f>IFERROR(tblGastos[[#This Row],[Ago]]/tblGastos[[#Totals],[Ago]],"-")</f>
        <v>3.8297872340425532E-2</v>
      </c>
      <c r="Z14" s="67">
        <f>IFERROR(tblGastos[[#This Row],[Sep]]/tblGastos[[#Totals],[Sep]],"-")</f>
        <v>6.5217391304347824E-2</v>
      </c>
      <c r="AA14" s="67">
        <f>IFERROR(tblGastos[[#This Row],[Oct]]/tblGastos[[#Totals],[Oct]],"-")</f>
        <v>6.1776061776061778E-2</v>
      </c>
      <c r="AB14" s="67">
        <f>IFERROR(tblGastos[[#This Row],[Nov]]/tblGastos[[#Totals],[Nov]],"-")</f>
        <v>1.3513513513513514E-2</v>
      </c>
      <c r="AC14" s="67">
        <f>IFERROR(tblGastos[[#This Row],[Dic]]/tblGastos[[#Totals],[Dic]],"-")</f>
        <v>3.896103896103896E-2</v>
      </c>
      <c r="AD14" s="83">
        <f>IFERROR(tblGastos[[#This Row],[Anualmente]]/tblGastos[[#Totals],[Anualmente]],"-")</f>
        <v>4.4348116038679559E-2</v>
      </c>
    </row>
    <row r="15" spans="2:30" ht="30" customHeight="1" x14ac:dyDescent="0.2">
      <c r="B15" s="31" t="s">
        <v>65</v>
      </c>
      <c r="C15" t="s">
        <v>76</v>
      </c>
      <c r="D15" s="77">
        <v>8</v>
      </c>
      <c r="E15" s="77">
        <v>4</v>
      </c>
      <c r="F15" s="77">
        <v>23</v>
      </c>
      <c r="G15" s="77">
        <v>25</v>
      </c>
      <c r="H15" s="77">
        <v>10</v>
      </c>
      <c r="I15" s="77">
        <v>24</v>
      </c>
      <c r="J15" s="77">
        <v>22</v>
      </c>
      <c r="K15" s="77">
        <v>5</v>
      </c>
      <c r="L15" s="77">
        <v>12</v>
      </c>
      <c r="M15" s="77">
        <v>24</v>
      </c>
      <c r="N15" s="77">
        <v>24</v>
      </c>
      <c r="O15" s="77">
        <v>12</v>
      </c>
      <c r="P15" s="78">
        <f>SUM(tblGastos[[#This Row],[Ene]:[Dic]])</f>
        <v>193</v>
      </c>
      <c r="Q15" s="67">
        <v>0.01</v>
      </c>
      <c r="R15" s="82">
        <f>IFERROR(tblGastos[[#This Row],[Ene]]/tblGastos[[#Totals],[Ene]],"-")</f>
        <v>3.3898305084745763E-2</v>
      </c>
      <c r="S15" s="67">
        <f>IFERROR(tblGastos[[#This Row],[Feb]]/tblGastos[[#Totals],[Feb]],"-")</f>
        <v>1.9512195121951219E-2</v>
      </c>
      <c r="T15" s="67">
        <f>IFERROR(tblGastos[[#This Row],[Mar]]/tblGastos[[#Totals],[Mar]],"-")</f>
        <v>9.2369477911646583E-2</v>
      </c>
      <c r="U15" s="67">
        <f>IFERROR(tblGastos[[#This Row],[Abr]]/tblGastos[[#Totals],[Abr]],"-")</f>
        <v>9.5785440613026823E-2</v>
      </c>
      <c r="V15" s="67">
        <f>IFERROR(tblGastos[[#This Row],[May]]/tblGastos[[#Totals],[May]],"-")</f>
        <v>3.8910505836575876E-2</v>
      </c>
      <c r="W15" s="67">
        <f>IFERROR(tblGastos[[#This Row],[Jun]]/tblGastos[[#Totals],[Jun]],"-")</f>
        <v>8.7591240875912413E-2</v>
      </c>
      <c r="X15" s="67">
        <f>IFERROR(tblGastos[[#This Row],[Jul]]/tblGastos[[#Totals],[Jul]],"-")</f>
        <v>8.2706766917293228E-2</v>
      </c>
      <c r="Y15" s="67">
        <f>IFERROR(tblGastos[[#This Row],[Ago]]/tblGastos[[#Totals],[Ago]],"-")</f>
        <v>2.1276595744680851E-2</v>
      </c>
      <c r="Z15" s="67">
        <f>IFERROR(tblGastos[[#This Row],[Sep]]/tblGastos[[#Totals],[Sep]],"-")</f>
        <v>5.2173913043478258E-2</v>
      </c>
      <c r="AA15" s="67">
        <f>IFERROR(tblGastos[[#This Row],[Oct]]/tblGastos[[#Totals],[Oct]],"-")</f>
        <v>9.2664092664092659E-2</v>
      </c>
      <c r="AB15" s="67">
        <f>IFERROR(tblGastos[[#This Row],[Nov]]/tblGastos[[#Totals],[Nov]],"-")</f>
        <v>8.1081081081081086E-2</v>
      </c>
      <c r="AC15" s="67">
        <f>IFERROR(tblGastos[[#This Row],[Dic]]/tblGastos[[#Totals],[Dic]],"-")</f>
        <v>5.1948051948051951E-2</v>
      </c>
      <c r="AD15" s="83">
        <f>IFERROR(tblGastos[[#This Row],[Anualmente]]/tblGastos[[#Totals],[Anualmente]],"-")</f>
        <v>6.4354784928309441E-2</v>
      </c>
    </row>
    <row r="16" spans="2:30" ht="30" customHeight="1" x14ac:dyDescent="0.2">
      <c r="B16" s="31" t="s">
        <v>66</v>
      </c>
      <c r="C16" t="s">
        <v>76</v>
      </c>
      <c r="D16" s="77">
        <v>25</v>
      </c>
      <c r="E16" s="77">
        <v>2</v>
      </c>
      <c r="F16" s="77">
        <v>12</v>
      </c>
      <c r="G16" s="77">
        <v>25</v>
      </c>
      <c r="H16" s="77">
        <v>10</v>
      </c>
      <c r="I16" s="77">
        <v>24</v>
      </c>
      <c r="J16" s="77">
        <v>3</v>
      </c>
      <c r="K16" s="77">
        <v>20</v>
      </c>
      <c r="L16" s="77">
        <v>3</v>
      </c>
      <c r="M16" s="77">
        <v>9</v>
      </c>
      <c r="N16" s="77">
        <v>20</v>
      </c>
      <c r="O16" s="77">
        <v>18</v>
      </c>
      <c r="P16" s="78">
        <f>SUM(tblGastos[[#This Row],[Ene]:[Dic]])</f>
        <v>171</v>
      </c>
      <c r="Q16" s="67">
        <v>0.01</v>
      </c>
      <c r="R16" s="82">
        <f>IFERROR(tblGastos[[#This Row],[Ene]]/tblGastos[[#Totals],[Ene]],"-")</f>
        <v>0.1059322033898305</v>
      </c>
      <c r="S16" s="67">
        <f>IFERROR(tblGastos[[#This Row],[Feb]]/tblGastos[[#Totals],[Feb]],"-")</f>
        <v>9.7560975609756097E-3</v>
      </c>
      <c r="T16" s="67">
        <f>IFERROR(tblGastos[[#This Row],[Mar]]/tblGastos[[#Totals],[Mar]],"-")</f>
        <v>4.8192771084337352E-2</v>
      </c>
      <c r="U16" s="67">
        <f>IFERROR(tblGastos[[#This Row],[Abr]]/tblGastos[[#Totals],[Abr]],"-")</f>
        <v>9.5785440613026823E-2</v>
      </c>
      <c r="V16" s="67">
        <f>IFERROR(tblGastos[[#This Row],[May]]/tblGastos[[#Totals],[May]],"-")</f>
        <v>3.8910505836575876E-2</v>
      </c>
      <c r="W16" s="67">
        <f>IFERROR(tblGastos[[#This Row],[Jun]]/tblGastos[[#Totals],[Jun]],"-")</f>
        <v>8.7591240875912413E-2</v>
      </c>
      <c r="X16" s="67">
        <f>IFERROR(tblGastos[[#This Row],[Jul]]/tblGastos[[#Totals],[Jul]],"-")</f>
        <v>1.1278195488721804E-2</v>
      </c>
      <c r="Y16" s="67">
        <f>IFERROR(tblGastos[[#This Row],[Ago]]/tblGastos[[#Totals],[Ago]],"-")</f>
        <v>8.5106382978723402E-2</v>
      </c>
      <c r="Z16" s="67">
        <f>IFERROR(tblGastos[[#This Row],[Sep]]/tblGastos[[#Totals],[Sep]],"-")</f>
        <v>1.3043478260869565E-2</v>
      </c>
      <c r="AA16" s="67">
        <f>IFERROR(tblGastos[[#This Row],[Oct]]/tblGastos[[#Totals],[Oct]],"-")</f>
        <v>3.4749034749034749E-2</v>
      </c>
      <c r="AB16" s="67">
        <f>IFERROR(tblGastos[[#This Row],[Nov]]/tblGastos[[#Totals],[Nov]],"-")</f>
        <v>6.7567567567567571E-2</v>
      </c>
      <c r="AC16" s="67">
        <f>IFERROR(tblGastos[[#This Row],[Dic]]/tblGastos[[#Totals],[Dic]],"-")</f>
        <v>7.792207792207792E-2</v>
      </c>
      <c r="AD16" s="83">
        <f>IFERROR(tblGastos[[#This Row],[Anualmente]]/tblGastos[[#Totals],[Anualmente]],"-")</f>
        <v>5.7019006335445148E-2</v>
      </c>
    </row>
    <row r="17" spans="2:30" ht="30" customHeight="1" x14ac:dyDescent="0.2">
      <c r="B17" s="31" t="s">
        <v>67</v>
      </c>
      <c r="C17" t="s">
        <v>76</v>
      </c>
      <c r="D17" s="77">
        <v>16</v>
      </c>
      <c r="E17" s="77">
        <v>19</v>
      </c>
      <c r="F17" s="77">
        <v>9</v>
      </c>
      <c r="G17" s="77">
        <v>16</v>
      </c>
      <c r="H17" s="77">
        <v>13</v>
      </c>
      <c r="I17" s="77">
        <v>2</v>
      </c>
      <c r="J17" s="77">
        <v>4</v>
      </c>
      <c r="K17" s="77">
        <v>24</v>
      </c>
      <c r="L17" s="77">
        <v>16</v>
      </c>
      <c r="M17" s="77">
        <v>22</v>
      </c>
      <c r="N17" s="77">
        <v>7</v>
      </c>
      <c r="O17" s="77">
        <v>18</v>
      </c>
      <c r="P17" s="78">
        <f>SUM(tblGastos[[#This Row],[Ene]:[Dic]])</f>
        <v>166</v>
      </c>
      <c r="Q17" s="67">
        <v>0.01</v>
      </c>
      <c r="R17" s="82">
        <f>IFERROR(tblGastos[[#This Row],[Ene]]/tblGastos[[#Totals],[Ene]],"-")</f>
        <v>6.7796610169491525E-2</v>
      </c>
      <c r="S17" s="67">
        <f>IFERROR(tblGastos[[#This Row],[Feb]]/tblGastos[[#Totals],[Feb]],"-")</f>
        <v>9.2682926829268292E-2</v>
      </c>
      <c r="T17" s="67">
        <f>IFERROR(tblGastos[[#This Row],[Mar]]/tblGastos[[#Totals],[Mar]],"-")</f>
        <v>3.614457831325301E-2</v>
      </c>
      <c r="U17" s="67">
        <f>IFERROR(tblGastos[[#This Row],[Abr]]/tblGastos[[#Totals],[Abr]],"-")</f>
        <v>6.1302681992337162E-2</v>
      </c>
      <c r="V17" s="67">
        <f>IFERROR(tblGastos[[#This Row],[May]]/tblGastos[[#Totals],[May]],"-")</f>
        <v>5.0583657587548639E-2</v>
      </c>
      <c r="W17" s="67">
        <f>IFERROR(tblGastos[[#This Row],[Jun]]/tblGastos[[#Totals],[Jun]],"-")</f>
        <v>7.2992700729927005E-3</v>
      </c>
      <c r="X17" s="67">
        <f>IFERROR(tblGastos[[#This Row],[Jul]]/tblGastos[[#Totals],[Jul]],"-")</f>
        <v>1.5037593984962405E-2</v>
      </c>
      <c r="Y17" s="67">
        <f>IFERROR(tblGastos[[#This Row],[Ago]]/tblGastos[[#Totals],[Ago]],"-")</f>
        <v>0.10212765957446808</v>
      </c>
      <c r="Z17" s="67">
        <f>IFERROR(tblGastos[[#This Row],[Sep]]/tblGastos[[#Totals],[Sep]],"-")</f>
        <v>6.9565217391304349E-2</v>
      </c>
      <c r="AA17" s="67">
        <f>IFERROR(tblGastos[[#This Row],[Oct]]/tblGastos[[#Totals],[Oct]],"-")</f>
        <v>8.4942084942084939E-2</v>
      </c>
      <c r="AB17" s="67">
        <f>IFERROR(tblGastos[[#This Row],[Nov]]/tblGastos[[#Totals],[Nov]],"-")</f>
        <v>2.364864864864865E-2</v>
      </c>
      <c r="AC17" s="67">
        <f>IFERROR(tblGastos[[#This Row],[Dic]]/tblGastos[[#Totals],[Dic]],"-")</f>
        <v>7.792207792207792E-2</v>
      </c>
      <c r="AD17" s="83">
        <f>IFERROR(tblGastos[[#This Row],[Anualmente]]/tblGastos[[#Totals],[Anualmente]],"-")</f>
        <v>5.5351783927975989E-2</v>
      </c>
    </row>
    <row r="18" spans="2:30" ht="30" customHeight="1" x14ac:dyDescent="0.2">
      <c r="B18" s="31" t="s">
        <v>68</v>
      </c>
      <c r="C18" t="s">
        <v>76</v>
      </c>
      <c r="D18" s="77">
        <v>12</v>
      </c>
      <c r="E18" s="77">
        <v>9</v>
      </c>
      <c r="F18" s="77">
        <v>16</v>
      </c>
      <c r="G18" s="77">
        <v>19</v>
      </c>
      <c r="H18" s="77">
        <v>25</v>
      </c>
      <c r="I18" s="77">
        <v>17</v>
      </c>
      <c r="J18" s="77">
        <v>20</v>
      </c>
      <c r="K18" s="77">
        <v>14</v>
      </c>
      <c r="L18" s="77">
        <v>5</v>
      </c>
      <c r="M18" s="77">
        <v>14</v>
      </c>
      <c r="N18" s="77">
        <v>5</v>
      </c>
      <c r="O18" s="77">
        <v>2</v>
      </c>
      <c r="P18" s="78">
        <f>SUM(tblGastos[[#This Row],[Ene]:[Dic]])</f>
        <v>158</v>
      </c>
      <c r="Q18" s="67">
        <v>0.01</v>
      </c>
      <c r="R18" s="82">
        <f>IFERROR(tblGastos[[#This Row],[Ene]]/tblGastos[[#Totals],[Ene]],"-")</f>
        <v>5.0847457627118647E-2</v>
      </c>
      <c r="S18" s="67">
        <f>IFERROR(tblGastos[[#This Row],[Feb]]/tblGastos[[#Totals],[Feb]],"-")</f>
        <v>4.3902439024390241E-2</v>
      </c>
      <c r="T18" s="67">
        <f>IFERROR(tblGastos[[#This Row],[Mar]]/tblGastos[[#Totals],[Mar]],"-")</f>
        <v>6.4257028112449793E-2</v>
      </c>
      <c r="U18" s="67">
        <f>IFERROR(tblGastos[[#This Row],[Abr]]/tblGastos[[#Totals],[Abr]],"-")</f>
        <v>7.2796934865900387E-2</v>
      </c>
      <c r="V18" s="67">
        <f>IFERROR(tblGastos[[#This Row],[May]]/tblGastos[[#Totals],[May]],"-")</f>
        <v>9.727626459143969E-2</v>
      </c>
      <c r="W18" s="67">
        <f>IFERROR(tblGastos[[#This Row],[Jun]]/tblGastos[[#Totals],[Jun]],"-")</f>
        <v>6.2043795620437957E-2</v>
      </c>
      <c r="X18" s="67">
        <f>IFERROR(tblGastos[[#This Row],[Jul]]/tblGastos[[#Totals],[Jul]],"-")</f>
        <v>7.5187969924812026E-2</v>
      </c>
      <c r="Y18" s="67">
        <f>IFERROR(tblGastos[[#This Row],[Ago]]/tblGastos[[#Totals],[Ago]],"-")</f>
        <v>5.9574468085106386E-2</v>
      </c>
      <c r="Z18" s="67">
        <f>IFERROR(tblGastos[[#This Row],[Sep]]/tblGastos[[#Totals],[Sep]],"-")</f>
        <v>2.1739130434782608E-2</v>
      </c>
      <c r="AA18" s="67">
        <f>IFERROR(tblGastos[[#This Row],[Oct]]/tblGastos[[#Totals],[Oct]],"-")</f>
        <v>5.4054054054054057E-2</v>
      </c>
      <c r="AB18" s="67">
        <f>IFERROR(tblGastos[[#This Row],[Nov]]/tblGastos[[#Totals],[Nov]],"-")</f>
        <v>1.6891891891891893E-2</v>
      </c>
      <c r="AC18" s="67">
        <f>IFERROR(tblGastos[[#This Row],[Dic]]/tblGastos[[#Totals],[Dic]],"-")</f>
        <v>8.658008658008658E-3</v>
      </c>
      <c r="AD18" s="83">
        <f>IFERROR(tblGastos[[#This Row],[Anualmente]]/tblGastos[[#Totals],[Anualmente]],"-")</f>
        <v>5.2684228076025338E-2</v>
      </c>
    </row>
    <row r="19" spans="2:30" ht="30" customHeight="1" x14ac:dyDescent="0.2">
      <c r="B19" s="31" t="s">
        <v>69</v>
      </c>
      <c r="C19" t="s">
        <v>76</v>
      </c>
      <c r="D19" s="77">
        <v>16</v>
      </c>
      <c r="E19" s="77">
        <v>13</v>
      </c>
      <c r="F19" s="77">
        <v>10</v>
      </c>
      <c r="G19" s="77">
        <v>7</v>
      </c>
      <c r="H19" s="77">
        <v>13</v>
      </c>
      <c r="I19" s="77">
        <v>3</v>
      </c>
      <c r="J19" s="77">
        <v>13</v>
      </c>
      <c r="K19" s="77">
        <v>17</v>
      </c>
      <c r="L19" s="77">
        <v>9</v>
      </c>
      <c r="M19" s="77">
        <v>4</v>
      </c>
      <c r="N19" s="77">
        <v>22</v>
      </c>
      <c r="O19" s="77">
        <v>18</v>
      </c>
      <c r="P19" s="78">
        <f>SUM(tblGastos[[#This Row],[Ene]:[Dic]])</f>
        <v>145</v>
      </c>
      <c r="Q19" s="67">
        <v>0.14000000000000001</v>
      </c>
      <c r="R19" s="82">
        <f>IFERROR(tblGastos[[#This Row],[Ene]]/tblGastos[[#Totals],[Ene]],"-")</f>
        <v>6.7796610169491525E-2</v>
      </c>
      <c r="S19" s="67">
        <f>IFERROR(tblGastos[[#This Row],[Feb]]/tblGastos[[#Totals],[Feb]],"-")</f>
        <v>6.3414634146341464E-2</v>
      </c>
      <c r="T19" s="67">
        <f>IFERROR(tblGastos[[#This Row],[Mar]]/tblGastos[[#Totals],[Mar]],"-")</f>
        <v>4.0160642570281124E-2</v>
      </c>
      <c r="U19" s="67">
        <f>IFERROR(tblGastos[[#This Row],[Abr]]/tblGastos[[#Totals],[Abr]],"-")</f>
        <v>2.681992337164751E-2</v>
      </c>
      <c r="V19" s="67">
        <f>IFERROR(tblGastos[[#This Row],[May]]/tblGastos[[#Totals],[May]],"-")</f>
        <v>5.0583657587548639E-2</v>
      </c>
      <c r="W19" s="67">
        <f>IFERROR(tblGastos[[#This Row],[Jun]]/tblGastos[[#Totals],[Jun]],"-")</f>
        <v>1.0948905109489052E-2</v>
      </c>
      <c r="X19" s="67">
        <f>IFERROR(tblGastos[[#This Row],[Jul]]/tblGastos[[#Totals],[Jul]],"-")</f>
        <v>4.8872180451127817E-2</v>
      </c>
      <c r="Y19" s="67">
        <f>IFERROR(tblGastos[[#This Row],[Ago]]/tblGastos[[#Totals],[Ago]],"-")</f>
        <v>7.2340425531914887E-2</v>
      </c>
      <c r="Z19" s="67">
        <f>IFERROR(tblGastos[[#This Row],[Sep]]/tblGastos[[#Totals],[Sep]],"-")</f>
        <v>3.9130434782608699E-2</v>
      </c>
      <c r="AA19" s="67">
        <f>IFERROR(tblGastos[[#This Row],[Oct]]/tblGastos[[#Totals],[Oct]],"-")</f>
        <v>1.5444015444015444E-2</v>
      </c>
      <c r="AB19" s="67">
        <f>IFERROR(tblGastos[[#This Row],[Nov]]/tblGastos[[#Totals],[Nov]],"-")</f>
        <v>7.4324324324324328E-2</v>
      </c>
      <c r="AC19" s="67">
        <f>IFERROR(tblGastos[[#This Row],[Dic]]/tblGastos[[#Totals],[Dic]],"-")</f>
        <v>7.792207792207792E-2</v>
      </c>
      <c r="AD19" s="83">
        <f>IFERROR(tblGastos[[#This Row],[Anualmente]]/tblGastos[[#Totals],[Anualmente]],"-")</f>
        <v>4.8349449816605536E-2</v>
      </c>
    </row>
    <row r="20" spans="2:30" ht="30" customHeight="1" x14ac:dyDescent="0.2">
      <c r="B20" s="31" t="s">
        <v>70</v>
      </c>
      <c r="C20" t="s">
        <v>76</v>
      </c>
      <c r="D20" s="77">
        <v>3</v>
      </c>
      <c r="E20" s="77">
        <v>2</v>
      </c>
      <c r="F20" s="77">
        <v>19</v>
      </c>
      <c r="G20" s="77">
        <v>21</v>
      </c>
      <c r="H20" s="77">
        <v>13</v>
      </c>
      <c r="I20" s="77">
        <v>9</v>
      </c>
      <c r="J20" s="77">
        <v>7</v>
      </c>
      <c r="K20" s="77">
        <v>13</v>
      </c>
      <c r="L20" s="77">
        <v>3</v>
      </c>
      <c r="M20" s="77">
        <v>6</v>
      </c>
      <c r="N20" s="77">
        <v>10</v>
      </c>
      <c r="O20" s="77">
        <v>13</v>
      </c>
      <c r="P20" s="78">
        <f>SUM(tblGastos[[#This Row],[Ene]:[Dic]])</f>
        <v>119</v>
      </c>
      <c r="Q20" s="67">
        <v>0.06</v>
      </c>
      <c r="R20" s="82">
        <f>IFERROR(tblGastos[[#This Row],[Ene]]/tblGastos[[#Totals],[Ene]],"-")</f>
        <v>1.2711864406779662E-2</v>
      </c>
      <c r="S20" s="67">
        <f>IFERROR(tblGastos[[#This Row],[Feb]]/tblGastos[[#Totals],[Feb]],"-")</f>
        <v>9.7560975609756097E-3</v>
      </c>
      <c r="T20" s="67">
        <f>IFERROR(tblGastos[[#This Row],[Mar]]/tblGastos[[#Totals],[Mar]],"-")</f>
        <v>7.6305220883534142E-2</v>
      </c>
      <c r="U20" s="67">
        <f>IFERROR(tblGastos[[#This Row],[Abr]]/tblGastos[[#Totals],[Abr]],"-")</f>
        <v>8.0459770114942528E-2</v>
      </c>
      <c r="V20" s="67">
        <f>IFERROR(tblGastos[[#This Row],[May]]/tblGastos[[#Totals],[May]],"-")</f>
        <v>5.0583657587548639E-2</v>
      </c>
      <c r="W20" s="67">
        <f>IFERROR(tblGastos[[#This Row],[Jun]]/tblGastos[[#Totals],[Jun]],"-")</f>
        <v>3.2846715328467155E-2</v>
      </c>
      <c r="X20" s="67">
        <f>IFERROR(tblGastos[[#This Row],[Jul]]/tblGastos[[#Totals],[Jul]],"-")</f>
        <v>2.6315789473684209E-2</v>
      </c>
      <c r="Y20" s="67">
        <f>IFERROR(tblGastos[[#This Row],[Ago]]/tblGastos[[#Totals],[Ago]],"-")</f>
        <v>5.5319148936170209E-2</v>
      </c>
      <c r="Z20" s="67">
        <f>IFERROR(tblGastos[[#This Row],[Sep]]/tblGastos[[#Totals],[Sep]],"-")</f>
        <v>1.3043478260869565E-2</v>
      </c>
      <c r="AA20" s="67">
        <f>IFERROR(tblGastos[[#This Row],[Oct]]/tblGastos[[#Totals],[Oct]],"-")</f>
        <v>2.3166023166023165E-2</v>
      </c>
      <c r="AB20" s="67">
        <f>IFERROR(tblGastos[[#This Row],[Nov]]/tblGastos[[#Totals],[Nov]],"-")</f>
        <v>3.3783783783783786E-2</v>
      </c>
      <c r="AC20" s="67">
        <f>IFERROR(tblGastos[[#This Row],[Dic]]/tblGastos[[#Totals],[Dic]],"-")</f>
        <v>5.627705627705628E-2</v>
      </c>
      <c r="AD20" s="83">
        <f>IFERROR(tblGastos[[#This Row],[Anualmente]]/tblGastos[[#Totals],[Anualmente]],"-")</f>
        <v>3.9679893297765924E-2</v>
      </c>
    </row>
    <row r="21" spans="2:30" ht="30" customHeight="1" x14ac:dyDescent="0.2">
      <c r="B21" s="31" t="s">
        <v>71</v>
      </c>
      <c r="C21" t="s">
        <v>76</v>
      </c>
      <c r="D21" s="77">
        <v>8</v>
      </c>
      <c r="E21" s="77">
        <v>7</v>
      </c>
      <c r="F21" s="77">
        <v>6</v>
      </c>
      <c r="G21" s="77">
        <v>7</v>
      </c>
      <c r="H21" s="77">
        <v>7</v>
      </c>
      <c r="I21" s="77">
        <v>6</v>
      </c>
      <c r="J21" s="77">
        <v>15</v>
      </c>
      <c r="K21" s="77">
        <v>23</v>
      </c>
      <c r="L21" s="77">
        <v>21</v>
      </c>
      <c r="M21" s="77">
        <v>16</v>
      </c>
      <c r="N21" s="77">
        <v>19</v>
      </c>
      <c r="O21" s="77">
        <v>7</v>
      </c>
      <c r="P21" s="78">
        <f>SUM(tblGastos[[#This Row],[Ene]:[Dic]])</f>
        <v>142</v>
      </c>
      <c r="Q21" s="67">
        <v>0.01</v>
      </c>
      <c r="R21" s="82">
        <f>IFERROR(tblGastos[[#This Row],[Ene]]/tblGastos[[#Totals],[Ene]],"-")</f>
        <v>3.3898305084745763E-2</v>
      </c>
      <c r="S21" s="67">
        <f>IFERROR(tblGastos[[#This Row],[Feb]]/tblGastos[[#Totals],[Feb]],"-")</f>
        <v>3.4146341463414637E-2</v>
      </c>
      <c r="T21" s="67">
        <f>IFERROR(tblGastos[[#This Row],[Mar]]/tblGastos[[#Totals],[Mar]],"-")</f>
        <v>2.4096385542168676E-2</v>
      </c>
      <c r="U21" s="67">
        <f>IFERROR(tblGastos[[#This Row],[Abr]]/tblGastos[[#Totals],[Abr]],"-")</f>
        <v>2.681992337164751E-2</v>
      </c>
      <c r="V21" s="67">
        <f>IFERROR(tblGastos[[#This Row],[May]]/tblGastos[[#Totals],[May]],"-")</f>
        <v>2.7237354085603113E-2</v>
      </c>
      <c r="W21" s="67">
        <f>IFERROR(tblGastos[[#This Row],[Jun]]/tblGastos[[#Totals],[Jun]],"-")</f>
        <v>2.1897810218978103E-2</v>
      </c>
      <c r="X21" s="67">
        <f>IFERROR(tblGastos[[#This Row],[Jul]]/tblGastos[[#Totals],[Jul]],"-")</f>
        <v>5.6390977443609019E-2</v>
      </c>
      <c r="Y21" s="67">
        <f>IFERROR(tblGastos[[#This Row],[Ago]]/tblGastos[[#Totals],[Ago]],"-")</f>
        <v>9.7872340425531917E-2</v>
      </c>
      <c r="Z21" s="67">
        <f>IFERROR(tblGastos[[#This Row],[Sep]]/tblGastos[[#Totals],[Sep]],"-")</f>
        <v>9.1304347826086957E-2</v>
      </c>
      <c r="AA21" s="67">
        <f>IFERROR(tblGastos[[#This Row],[Oct]]/tblGastos[[#Totals],[Oct]],"-")</f>
        <v>6.1776061776061778E-2</v>
      </c>
      <c r="AB21" s="67">
        <f>IFERROR(tblGastos[[#This Row],[Nov]]/tblGastos[[#Totals],[Nov]],"-")</f>
        <v>6.4189189189189186E-2</v>
      </c>
      <c r="AC21" s="67">
        <f>IFERROR(tblGastos[[#This Row],[Dic]]/tblGastos[[#Totals],[Dic]],"-")</f>
        <v>3.0303030303030304E-2</v>
      </c>
      <c r="AD21" s="83">
        <f>IFERROR(tblGastos[[#This Row],[Anualmente]]/tblGastos[[#Totals],[Anualmente]],"-")</f>
        <v>4.7349116372124044E-2</v>
      </c>
    </row>
    <row r="22" spans="2:30" ht="30" customHeight="1" x14ac:dyDescent="0.2">
      <c r="B22" s="31" t="s">
        <v>72</v>
      </c>
      <c r="C22" t="s">
        <v>76</v>
      </c>
      <c r="D22" s="77">
        <v>14</v>
      </c>
      <c r="E22" s="77">
        <v>4</v>
      </c>
      <c r="F22" s="77">
        <v>24</v>
      </c>
      <c r="G22" s="77">
        <v>6</v>
      </c>
      <c r="H22" s="77">
        <v>20</v>
      </c>
      <c r="I22" s="77">
        <v>14</v>
      </c>
      <c r="J22" s="77">
        <v>21</v>
      </c>
      <c r="K22" s="77">
        <v>20</v>
      </c>
      <c r="L22" s="77">
        <v>22</v>
      </c>
      <c r="M22" s="77">
        <v>3</v>
      </c>
      <c r="N22" s="77">
        <v>14</v>
      </c>
      <c r="O22" s="77">
        <v>6</v>
      </c>
      <c r="P22" s="78">
        <f>SUM(tblGastos[[#This Row],[Ene]:[Dic]])</f>
        <v>168</v>
      </c>
      <c r="Q22" s="67">
        <v>0.01</v>
      </c>
      <c r="R22" s="82">
        <f>IFERROR(tblGastos[[#This Row],[Ene]]/tblGastos[[#Totals],[Ene]],"-")</f>
        <v>5.9322033898305086E-2</v>
      </c>
      <c r="S22" s="67">
        <f>IFERROR(tblGastos[[#This Row],[Feb]]/tblGastos[[#Totals],[Feb]],"-")</f>
        <v>1.9512195121951219E-2</v>
      </c>
      <c r="T22" s="67">
        <f>IFERROR(tblGastos[[#This Row],[Mar]]/tblGastos[[#Totals],[Mar]],"-")</f>
        <v>9.6385542168674704E-2</v>
      </c>
      <c r="U22" s="67">
        <f>IFERROR(tblGastos[[#This Row],[Abr]]/tblGastos[[#Totals],[Abr]],"-")</f>
        <v>2.2988505747126436E-2</v>
      </c>
      <c r="V22" s="67">
        <f>IFERROR(tblGastos[[#This Row],[May]]/tblGastos[[#Totals],[May]],"-")</f>
        <v>7.7821011673151752E-2</v>
      </c>
      <c r="W22" s="67">
        <f>IFERROR(tblGastos[[#This Row],[Jun]]/tblGastos[[#Totals],[Jun]],"-")</f>
        <v>5.1094890510948905E-2</v>
      </c>
      <c r="X22" s="67">
        <f>IFERROR(tblGastos[[#This Row],[Jul]]/tblGastos[[#Totals],[Jul]],"-")</f>
        <v>7.8947368421052627E-2</v>
      </c>
      <c r="Y22" s="67">
        <f>IFERROR(tblGastos[[#This Row],[Ago]]/tblGastos[[#Totals],[Ago]],"-")</f>
        <v>8.5106382978723402E-2</v>
      </c>
      <c r="Z22" s="67">
        <f>IFERROR(tblGastos[[#This Row],[Sep]]/tblGastos[[#Totals],[Sep]],"-")</f>
        <v>9.5652173913043481E-2</v>
      </c>
      <c r="AA22" s="67">
        <f>IFERROR(tblGastos[[#This Row],[Oct]]/tblGastos[[#Totals],[Oct]],"-")</f>
        <v>1.1583011583011582E-2</v>
      </c>
      <c r="AB22" s="67">
        <f>IFERROR(tblGastos[[#This Row],[Nov]]/tblGastos[[#Totals],[Nov]],"-")</f>
        <v>4.72972972972973E-2</v>
      </c>
      <c r="AC22" s="67">
        <f>IFERROR(tblGastos[[#This Row],[Dic]]/tblGastos[[#Totals],[Dic]],"-")</f>
        <v>2.5974025974025976E-2</v>
      </c>
      <c r="AD22" s="83">
        <f>IFERROR(tblGastos[[#This Row],[Anualmente]]/tblGastos[[#Totals],[Anualmente]],"-")</f>
        <v>5.6018672890963656E-2</v>
      </c>
    </row>
    <row r="23" spans="2:30" ht="30" customHeight="1" x14ac:dyDescent="0.2">
      <c r="B23" s="31" t="s">
        <v>72</v>
      </c>
      <c r="C23" t="s">
        <v>76</v>
      </c>
      <c r="D23" s="77">
        <v>14</v>
      </c>
      <c r="E23" s="77">
        <v>7</v>
      </c>
      <c r="F23" s="77">
        <v>24</v>
      </c>
      <c r="G23" s="77">
        <v>10</v>
      </c>
      <c r="H23" s="77">
        <v>7</v>
      </c>
      <c r="I23" s="77">
        <v>24</v>
      </c>
      <c r="J23" s="77">
        <v>2</v>
      </c>
      <c r="K23" s="77">
        <v>11</v>
      </c>
      <c r="L23" s="77">
        <v>21</v>
      </c>
      <c r="M23" s="77">
        <v>19</v>
      </c>
      <c r="N23" s="77">
        <v>19</v>
      </c>
      <c r="O23" s="77">
        <v>20</v>
      </c>
      <c r="P23" s="78">
        <f>SUM(tblGastos[[#This Row],[Ene]:[Dic]])</f>
        <v>178</v>
      </c>
      <c r="Q23" s="67">
        <v>0.01</v>
      </c>
      <c r="R23" s="82">
        <f>IFERROR(tblGastos[[#This Row],[Ene]]/tblGastos[[#Totals],[Ene]],"-")</f>
        <v>5.9322033898305086E-2</v>
      </c>
      <c r="S23" s="67">
        <f>IFERROR(tblGastos[[#This Row],[Feb]]/tblGastos[[#Totals],[Feb]],"-")</f>
        <v>3.4146341463414637E-2</v>
      </c>
      <c r="T23" s="67">
        <f>IFERROR(tblGastos[[#This Row],[Mar]]/tblGastos[[#Totals],[Mar]],"-")</f>
        <v>9.6385542168674704E-2</v>
      </c>
      <c r="U23" s="67">
        <f>IFERROR(tblGastos[[#This Row],[Abr]]/tblGastos[[#Totals],[Abr]],"-")</f>
        <v>3.8314176245210725E-2</v>
      </c>
      <c r="V23" s="67">
        <f>IFERROR(tblGastos[[#This Row],[May]]/tblGastos[[#Totals],[May]],"-")</f>
        <v>2.7237354085603113E-2</v>
      </c>
      <c r="W23" s="67">
        <f>IFERROR(tblGastos[[#This Row],[Jun]]/tblGastos[[#Totals],[Jun]],"-")</f>
        <v>8.7591240875912413E-2</v>
      </c>
      <c r="X23" s="67">
        <f>IFERROR(tblGastos[[#This Row],[Jul]]/tblGastos[[#Totals],[Jul]],"-")</f>
        <v>7.5187969924812026E-3</v>
      </c>
      <c r="Y23" s="67">
        <f>IFERROR(tblGastos[[#This Row],[Ago]]/tblGastos[[#Totals],[Ago]],"-")</f>
        <v>4.6808510638297871E-2</v>
      </c>
      <c r="Z23" s="67">
        <f>IFERROR(tblGastos[[#This Row],[Sep]]/tblGastos[[#Totals],[Sep]],"-")</f>
        <v>9.1304347826086957E-2</v>
      </c>
      <c r="AA23" s="67">
        <f>IFERROR(tblGastos[[#This Row],[Oct]]/tblGastos[[#Totals],[Oct]],"-")</f>
        <v>7.3359073359073365E-2</v>
      </c>
      <c r="AB23" s="67">
        <f>IFERROR(tblGastos[[#This Row],[Nov]]/tblGastos[[#Totals],[Nov]],"-")</f>
        <v>6.4189189189189186E-2</v>
      </c>
      <c r="AC23" s="67">
        <f>IFERROR(tblGastos[[#This Row],[Dic]]/tblGastos[[#Totals],[Dic]],"-")</f>
        <v>8.6580086580086577E-2</v>
      </c>
      <c r="AD23" s="83">
        <f>IFERROR(tblGastos[[#This Row],[Anualmente]]/tblGastos[[#Totals],[Anualmente]],"-")</f>
        <v>5.9353117705901966E-2</v>
      </c>
    </row>
    <row r="24" spans="2:30" ht="30" customHeight="1" x14ac:dyDescent="0.2">
      <c r="B24" s="31" t="s">
        <v>72</v>
      </c>
      <c r="C24" t="s">
        <v>76</v>
      </c>
      <c r="D24" s="77">
        <v>11</v>
      </c>
      <c r="E24" s="77">
        <v>8</v>
      </c>
      <c r="F24" s="77">
        <v>25</v>
      </c>
      <c r="G24" s="77">
        <v>11</v>
      </c>
      <c r="H24" s="77">
        <v>9</v>
      </c>
      <c r="I24" s="77">
        <v>24</v>
      </c>
      <c r="J24" s="77">
        <v>13</v>
      </c>
      <c r="K24" s="77">
        <v>14</v>
      </c>
      <c r="L24" s="77">
        <v>19</v>
      </c>
      <c r="M24" s="77">
        <v>24</v>
      </c>
      <c r="N24" s="77">
        <v>15</v>
      </c>
      <c r="O24" s="77">
        <v>7</v>
      </c>
      <c r="P24" s="78">
        <f>SUM(tblGastos[[#This Row],[Ene]:[Dic]])</f>
        <v>180</v>
      </c>
      <c r="Q24" s="67">
        <v>0.01</v>
      </c>
      <c r="R24" s="82">
        <f>IFERROR(tblGastos[[#This Row],[Ene]]/tblGastos[[#Totals],[Ene]],"-")</f>
        <v>4.6610169491525424E-2</v>
      </c>
      <c r="S24" s="67">
        <f>IFERROR(tblGastos[[#This Row],[Feb]]/tblGastos[[#Totals],[Feb]],"-")</f>
        <v>3.9024390243902439E-2</v>
      </c>
      <c r="T24" s="67">
        <f>IFERROR(tblGastos[[#This Row],[Mar]]/tblGastos[[#Totals],[Mar]],"-")</f>
        <v>0.10040160642570281</v>
      </c>
      <c r="U24" s="67">
        <f>IFERROR(tblGastos[[#This Row],[Abr]]/tblGastos[[#Totals],[Abr]],"-")</f>
        <v>4.2145593869731802E-2</v>
      </c>
      <c r="V24" s="67">
        <f>IFERROR(tblGastos[[#This Row],[May]]/tblGastos[[#Totals],[May]],"-")</f>
        <v>3.5019455252918288E-2</v>
      </c>
      <c r="W24" s="67">
        <f>IFERROR(tblGastos[[#This Row],[Jun]]/tblGastos[[#Totals],[Jun]],"-")</f>
        <v>8.7591240875912413E-2</v>
      </c>
      <c r="X24" s="67">
        <f>IFERROR(tblGastos[[#This Row],[Jul]]/tblGastos[[#Totals],[Jul]],"-")</f>
        <v>4.8872180451127817E-2</v>
      </c>
      <c r="Y24" s="67">
        <f>IFERROR(tblGastos[[#This Row],[Ago]]/tblGastos[[#Totals],[Ago]],"-")</f>
        <v>5.9574468085106386E-2</v>
      </c>
      <c r="Z24" s="67">
        <f>IFERROR(tblGastos[[#This Row],[Sep]]/tblGastos[[#Totals],[Sep]],"-")</f>
        <v>8.2608695652173908E-2</v>
      </c>
      <c r="AA24" s="67">
        <f>IFERROR(tblGastos[[#This Row],[Oct]]/tblGastos[[#Totals],[Oct]],"-")</f>
        <v>9.2664092664092659E-2</v>
      </c>
      <c r="AB24" s="67">
        <f>IFERROR(tblGastos[[#This Row],[Nov]]/tblGastos[[#Totals],[Nov]],"-")</f>
        <v>5.0675675675675678E-2</v>
      </c>
      <c r="AC24" s="67">
        <f>IFERROR(tblGastos[[#This Row],[Dic]]/tblGastos[[#Totals],[Dic]],"-")</f>
        <v>3.0303030303030304E-2</v>
      </c>
      <c r="AD24" s="83">
        <f>IFERROR(tblGastos[[#This Row],[Anualmente]]/tblGastos[[#Totals],[Anualmente]],"-")</f>
        <v>6.0020006668889632E-2</v>
      </c>
    </row>
    <row r="25" spans="2:30" ht="30" customHeight="1" x14ac:dyDescent="0.2">
      <c r="B25" s="31" t="s">
        <v>73</v>
      </c>
      <c r="C25" t="s">
        <v>76</v>
      </c>
      <c r="D25" s="77">
        <v>8</v>
      </c>
      <c r="E25" s="77">
        <v>20</v>
      </c>
      <c r="F25" s="77">
        <v>11</v>
      </c>
      <c r="G25" s="77">
        <v>11</v>
      </c>
      <c r="H25" s="77">
        <v>11</v>
      </c>
      <c r="I25" s="77">
        <v>20</v>
      </c>
      <c r="J25" s="77">
        <v>12</v>
      </c>
      <c r="K25" s="77">
        <v>16</v>
      </c>
      <c r="L25" s="77">
        <v>5</v>
      </c>
      <c r="M25" s="77">
        <v>7</v>
      </c>
      <c r="N25" s="77">
        <v>21</v>
      </c>
      <c r="O25" s="77">
        <v>3</v>
      </c>
      <c r="P25" s="78">
        <f>SUM(tblGastos[[#This Row],[Ene]:[Dic]])</f>
        <v>145</v>
      </c>
      <c r="Q25" s="67">
        <v>0.02</v>
      </c>
      <c r="R25" s="82">
        <f>IFERROR(tblGastos[[#This Row],[Ene]]/tblGastos[[#Totals],[Ene]],"-")</f>
        <v>3.3898305084745763E-2</v>
      </c>
      <c r="S25" s="67">
        <f>IFERROR(tblGastos[[#This Row],[Feb]]/tblGastos[[#Totals],[Feb]],"-")</f>
        <v>9.7560975609756101E-2</v>
      </c>
      <c r="T25" s="67">
        <f>IFERROR(tblGastos[[#This Row],[Mar]]/tblGastos[[#Totals],[Mar]],"-")</f>
        <v>4.4176706827309238E-2</v>
      </c>
      <c r="U25" s="67">
        <f>IFERROR(tblGastos[[#This Row],[Abr]]/tblGastos[[#Totals],[Abr]],"-")</f>
        <v>4.2145593869731802E-2</v>
      </c>
      <c r="V25" s="67">
        <f>IFERROR(tblGastos[[#This Row],[May]]/tblGastos[[#Totals],[May]],"-")</f>
        <v>4.2801556420233464E-2</v>
      </c>
      <c r="W25" s="67">
        <f>IFERROR(tblGastos[[#This Row],[Jun]]/tblGastos[[#Totals],[Jun]],"-")</f>
        <v>7.2992700729927001E-2</v>
      </c>
      <c r="X25" s="67">
        <f>IFERROR(tblGastos[[#This Row],[Jul]]/tblGastos[[#Totals],[Jul]],"-")</f>
        <v>4.5112781954887216E-2</v>
      </c>
      <c r="Y25" s="67">
        <f>IFERROR(tblGastos[[#This Row],[Ago]]/tblGastos[[#Totals],[Ago]],"-")</f>
        <v>6.8085106382978725E-2</v>
      </c>
      <c r="Z25" s="67">
        <f>IFERROR(tblGastos[[#This Row],[Sep]]/tblGastos[[#Totals],[Sep]],"-")</f>
        <v>2.1739130434782608E-2</v>
      </c>
      <c r="AA25" s="67">
        <f>IFERROR(tblGastos[[#This Row],[Oct]]/tblGastos[[#Totals],[Oct]],"-")</f>
        <v>2.7027027027027029E-2</v>
      </c>
      <c r="AB25" s="67">
        <f>IFERROR(tblGastos[[#This Row],[Nov]]/tblGastos[[#Totals],[Nov]],"-")</f>
        <v>7.0945945945945943E-2</v>
      </c>
      <c r="AC25" s="67">
        <f>IFERROR(tblGastos[[#This Row],[Dic]]/tblGastos[[#Totals],[Dic]],"-")</f>
        <v>1.2987012987012988E-2</v>
      </c>
      <c r="AD25" s="83">
        <f>IFERROR(tblGastos[[#This Row],[Anualmente]]/tblGastos[[#Totals],[Anualmente]],"-")</f>
        <v>4.8349449816605536E-2</v>
      </c>
    </row>
    <row r="26" spans="2:30" ht="30" customHeight="1" x14ac:dyDescent="0.2">
      <c r="B26" s="58" t="s">
        <v>74</v>
      </c>
      <c r="C26" t="s">
        <v>76</v>
      </c>
      <c r="D26" s="65">
        <f>SUBTOTAL(109,tblGastos[Ene])</f>
        <v>236</v>
      </c>
      <c r="E26" s="65">
        <f>SUBTOTAL(109,tblGastos[Feb])</f>
        <v>205</v>
      </c>
      <c r="F26" s="65">
        <f>SUBTOTAL(109,tblGastos[Mar])</f>
        <v>249</v>
      </c>
      <c r="G26" s="65">
        <f>SUBTOTAL(109,tblGastos[Abr])</f>
        <v>261</v>
      </c>
      <c r="H26" s="65">
        <f>SUBTOTAL(109,tblGastos[May])</f>
        <v>257</v>
      </c>
      <c r="I26" s="65">
        <f>SUBTOTAL(109,tblGastos[Jun])</f>
        <v>274</v>
      </c>
      <c r="J26" s="65">
        <f>SUBTOTAL(109,tblGastos[Jul])</f>
        <v>266</v>
      </c>
      <c r="K26" s="65">
        <f>SUBTOTAL(109,tblGastos[Ago])</f>
        <v>235</v>
      </c>
      <c r="L26" s="65">
        <f>SUBTOTAL(109,tblGastos[Sep])</f>
        <v>230</v>
      </c>
      <c r="M26" s="65">
        <f>SUBTOTAL(109,tblGastos[Oct])</f>
        <v>259</v>
      </c>
      <c r="N26" s="65">
        <f>SUBTOTAL(109,tblGastos[Nov])</f>
        <v>296</v>
      </c>
      <c r="O26" s="65">
        <f>SUBTOTAL(109,tblGastos[Dic])</f>
        <v>231</v>
      </c>
      <c r="P26" s="79">
        <f>SUBTOTAL(109,tblGastos[Anualmente])</f>
        <v>2999</v>
      </c>
      <c r="Q26" s="60">
        <f>SUBTOTAL(109,tblGastos[Porcentaje de índice])</f>
        <v>1</v>
      </c>
      <c r="R26" s="59">
        <f>SUBTOTAL(109,tblGastos[Porcentaje de ene])</f>
        <v>1</v>
      </c>
      <c r="S26" s="59">
        <f>SUBTOTAL(109,tblGastos[Porcentaje de feb])</f>
        <v>1.0000000000000002</v>
      </c>
      <c r="T26" s="59">
        <f>SUBTOTAL(109,tblGastos[Porcentaje de mar])</f>
        <v>1.0000000000000002</v>
      </c>
      <c r="U26" s="59">
        <f>SUBTOTAL(109,tblGastos[Porcentaje de abr])</f>
        <v>1</v>
      </c>
      <c r="V26" s="59">
        <f>SUBTOTAL(109,tblGastos[Porcentaje de may])</f>
        <v>1.0000000000000002</v>
      </c>
      <c r="W26" s="59">
        <f>SUBTOTAL(109,tblGastos[Porcentaje de jun])</f>
        <v>1</v>
      </c>
      <c r="X26" s="59">
        <f>SUBTOTAL(109,tblGastos[Porcentaje de jul])</f>
        <v>1</v>
      </c>
      <c r="Y26" s="59">
        <f>SUBTOTAL(109,tblGastos[Porcentaje de ago])</f>
        <v>0.99999999999999989</v>
      </c>
      <c r="Z26" s="59">
        <f>SUBTOTAL(109,tblGastos[Porcentaje de sep])</f>
        <v>1</v>
      </c>
      <c r="AA26" s="59">
        <f>SUBTOTAL(109,tblGastos[Porcentaje de oct])</f>
        <v>1</v>
      </c>
      <c r="AB26" s="59">
        <f>SUBTOTAL(109,tblGastos[Porcentaje de nov])</f>
        <v>0.99999999999999989</v>
      </c>
      <c r="AC26" s="59">
        <f>SUBTOTAL(109,tblGastos[Porcentaje de dic])</f>
        <v>1</v>
      </c>
      <c r="AD26" s="61">
        <f>SUBTOTAL(109,tblGastos[Porcentaje anual])</f>
        <v>0.99999999999999989</v>
      </c>
    </row>
    <row r="27" spans="2:30" ht="9.9499999999999993"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30" customHeight="1" x14ac:dyDescent="0.2">
      <c r="B28" s="39" t="s">
        <v>75</v>
      </c>
      <c r="C28" s="40"/>
      <c r="D28" s="80">
        <f>'Costo de ventas'!$D$16-tblGastos[[#Totals],[Ene]]</f>
        <v>123</v>
      </c>
      <c r="E28" s="80">
        <f>'Costo de ventas'!E16-tblGastos[[#Totals],[Feb]]</f>
        <v>175</v>
      </c>
      <c r="F28" s="80">
        <f>'Costo de ventas'!F16-tblGastos[[#Totals],[Mar]]</f>
        <v>256</v>
      </c>
      <c r="G28" s="80">
        <f>'Costo de ventas'!G16-tblGastos[[#Totals],[Abr]]</f>
        <v>109</v>
      </c>
      <c r="H28" s="80">
        <f>'Costo de ventas'!H16-tblGastos[[#Totals],[May]]</f>
        <v>156</v>
      </c>
      <c r="I28" s="80">
        <f>'Costo de ventas'!I16-tblGastos[[#Totals],[Jun]]</f>
        <v>-8</v>
      </c>
      <c r="J28" s="80">
        <f>'Costo de ventas'!J16-tblGastos[[#Totals],[Jul]]</f>
        <v>32</v>
      </c>
      <c r="K28" s="80">
        <f>'Costo de ventas'!K16-tblGastos[[#Totals],[Ago]]</f>
        <v>214</v>
      </c>
      <c r="L28" s="80">
        <f>'Costo de ventas'!L16-tblGastos[[#Totals],[Sep]]</f>
        <v>100</v>
      </c>
      <c r="M28" s="80">
        <f>'Costo de ventas'!M16-tblGastos[[#Totals],[Oct]]</f>
        <v>148</v>
      </c>
      <c r="N28" s="80">
        <f>'Costo de ventas'!N16-tblGastos[[#Totals],[Nov]]</f>
        <v>179</v>
      </c>
      <c r="O28" s="80">
        <f>'Costo de ventas'!O16-tblGastos[[#Totals],[Dic]]</f>
        <v>359</v>
      </c>
      <c r="P28" s="80">
        <f>SUM(D28:O28)</f>
        <v>1843</v>
      </c>
      <c r="Q28" s="34"/>
      <c r="R28" s="81">
        <f>D28/$P$28</f>
        <v>6.6739012479652735E-2</v>
      </c>
      <c r="S28" s="81">
        <f t="shared" ref="S28:AD28" si="1">E28/$P$28</f>
        <v>9.4953879544221381E-2</v>
      </c>
      <c r="T28" s="81">
        <f t="shared" si="1"/>
        <v>0.13890396093326099</v>
      </c>
      <c r="U28" s="81">
        <f t="shared" si="1"/>
        <v>5.9142702116115033E-2</v>
      </c>
      <c r="V28" s="81">
        <f t="shared" si="1"/>
        <v>8.4644601193705912E-2</v>
      </c>
      <c r="W28" s="81">
        <f t="shared" si="1"/>
        <v>-4.3407487791644059E-3</v>
      </c>
      <c r="X28" s="81">
        <f t="shared" si="1"/>
        <v>1.7362995116657624E-2</v>
      </c>
      <c r="Y28" s="81">
        <f t="shared" si="1"/>
        <v>0.11611502984264786</v>
      </c>
      <c r="Z28" s="81">
        <f t="shared" si="1"/>
        <v>5.425935973955507E-2</v>
      </c>
      <c r="AA28" s="81">
        <f t="shared" si="1"/>
        <v>8.0303852414541507E-2</v>
      </c>
      <c r="AB28" s="81">
        <f t="shared" si="1"/>
        <v>9.7124253933803584E-2</v>
      </c>
      <c r="AC28" s="81">
        <f t="shared" si="1"/>
        <v>0.19479110146500273</v>
      </c>
      <c r="AD28" s="81">
        <f t="shared" si="1"/>
        <v>1</v>
      </c>
    </row>
  </sheetData>
  <dataValidations count="18">
    <dataValidation allowBlank="1" showInputMessage="1" showErrorMessage="1" prompt="En esta hoja de cálculo, se calculan los gastos totales para cada mes y año, y los totales anuales en cada elemento. El beneficio neto se calcula automáticamente en función de los beneficios brutos y los gastos totales." sqref="A1" xr:uid="{00000000-0002-0000-0200-000000000000}"/>
    <dataValidation allowBlank="1" showInputMessage="1" showErrorMessage="1" prompt="El título se actualiza automáticamente a partir de la hoja de cálculo Ingresos (ventas). Escribe valores en la tabla Gastos que se encuentra debajo para calcular los gastos totales." sqref="B3:B4" xr:uid="{00000000-0002-0000-0200-000001000000}"/>
    <dataValidation allowBlank="1" showInputMessage="1" showErrorMessage="1" prompt="Escribe el porcentaje de índice en esta columna." sqref="Q6" xr:uid="{00000000-0002-0000-0200-000002000000}"/>
    <dataValidation allowBlank="1" showInputMessage="1" showErrorMessage="1" prompt="El beneficio neto se calcula automáticamente para cada mes y año en función de los beneficios brutos y los gastos totales." sqref="B28" xr:uid="{00000000-0002-0000-0200-000003000000}"/>
    <dataValidation allowBlank="1" showInputMessage="1" showErrorMessage="1" prompt="Escribe en esta columna los gastos de las fuentes enumeradas en la columna B." sqref="D6:O6" xr:uid="{00000000-0002-0000-0200-000004000000}"/>
    <dataValidation allowBlank="1" showInputMessage="1" showErrorMessage="1" prompt="En esta columna se encuentra un gráfico de tendencia de gastos a lo largo del tiempo." sqref="C6" xr:uid="{00000000-0002-0000-0200-000005000000}"/>
    <dataValidation allowBlank="1" showInputMessage="1" showErrorMessage="1" prompt="Escribe los gastos en esta columna." sqref="B6" xr:uid="{00000000-0002-0000-0200-000006000000}"/>
    <dataValidation allowBlank="1" showInputMessage="1" showErrorMessage="1" prompt="Calcula automáticamente la proporción de gastos de orígenes diferentes a los gastos totales del año en esta columna." sqref="AD5" xr:uid="{00000000-0002-0000-0200-000007000000}"/>
    <dataValidation allowBlank="1" showInputMessage="1" showErrorMessage="1" prompt="Calcula automáticamente la proporción de gastos a partir de orígenes diferentes a los gastos totales en esta columna para los meses en esta celda." sqref="R5:AC5" xr:uid="{00000000-0002-0000-0200-000008000000}"/>
    <dataValidation allowBlank="1" showInputMessage="1" showErrorMessage="1" prompt="Mes actualizado automáticamente" sqref="E5:O5" xr:uid="{00000000-0002-0000-0200-000009000000}"/>
    <dataValidation allowBlank="1" showInputMessage="1" showErrorMessage="1" prompt="Las fechas de la fila se actualizan automáticamente en función del mes inicial del año fiscal. Para cambiar el mes inicial, modifica la celda F2." sqref="D5" xr:uid="{00000000-0002-0000-0200-00000A000000}"/>
    <dataValidation allowBlank="1" showInputMessage="1" showErrorMessage="1" prompt="Los gastos anuales se calculan automáticamente en esta columna." sqref="P5" xr:uid="{00000000-0002-0000-0200-00000B000000}"/>
    <dataValidation allowBlank="1" showInputMessage="1" showErrorMessage="1" prompt="El porcentaje de índice se encuentra en esta columna." sqref="Q5" xr:uid="{00000000-0002-0000-0200-00000C000000}"/>
    <dataValidation allowBlank="1" showInputMessage="1" showErrorMessage="1" prompt="El mes y el año se actualizan automáticamente en las celdas a la derecha. Para cambiar el mes o el año, modifica las celdas F2 y G2 en la hoja de cálculo Ingresos (ventas)" sqref="E2" xr:uid="{00000000-0002-0000-0200-00000D000000}"/>
    <dataValidation allowBlank="1" showInputMessage="1" showErrorMessage="1" prompt="Mes actualizado automáticamente. Para cambiarlo, modifica la celda F2 en la hoja de cálculo Ingresos (ventas)" sqref="F2" xr:uid="{00000000-0002-0000-0200-00000E000000}"/>
    <dataValidation allowBlank="1" showInputMessage="1" showErrorMessage="1" prompt="Año actualizado automáticamente. Para cambiarlo, modifica la celda G2 en la hoja de cálculo Ingresos (ventas)" sqref="G2" xr:uid="{00000000-0002-0000-0200-00000F000000}"/>
    <dataValidation allowBlank="1" showInputMessage="1" showErrorMessage="1" prompt="Esta celda se actualiza automáticamente a partir del título del período de proyección en la hoja de cálculo Ingresos (ventas)." sqref="B2" xr:uid="{00000000-0002-0000-0200-000010000000}"/>
    <dataValidation allowBlank="1" showInputMessage="1" showErrorMessage="1" prompt="El nombre de la empresa se actualiza automáticamente con la información de la hoja Ingresos (ventas)." sqref="AD2 B1" xr:uid="{00000000-0002-0000-0200-000011000000}"/>
  </dataValidations>
  <printOptions horizontalCentered="1"/>
  <pageMargins left="0.25" right="0.25" top="0.75" bottom="0.75" header="0.3" footer="0.3"/>
  <pageSetup paperSize="9" scale="45"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200-000004000000}">
          <x14:colorSeries theme="9" tint="-0.499984740745262"/>
          <x14:colorNegative theme="5"/>
          <x14:colorAxis rgb="FF000000"/>
          <x14:colorMarkers theme="4" tint="-0.499984740745262"/>
          <x14:colorFirst theme="4" tint="0.39997558519241921"/>
          <x14:colorLast theme="4" tint="0.39997558519241921"/>
          <x14:colorHigh theme="9" tint="-0.499984740745262"/>
          <x14:colorLow theme="9" tint="-0.499984740745262"/>
          <x14:sparklines>
            <x14:sparkline>
              <xm:f>Gastos!D7:O7</xm:f>
              <xm:sqref>C7</xm:sqref>
            </x14:sparkline>
            <x14:sparkline>
              <xm:f>Gastos!D8:O8</xm:f>
              <xm:sqref>C8</xm:sqref>
            </x14:sparkline>
            <x14:sparkline>
              <xm:f>Gastos!D9:O9</xm:f>
              <xm:sqref>C9</xm:sqref>
            </x14:sparkline>
            <x14:sparkline>
              <xm:f>Gastos!D10:O10</xm:f>
              <xm:sqref>C10</xm:sqref>
            </x14:sparkline>
            <x14:sparkline>
              <xm:f>Gastos!D11:O11</xm:f>
              <xm:sqref>C11</xm:sqref>
            </x14:sparkline>
            <x14:sparkline>
              <xm:f>Gastos!D12:O12</xm:f>
              <xm:sqref>C12</xm:sqref>
            </x14:sparkline>
            <x14:sparkline>
              <xm:f>Gastos!D13:O13</xm:f>
              <xm:sqref>C13</xm:sqref>
            </x14:sparkline>
            <x14:sparkline>
              <xm:f>Gastos!D14:O14</xm:f>
              <xm:sqref>C14</xm:sqref>
            </x14:sparkline>
            <x14:sparkline>
              <xm:f>Gastos!D15:O15</xm:f>
              <xm:sqref>C15</xm:sqref>
            </x14:sparkline>
            <x14:sparkline>
              <xm:f>Gastos!D16:O16</xm:f>
              <xm:sqref>C16</xm:sqref>
            </x14:sparkline>
            <x14:sparkline>
              <xm:f>Gastos!D17:O17</xm:f>
              <xm:sqref>C17</xm:sqref>
            </x14:sparkline>
            <x14:sparkline>
              <xm:f>Gastos!D18:O18</xm:f>
              <xm:sqref>C18</xm:sqref>
            </x14:sparkline>
            <x14:sparkline>
              <xm:f>Gastos!D19:O19</xm:f>
              <xm:sqref>C19</xm:sqref>
            </x14:sparkline>
            <x14:sparkline>
              <xm:f>Gastos!D20:O20</xm:f>
              <xm:sqref>C20</xm:sqref>
            </x14:sparkline>
            <x14:sparkline>
              <xm:f>Gastos!D21:O21</xm:f>
              <xm:sqref>C21</xm:sqref>
            </x14:sparkline>
            <x14:sparkline>
              <xm:f>Gastos!D22:O22</xm:f>
              <xm:sqref>C22</xm:sqref>
            </x14:sparkline>
            <x14:sparkline>
              <xm:f>Gastos!D23:O23</xm:f>
              <xm:sqref>C23</xm:sqref>
            </x14:sparkline>
            <x14:sparkline>
              <xm:f>Gastos!D24:O24</xm:f>
              <xm:sqref>C24</xm:sqref>
            </x14:sparkline>
            <x14:sparkline>
              <xm:f>Gastos!D25:O25</xm:f>
              <xm:sqref>C25</xm:sqref>
            </x14:sparkline>
          </x14:sparklines>
        </x14:sparklineGroup>
        <x14:sparklineGroup lineWeight="1" displayEmptyCellsAs="gap" high="1" low="1" xr2:uid="{00000000-0003-0000-0200-000005000000}">
          <x14:colorSeries theme="9" tint="-0.499984740745262"/>
          <x14:colorNegative theme="5"/>
          <x14:colorAxis rgb="FF000000"/>
          <x14:colorMarkers theme="4" tint="-0.499984740745262"/>
          <x14:colorFirst theme="4" tint="0.39997558519241921"/>
          <x14:colorLast theme="4" tint="0.39997558519241921"/>
          <x14:colorHigh theme="9" tint="-0.499984740745262"/>
          <x14:colorLow theme="9" tint="-0.499984740745262"/>
          <x14:sparklines>
            <x14:sparkline>
              <xm:f>Gastos!D26:O26</xm:f>
              <xm:sqref>C26</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55C0DC-2BAC-4262-95AA-1319CC010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1E4CF0-2589-44C0-BE62-F28DADEE0B09}">
  <ds:schemaRefs>
    <ds:schemaRef ds:uri="http://schemas.microsoft.com/office/2006/documentManagement/types"/>
    <ds:schemaRef ds:uri="fb0879af-3eba-417a-a55a-ffe6dcd6ca77"/>
    <ds:schemaRef ds:uri="http://purl.org/dc/elements/1.1/"/>
    <ds:schemaRef ds:uri="http://schemas.microsoft.com/office/2006/metadata/properties"/>
    <ds:schemaRef ds:uri="http://schemas.microsoft.com/sharepoint/v3"/>
    <ds:schemaRef ds:uri="http://purl.org/dc/terms/"/>
    <ds:schemaRef ds:uri="6dc4bcd6-49db-4c07-9060-8acfc67cef9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11</vt:i4>
      </vt:variant>
    </vt:vector>
  </HeadingPairs>
  <TitlesOfParts>
    <vt:vector size="14" baseType="lpstr">
      <vt:lpstr>Ingresos (ventas)</vt:lpstr>
      <vt:lpstr>Costo de ventas</vt:lpstr>
      <vt:lpstr>Gastos</vt:lpstr>
      <vt:lpstr>Company_Name</vt:lpstr>
      <vt:lpstr>FYMonthStart</vt:lpstr>
      <vt:lpstr>FYStartYear</vt:lpstr>
      <vt:lpstr>'Costo de ventas'!Print_Titles</vt:lpstr>
      <vt:lpstr>Gastos!Print_Titles</vt:lpstr>
      <vt:lpstr>'Ingresos (ventas)'!Print_Titles</vt:lpstr>
      <vt:lpstr>Projection_Period_Title</vt:lpstr>
      <vt:lpstr>Título1</vt:lpstr>
      <vt:lpstr>Titulo2</vt:lpstr>
      <vt:lpstr>Título3</vt:lpstr>
      <vt:lpstr>Wksht_Título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2019-05-14T04:03:46Z</dcterms:created>
  <dcterms:modified xsi:type="dcterms:W3CDTF">2019-05-14T04:03:46Z</dcterms:modified>
</cp:coreProperties>
</file>