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06"/>
  <workbookPr codeName="ThisWorkbook" hidePivotFieldList="1" refreshAllConnections="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28830" windowHeight="16110" xr2:uid="{00000000-000D-0000-FFFF-FFFF00000000}"/>
  </bookViews>
  <sheets>
    <sheet name="START" sheetId="4" r:id="rId1"/>
    <sheet name="PARAMETRY PROJEKTU" sheetId="1" r:id="rId2"/>
    <sheet name="SZCZEGÓŁY PROJEKTU" sheetId="2" r:id="rId3"/>
    <sheet name="SUMY PROJEKTU" sheetId="3" r:id="rId4"/>
  </sheets>
  <definedNames>
    <definedName name="Typ_projektu">Parametry[TYP PROJEKTU]</definedName>
    <definedName name="_xlnm.Print_Titles" localSheetId="3">'SUMY PROJEKTU'!$4:$4</definedName>
    <definedName name="_xlnm.Print_Titles" localSheetId="2">'SZCZEGÓŁY PROJEKTU'!$4:$4</definedName>
  </definedNames>
  <calcPr calcId="191029"/>
  <pivotCaches>
    <pivotCache cacheId="17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E5" i="2" l="1"/>
  <c r="F7" i="2" l="1"/>
  <c r="G7" i="2"/>
  <c r="B3" i="3" l="1"/>
  <c r="B3" i="2" l="1"/>
  <c r="G9" i="2"/>
  <c r="F9" i="2"/>
  <c r="E9" i="2"/>
  <c r="D9" i="2"/>
  <c r="G8" i="2"/>
  <c r="F8" i="2"/>
  <c r="E8" i="2"/>
  <c r="D8" i="2"/>
  <c r="E7" i="2"/>
  <c r="D7" i="2"/>
  <c r="G6" i="2"/>
  <c r="F6" i="2"/>
  <c r="D6" i="2"/>
  <c r="E6" i="2"/>
  <c r="G5" i="2"/>
  <c r="F5" i="2"/>
  <c r="D5" i="2"/>
  <c r="J5" i="2" s="1"/>
  <c r="B1" i="3" l="1"/>
  <c r="K8" i="2"/>
  <c r="W5" i="2"/>
  <c r="W6" i="2"/>
  <c r="W7" i="2"/>
  <c r="W8" i="2"/>
  <c r="W9" i="2"/>
  <c r="V5" i="2"/>
  <c r="V6" i="2"/>
  <c r="V7" i="2"/>
  <c r="V8" i="2"/>
  <c r="V9" i="2"/>
  <c r="U5" i="2"/>
  <c r="U6" i="2"/>
  <c r="U7" i="2"/>
  <c r="U8" i="2"/>
  <c r="U9" i="2"/>
  <c r="T5" i="2"/>
  <c r="T6" i="2"/>
  <c r="T7" i="2"/>
  <c r="T8" i="2"/>
  <c r="T9" i="2"/>
  <c r="S5" i="2"/>
  <c r="S6" i="2"/>
  <c r="S7" i="2"/>
  <c r="S8" i="2"/>
  <c r="S9" i="2"/>
  <c r="R5" i="2"/>
  <c r="R6" i="2"/>
  <c r="R7" i="2"/>
  <c r="R8" i="2"/>
  <c r="R9" i="2"/>
  <c r="Q5" i="2"/>
  <c r="Q6" i="2"/>
  <c r="Q7" i="2"/>
  <c r="Q8" i="2"/>
  <c r="Q9" i="2"/>
  <c r="P5" i="2"/>
  <c r="P6" i="2"/>
  <c r="P7" i="2"/>
  <c r="P8" i="2"/>
  <c r="P9" i="2"/>
  <c r="O5" i="2"/>
  <c r="O6" i="2"/>
  <c r="O7" i="2"/>
  <c r="O8" i="2"/>
  <c r="O9" i="2"/>
  <c r="N5" i="2"/>
  <c r="N6" i="2"/>
  <c r="N7" i="2"/>
  <c r="N8" i="2"/>
  <c r="N9" i="2"/>
  <c r="M5" i="2"/>
  <c r="M6" i="2"/>
  <c r="M7" i="2"/>
  <c r="M8" i="2"/>
  <c r="M9" i="2"/>
  <c r="L5" i="2"/>
  <c r="L6" i="2"/>
  <c r="L7" i="2"/>
  <c r="L8" i="2"/>
  <c r="L9" i="2"/>
  <c r="B1" i="2"/>
  <c r="K5" i="2"/>
  <c r="K6" i="2"/>
  <c r="K7" i="2"/>
  <c r="K9" i="2"/>
  <c r="J6" i="2"/>
  <c r="J7" i="2"/>
  <c r="J8" i="2"/>
  <c r="J9" i="2"/>
  <c r="I10" i="2"/>
  <c r="H10" i="2"/>
  <c r="I6" i="1"/>
  <c r="I7" i="1"/>
  <c r="I8" i="1"/>
  <c r="I9" i="1"/>
  <c r="I10" i="1"/>
  <c r="I11" i="1"/>
  <c r="H17" i="1" l="1"/>
  <c r="H19" i="1" s="1"/>
  <c r="F17" i="1"/>
  <c r="F19" i="1" s="1"/>
  <c r="D17" i="1"/>
  <c r="D19" i="1" s="1"/>
  <c r="G17" i="1"/>
  <c r="G19" i="1" s="1"/>
  <c r="E17" i="1"/>
  <c r="E19" i="1" s="1"/>
  <c r="F16" i="1"/>
  <c r="F18" i="1" s="1"/>
  <c r="E16" i="1"/>
  <c r="E18" i="1" s="1"/>
  <c r="C17" i="1"/>
  <c r="C19" i="1" s="1"/>
  <c r="D16" i="1"/>
  <c r="D18" i="1" s="1"/>
  <c r="H16" i="1"/>
  <c r="H18" i="1" s="1"/>
  <c r="C16" i="1"/>
  <c r="C18" i="1" s="1"/>
  <c r="G16" i="1"/>
  <c r="G18" i="1" s="1"/>
  <c r="J10" i="2"/>
  <c r="K10" i="2"/>
</calcChain>
</file>

<file path=xl/sharedStrings.xml><?xml version="1.0" encoding="utf-8"?>
<sst xmlns="http://schemas.openxmlformats.org/spreadsheetml/2006/main" count="106" uniqueCount="76">
  <si>
    <t>INFORMACJE O TYM SZABLONIE</t>
  </si>
  <si>
    <t>Wprowadź informacje w arkuszu Parametry projektu, aby zaktualizować wykresy kolumnowe i informacje w arkuszu Szczegóły projektu. Tabela przestawna w arkuszu Sumy projektu jest aktualizowana automatycznie.</t>
  </si>
  <si>
    <t xml:space="preserve">Uwaga:  </t>
  </si>
  <si>
    <t>W kolumnie A w każdym arkuszu skoroszytu ŚLEDZENIE PLANOWANIA WYDARZENIA podano dodatkowe instrukcje. Ten tekst celowo został ukryty. Aby usunąć tekst, zaznacz kolumnę A, a następnie naciśnij klawisz DELETE. Aby odkryć tekst, zaznacz kolumnę A, a następnie zmień kolor czcionki.</t>
  </si>
  <si>
    <t>Aby uzyskać więcej informacji o tabelach w tym arkuszu, w tabeli naciśnij klawisz SHIFT, a następnie F10, wybierz pozycję TABELA, a następnie TEKST ALTERNATYWNY.</t>
  </si>
  <si>
    <t>W komórce po prawej stronie znajduje się tytuł tego arkusza.</t>
  </si>
  <si>
    <t>W komórce po prawej stronie znajduje się komunikat dotyczący poufności informacji.</t>
  </si>
  <si>
    <t>W komórce po prawej stronie znajduje się porada.</t>
  </si>
  <si>
    <t>Wprowadź szczegóły w tabeli Parametry zaczynającej się od komórki po prawej stronie. Dalsze instrukcje znajdują się w komórce A12.</t>
  </si>
  <si>
    <t>W komórkach po prawej stronie (od C12 do H12) wprowadź stawki uśrednione. Dalsze instrukcje znajdują się w komórce A14.</t>
  </si>
  <si>
    <t>Nazwa firmy</t>
  </si>
  <si>
    <t>Śledzenie projektu zarządzania wydarzeniem</t>
  </si>
  <si>
    <t>Cieniowane komórki są obliczane automatycznie. Nie trzeba w nich niczego wprowadzać.</t>
  </si>
  <si>
    <t>TYP PROJEKTU</t>
  </si>
  <si>
    <t>Opracowanie strategii wydarzenia</t>
  </si>
  <si>
    <t>Planowanie wydarzenia</t>
  </si>
  <si>
    <t>Projektowanie wydarzenia</t>
  </si>
  <si>
    <t>Logistyka wydarzenia</t>
  </si>
  <si>
    <t>Obsadzanie wydarzenia</t>
  </si>
  <si>
    <t>Ocena wydarzenia</t>
  </si>
  <si>
    <t>Stawki uśrednione</t>
  </si>
  <si>
    <t>KOSZT PLANOWANY</t>
  </si>
  <si>
    <t>KOSZT RZECZYWISTY</t>
  </si>
  <si>
    <t>GODZINY PLANOWANE</t>
  </si>
  <si>
    <t>GODZINY RZECZYWISTE</t>
  </si>
  <si>
    <t>Ta komórka zawiera wykres kolumnowy przedstawiający porównanie kosztu planowanego i rzeczywistego.</t>
  </si>
  <si>
    <t>KIEROWNIK DS. KLIENTA</t>
  </si>
  <si>
    <t>KIEROWNIK PROJEKTU</t>
  </si>
  <si>
    <t>KIEROWNIK DS. STRATEGII</t>
  </si>
  <si>
    <t>SPECJALISTA DS. PROJEKTOWANIA</t>
  </si>
  <si>
    <t>Ta komórka zawiera wykres kolumnowy przedstawiający porównanie godzin planowanych i rzeczywistych.</t>
  </si>
  <si>
    <t>PERSONEL WYDARZENIA</t>
  </si>
  <si>
    <t>PERSONEL ADMINISTRACYJNY</t>
  </si>
  <si>
    <t>Suma</t>
  </si>
  <si>
    <t>Wprowadź informacje w tabeli Szczegóły projektu zaczynającej się od komórki po prawej stronie.
INFORMACJE
Aby dodać wiersz w tabeli po prawej stronie, zaznacz komórkę w prawym dolnym rogu w treści tabeli (nie w wierszu sum) i naciśnij klawisz Tab lub naciśnij klawisze SHIFT+F10 w miejscu, w którym chcesz wstawić wiersz, i wybierz pozycję Wstaw | Wiersze tabeli powyżej/poniżej.
Pamiętaj o usunięciu wszystkich nieużywanych wierszy, ponieważ w tabeli przestawnej SUMY PROJEKTU będą używane wszystkie komórki tabeli, co w przypadku pozostawienia tych wierszy mogłoby skutkować błędnymi wynikami.</t>
  </si>
  <si>
    <t>NAZWA PROJEKTU</t>
  </si>
  <si>
    <t>Projekt 1</t>
  </si>
  <si>
    <t>Projekt 2</t>
  </si>
  <si>
    <t>Projekt 3</t>
  </si>
  <si>
    <t>Projekt 4</t>
  </si>
  <si>
    <t>Projekt 5</t>
  </si>
  <si>
    <t>SUMA</t>
  </si>
  <si>
    <t>SZACOWANE ROZPOCZĘCIE</t>
  </si>
  <si>
    <t>SZACOWANE ZAKOŃCZENIE</t>
  </si>
  <si>
    <t>RZECZYWISTE ROZPOCZĘCIE</t>
  </si>
  <si>
    <t>RZECZYWISTE ZAKOŃCZENIE</t>
  </si>
  <si>
    <t>PRACA SZACOWANA</t>
  </si>
  <si>
    <t>PRACA RZECZYWISTA</t>
  </si>
  <si>
    <t>SZACOWANY CZAS TRWANIA</t>
  </si>
  <si>
    <t>RZECZYWISTY CZAS TRWANIA</t>
  </si>
  <si>
    <t xml:space="preserve">KIEROWNIK DS. KLIENTA </t>
  </si>
  <si>
    <t xml:space="preserve">KIEROWNIK PROJEKTU </t>
  </si>
  <si>
    <t xml:space="preserve">KIEROWNIK DS. STRATEGII </t>
  </si>
  <si>
    <t xml:space="preserve">SPECJALISTA DS. PROJEKTOWANIA </t>
  </si>
  <si>
    <t xml:space="preserve">PERSONEL WYDARZENIA </t>
  </si>
  <si>
    <t xml:space="preserve">PERSONEL ADMINISTRACYJNY </t>
  </si>
  <si>
    <t>W tym arkuszu uzyskasz sumy projektu. Nazwa firmy jest automatycznie aktualizowana w komórce po prawej stronie. W komórkach w tej kolumnie podano przydatne instrukcje. Naciśnij strzałkę w dół, aby rozpocząć pracę.</t>
  </si>
  <si>
    <t>Tabela przestawna zaczynająca się w komórce po prawej stronie jest aktualizowana automatycznie.
INFORMACJE
Aby odświeżyć tabelę przestawną po prawej stronie, zaznacz ją (dowolną komórkę w tej tabeli przestawnej) i na karcie wstążki NARZĘDZIA TABEL PRZESTAWNYCH | ANALIZA wybierz pozycję Odśwież. Ewentualnie w dowolnej komórce tabeli przestawnej naciśnij klawisze SHIFT+F10 i wybierz pozycję Odśwież.</t>
  </si>
  <si>
    <t>Suma końcowa</t>
  </si>
  <si>
    <t>KIEROWNIK DS. KLIENTA: SZACOWANE</t>
  </si>
  <si>
    <t>KIEROWNIK PROJEKTU: SZACOWANE</t>
  </si>
  <si>
    <t>KIEROWNIK DS. STRATEGII: SZACOWANE</t>
  </si>
  <si>
    <t>SPECJALISTA DS. PROJEKTOWANIA: SZACOWANE</t>
  </si>
  <si>
    <t>PERSONEL WYDARZENIA: SZACOWANE</t>
  </si>
  <si>
    <t>PERSONEL ADMINISTRACYJNY: SZACOWANE</t>
  </si>
  <si>
    <t>KIEROWNIK DS. KLIENTA: RZECZYWISTE</t>
  </si>
  <si>
    <t>KIEROWNIK PROJEKTU: RZECZYWISTE</t>
  </si>
  <si>
    <t>KIEROWNIK DS. STRATEGII: RZECZYWISTE</t>
  </si>
  <si>
    <t>SPECJALISTA DS. PROJEKTOWANIA: RZECZYWISTE</t>
  </si>
  <si>
    <t>PERSONEL ADMINISTRACYJNY: RZECZYWISTE</t>
  </si>
  <si>
    <t>PERSONEL WYDARZENIA: RZECZYWISTE</t>
  </si>
  <si>
    <t>Ten skoroszyt do planowania wydarzenia umożliwia śledzenie parametry projektu, szczegóły projektu i sumy projektu.</t>
  </si>
  <si>
    <t>Wprowadź nazwa firmy w arkuszu Parametry, a zostanie ona automatycznie zaktualizowana w innych arkuszach.</t>
  </si>
  <si>
    <t>W tym arkuszu wprowadź parametry projektu. W komórce po prawej stronie wprowadź nazwa firmy. W komórkach w tej kolumnie podano przydatne instrukcje. Naciśnij strzałkę w dół, aby rozpocząć pracę.</t>
  </si>
  <si>
    <t>W komórce po prawej stronie znajduje się wykres kolumnowy przedstawiający porównanie planowane a koszt rzeczywisty, a w komórce F14 — wykres kolumnowy przedstawiający porównanie planowane a godziny rzeczywiste.</t>
  </si>
  <si>
    <t>W tym arkuszu wprowadź szczegóły projektu. Nazwa firmy jest automatycznie aktualizowana w komórce po prawej stronie. W komórkach w tej kolumnie podano przydatne instrukcje. Naciśnij strzałkę w dół, aby rozpocząć pracę.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</si>
</sst>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(* #,##0_);_(* \(#,##0\);_(* &quot;-&quot;_);_(@_)"/>
    <numFmt numFmtId="165" formatCode="_(* #,##0.00_);_(* \(#,##0.00\);_(* &quot;-&quot;??_);_(@_)"/>
    <numFmt numFmtId="166" formatCode="#,##0\ &quot;zł&quot;"/>
    <numFmt numFmtId="167" formatCode="#,##0.00\ &quot;zł&quot;"/>
  </numFmts>
  <fonts count="27" x14ac:knownFonts="1">
    <font>
      <sz val="10"/>
      <color theme="1" tint="0.24994659260841701"/>
      <name val="Cambria"/>
      <family val="2"/>
      <scheme val="minor"/>
    </font>
    <font>
      <sz val="11"/>
      <color theme="1"/>
      <name val="Cambria"/>
      <family val="2"/>
      <scheme val="minor"/>
    </font>
    <font>
      <sz val="11"/>
      <color theme="1"/>
      <name val="Cambria"/>
      <family val="1"/>
      <scheme val="minor"/>
    </font>
    <font>
      <sz val="20"/>
      <color theme="1" tint="0.24994659260841701"/>
      <name val="Tahoma"/>
      <family val="2"/>
      <scheme val="major"/>
    </font>
    <font>
      <sz val="16"/>
      <color theme="1" tint="0.34998626667073579"/>
      <name val="Tahoma"/>
      <family val="2"/>
      <scheme val="major"/>
    </font>
    <font>
      <sz val="12"/>
      <color theme="1" tint="0.24994659260841701"/>
      <name val="Tahoma"/>
      <family val="2"/>
      <scheme val="major"/>
    </font>
    <font>
      <sz val="11"/>
      <color theme="1"/>
      <name val="Cambria"/>
      <family val="1"/>
      <scheme val="minor"/>
    </font>
    <font>
      <i/>
      <sz val="10"/>
      <color theme="1"/>
      <name val="Tahoma"/>
      <family val="2"/>
      <scheme val="major"/>
    </font>
    <font>
      <sz val="11"/>
      <color theme="0"/>
      <name val="Cambria"/>
      <family val="1"/>
      <scheme val="minor"/>
    </font>
    <font>
      <sz val="16"/>
      <color theme="0"/>
      <name val="Tahoma"/>
      <family val="2"/>
      <scheme val="major"/>
    </font>
    <font>
      <sz val="11"/>
      <color theme="1" tint="0.24994659260841701"/>
      <name val="Cambria"/>
      <family val="1"/>
      <scheme val="minor"/>
    </font>
    <font>
      <b/>
      <sz val="11"/>
      <color theme="1" tint="0.24994659260841701"/>
      <name val="Cambria"/>
      <family val="1"/>
      <scheme val="minor"/>
    </font>
    <font>
      <sz val="10"/>
      <color theme="1" tint="0.24994659260841701"/>
      <name val="Cambria"/>
      <family val="2"/>
      <scheme val="minor"/>
    </font>
    <font>
      <sz val="18"/>
      <color theme="3"/>
      <name val="Tahoma"/>
      <family val="2"/>
      <scheme val="major"/>
    </font>
    <font>
      <b/>
      <sz val="11"/>
      <color theme="3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3F3F3F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i/>
      <sz val="11"/>
      <color rgb="FF7F7F7F"/>
      <name val="Cambria"/>
      <family val="2"/>
      <scheme val="minor"/>
    </font>
    <font>
      <b/>
      <sz val="11"/>
      <color theme="1"/>
      <name val="Cambria"/>
      <family val="2"/>
      <scheme val="minor"/>
    </font>
    <font>
      <sz val="11"/>
      <color theme="0"/>
      <name val="Cambria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3" fillId="0" borderId="1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2" applyNumberFormat="0" applyAlignment="0" applyProtection="0"/>
    <xf numFmtId="0" fontId="19" fillId="9" borderId="3" applyNumberFormat="0" applyAlignment="0" applyProtection="0"/>
    <xf numFmtId="0" fontId="20" fillId="9" borderId="2" applyNumberFormat="0" applyAlignment="0" applyProtection="0"/>
    <xf numFmtId="0" fontId="21" fillId="0" borderId="4" applyNumberFormat="0" applyFill="0" applyAlignment="0" applyProtection="0"/>
    <xf numFmtId="0" fontId="22" fillId="10" borderId="5" applyNumberFormat="0" applyAlignment="0" applyProtection="0"/>
    <xf numFmtId="0" fontId="23" fillId="0" borderId="0" applyNumberFormat="0" applyFill="0" applyBorder="0" applyAlignment="0" applyProtection="0"/>
    <xf numFmtId="0" fontId="12" fillId="11" borderId="6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1" xfId="1"/>
    <xf numFmtId="0" fontId="4" fillId="0" borderId="0" xfId="2"/>
    <xf numFmtId="0" fontId="5" fillId="0" borderId="0" xfId="3"/>
    <xf numFmtId="0" fontId="6" fillId="0" borderId="0" xfId="0" applyFont="1"/>
    <xf numFmtId="9" fontId="6" fillId="0" borderId="0" xfId="0" applyNumberFormat="1" applyFont="1"/>
    <xf numFmtId="9" fontId="6" fillId="2" borderId="0" xfId="0" applyNumberFormat="1" applyFont="1" applyFill="1"/>
    <xf numFmtId="0" fontId="7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/>
    <xf numFmtId="4" fontId="8" fillId="0" borderId="0" xfId="0" applyNumberFormat="1" applyFont="1"/>
    <xf numFmtId="0" fontId="0" fillId="3" borderId="0" xfId="0" applyFill="1" applyAlignment="1">
      <alignment wrapText="1"/>
    </xf>
    <xf numFmtId="14" fontId="0" fillId="0" borderId="0" xfId="0" applyNumberFormat="1"/>
    <xf numFmtId="0" fontId="2" fillId="0" borderId="0" xfId="0" applyFont="1" applyAlignment="1">
      <alignment vertical="center"/>
    </xf>
    <xf numFmtId="0" fontId="5" fillId="0" borderId="0" xfId="3" applyAlignment="1">
      <alignment vertical="center"/>
    </xf>
    <xf numFmtId="0" fontId="9" fillId="4" borderId="0" xfId="2" applyFont="1" applyFill="1" applyAlignment="1">
      <alignment horizont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pivotButton="1"/>
    <xf numFmtId="166" fontId="6" fillId="0" borderId="0" xfId="0" applyNumberFormat="1" applyFont="1"/>
    <xf numFmtId="167" fontId="8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8" fillId="0" borderId="0" xfId="0" applyFont="1" applyAlignment="1">
      <alignment horizontal="center"/>
    </xf>
    <xf numFmtId="0" fontId="2" fillId="0" borderId="0" xfId="0" applyFont="1" applyAlignment="1">
      <alignment wrapText="1"/>
    </xf>
  </cellXfs>
  <cellStyles count="47">
    <cellStyle name="20% — akcent 1" xfId="24" builtinId="30" customBuiltin="1"/>
    <cellStyle name="20% — akcent 2" xfId="28" builtinId="34" customBuiltin="1"/>
    <cellStyle name="20% — akcent 3" xfId="32" builtinId="38" customBuiltin="1"/>
    <cellStyle name="20% — akcent 4" xfId="36" builtinId="42" customBuiltin="1"/>
    <cellStyle name="20% — akcent 5" xfId="40" builtinId="46" customBuiltin="1"/>
    <cellStyle name="20% — akcent 6" xfId="44" builtinId="50" customBuiltin="1"/>
    <cellStyle name="40% — akcent 1" xfId="25" builtinId="31" customBuiltin="1"/>
    <cellStyle name="40% — akcent 2" xfId="29" builtinId="35" customBuiltin="1"/>
    <cellStyle name="40% — akcent 3" xfId="33" builtinId="39" customBuiltin="1"/>
    <cellStyle name="40% — akcent 4" xfId="37" builtinId="43" customBuiltin="1"/>
    <cellStyle name="40% — akcent 5" xfId="41" builtinId="47" customBuiltin="1"/>
    <cellStyle name="40% — akcent 6" xfId="45" builtinId="51" customBuiltin="1"/>
    <cellStyle name="60% — akcent 1" xfId="26" builtinId="32" customBuiltin="1"/>
    <cellStyle name="60% — akcent 2" xfId="30" builtinId="36" customBuiltin="1"/>
    <cellStyle name="60% — akcent 3" xfId="34" builtinId="40" customBuiltin="1"/>
    <cellStyle name="60% — akcent 4" xfId="38" builtinId="44" customBuiltin="1"/>
    <cellStyle name="60% — akcent 5" xfId="42" builtinId="48" customBuiltin="1"/>
    <cellStyle name="60% — akcent 6" xfId="46" builtinId="52" customBuiltin="1"/>
    <cellStyle name="Akcent 1" xfId="23" builtinId="29" customBuiltin="1"/>
    <cellStyle name="Akcent 2" xfId="27" builtinId="33" customBuiltin="1"/>
    <cellStyle name="Akcent 3" xfId="31" builtinId="37" customBuiltin="1"/>
    <cellStyle name="Akcent 4" xfId="35" builtinId="41" customBuiltin="1"/>
    <cellStyle name="Akcent 5" xfId="39" builtinId="45" customBuiltin="1"/>
    <cellStyle name="Akcent 6" xfId="43" builtinId="49" customBuiltin="1"/>
    <cellStyle name="Dane wejściowe" xfId="14" builtinId="20" customBuiltin="1"/>
    <cellStyle name="Dane wyjściowe" xfId="15" builtinId="21" customBuiltin="1"/>
    <cellStyle name="Dobry" xfId="11" builtinId="26" customBuiltin="1"/>
    <cellStyle name="Dziesiętny" xfId="4" builtinId="3" customBuiltin="1"/>
    <cellStyle name="Dziesiętny [0]" xfId="5" builtinId="6" customBuiltin="1"/>
    <cellStyle name="Komórka połączona" xfId="17" builtinId="24" customBuiltin="1"/>
    <cellStyle name="Komórka zaznaczona" xfId="18" builtinId="23" customBuiltin="1"/>
    <cellStyle name="Nagłówek 1" xfId="1" builtinId="16" customBuiltin="1"/>
    <cellStyle name="Nagłówek 2" xfId="2" builtinId="17" customBuiltin="1"/>
    <cellStyle name="Nagłówek 3" xfId="3" builtinId="18" customBuiltin="1"/>
    <cellStyle name="Nagłówek 4" xfId="10" builtinId="19" customBuiltin="1"/>
    <cellStyle name="Neutralny" xfId="13" builtinId="28" customBuiltin="1"/>
    <cellStyle name="Normalny" xfId="0" builtinId="0" customBuiltin="1"/>
    <cellStyle name="Obliczenia" xfId="16" builtinId="22" customBuiltin="1"/>
    <cellStyle name="Procentowy" xfId="8" builtinId="5" customBuiltin="1"/>
    <cellStyle name="Suma" xfId="22" builtinId="25" customBuiltin="1"/>
    <cellStyle name="Tekst objaśnienia" xfId="21" builtinId="53" customBuiltin="1"/>
    <cellStyle name="Tekst ostrzeżenia" xfId="19" builtinId="11" customBuiltin="1"/>
    <cellStyle name="Tytuł" xfId="9" builtinId="15" customBuiltin="1"/>
    <cellStyle name="Uwaga" xfId="20" builtinId="10" customBuiltin="1"/>
    <cellStyle name="Walutowy" xfId="6" builtinId="4" customBuiltin="1"/>
    <cellStyle name="Walutowy [0]" xfId="7" builtinId="7" customBuiltin="1"/>
    <cellStyle name="Zły" xfId="12" builtinId="27" customBuiltin="1"/>
  </cellStyles>
  <dxfs count="209">
    <dxf>
      <alignment wrapText="1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alignment wrapText="1"/>
    </dxf>
    <dxf>
      <alignment wrapText="1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alignment wrapText="1"/>
    </dxf>
    <dxf>
      <alignment wrapText="1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numFmt numFmtId="167" formatCode="#,##0.00\ &quot;zł&quot;"/>
    </dxf>
    <dxf>
      <alignment wrapTex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numFmt numFmtId="166" formatCode="#,##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numFmt numFmtId="166" formatCode="#,##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numFmt numFmtId="166" formatCode="#,##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numFmt numFmtId="166" formatCode="#,##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numFmt numFmtId="166" formatCode="#,##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numFmt numFmtId="166" formatCode="#,##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numFmt numFmtId="166" formatCode="#,##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numFmt numFmtId="166" formatCode="#,##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numFmt numFmtId="166" formatCode="#,##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numFmt numFmtId="166" formatCode="#,##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numFmt numFmtId="166" formatCode="#,##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numFmt numFmtId="166" formatCode="#,##0\ &quot;zł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major"/>
      </font>
      <fill>
        <patternFill patternType="solid">
          <fgColor indexed="64"/>
          <bgColor theme="5" tint="-0.249977111117893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charset val="238"/>
        <scheme val="minor"/>
      </font>
      <numFmt numFmtId="13" formatCode="0%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</dxf>
    <dxf>
      <alignment horizontal="general" vertical="bottom" textRotation="0" wrapText="1" indent="0" justifyLastLine="0" shrinkToFit="0" readingOrder="0"/>
    </dxf>
  </dxfs>
  <tableStyles count="0" defaultTableStyle="TableStyleMedium3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/>
                <a:ea typeface="Tahoma"/>
                <a:cs typeface="Tahoma"/>
              </a:defRPr>
            </a:pPr>
            <a:r>
              <a:rPr lang="en-US"/>
              <a:t>PLANOWANE a KOSZT RZECZYWISTY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Tahoma"/>
              <a:ea typeface="Tahoma"/>
              <a:cs typeface="Tahoma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'PARAMETRY PROJEKTU'!$B$16</c:f>
              <c:strCache>
                <c:ptCount val="1"/>
                <c:pt idx="0">
                  <c:v>KOSZT PLANOWANY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'PARAMETRY PROJEKTU'!$C$15:$H$15</c:f>
              <c:strCache>
                <c:ptCount val="6"/>
                <c:pt idx="0">
                  <c:v>KIEROWNIK DS. KLIENTA</c:v>
                </c:pt>
                <c:pt idx="1">
                  <c:v>KIEROWNIK PROJEKTU</c:v>
                </c:pt>
                <c:pt idx="2">
                  <c:v>KIEROWNIK DS. STRATEGII</c:v>
                </c:pt>
                <c:pt idx="3">
                  <c:v>SPECJALISTA DS. PROJEKTOWANIA</c:v>
                </c:pt>
                <c:pt idx="4">
                  <c:v>PERSONEL WYDARZENIA</c:v>
                </c:pt>
                <c:pt idx="5">
                  <c:v>PERSONEL ADMINISTRACYJNY</c:v>
                </c:pt>
              </c:strCache>
            </c:strRef>
          </c:cat>
          <c:val>
            <c:numRef>
              <c:f>'PARAMETRY PROJEKTU'!$C$16:$H$16</c:f>
              <c:numCache>
                <c:formatCode>#\ ##0.00\ "zł"</c:formatCode>
                <c:ptCount val="6"/>
                <c:pt idx="0">
                  <c:v>54000</c:v>
                </c:pt>
                <c:pt idx="1">
                  <c:v>52200</c:v>
                </c:pt>
                <c:pt idx="2">
                  <c:v>24000</c:v>
                </c:pt>
                <c:pt idx="3">
                  <c:v>29000</c:v>
                </c:pt>
                <c:pt idx="4">
                  <c:v>13200</c:v>
                </c:pt>
                <c:pt idx="5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D0-4845-B60A-67B25D8A3957}"/>
            </c:ext>
          </c:extLst>
        </c:ser>
        <c:ser>
          <c:idx val="1"/>
          <c:order val="1"/>
          <c:tx>
            <c:strRef>
              <c:f>'PARAMETRY PROJEKTU'!$B$17</c:f>
              <c:strCache>
                <c:ptCount val="1"/>
                <c:pt idx="0">
                  <c:v>KOSZT RZECZYWISTY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'PARAMETRY PROJEKTU'!$C$15:$H$15</c:f>
              <c:strCache>
                <c:ptCount val="6"/>
                <c:pt idx="0">
                  <c:v>KIEROWNIK DS. KLIENTA</c:v>
                </c:pt>
                <c:pt idx="1">
                  <c:v>KIEROWNIK PROJEKTU</c:v>
                </c:pt>
                <c:pt idx="2">
                  <c:v>KIEROWNIK DS. STRATEGII</c:v>
                </c:pt>
                <c:pt idx="3">
                  <c:v>SPECJALISTA DS. PROJEKTOWANIA</c:v>
                </c:pt>
                <c:pt idx="4">
                  <c:v>PERSONEL WYDARZENIA</c:v>
                </c:pt>
                <c:pt idx="5">
                  <c:v>PERSONEL ADMINISTRACYJNY</c:v>
                </c:pt>
              </c:strCache>
            </c:strRef>
          </c:cat>
          <c:val>
            <c:numRef>
              <c:f>'PARAMETRY PROJEKTU'!$C$17:$H$17</c:f>
              <c:numCache>
                <c:formatCode>#\ ##0.00\ "zł"</c:formatCode>
                <c:ptCount val="6"/>
                <c:pt idx="0">
                  <c:v>54360</c:v>
                </c:pt>
                <c:pt idx="1">
                  <c:v>51540</c:v>
                </c:pt>
                <c:pt idx="2">
                  <c:v>25650</c:v>
                </c:pt>
                <c:pt idx="3">
                  <c:v>28900</c:v>
                </c:pt>
                <c:pt idx="4">
                  <c:v>13400</c:v>
                </c:pt>
                <c:pt idx="5">
                  <c:v>9060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D0-4845-B60A-67B25D8A3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235542680"/>
        <c:axId val="235555352"/>
      </c:barChart>
      <c:catAx>
        <c:axId val="235542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35555352"/>
        <c:crosses val="autoZero"/>
        <c:auto val="1"/>
        <c:lblAlgn val="ctr"/>
        <c:lblOffset val="100"/>
        <c:noMultiLvlLbl val="0"/>
      </c:catAx>
      <c:valAx>
        <c:axId val="235555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.00\ &quot;zł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35542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bria"/>
              <a:ea typeface="Cambria"/>
              <a:cs typeface="Cambri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/>
                <a:ea typeface="Tahoma"/>
                <a:cs typeface="Tahoma"/>
              </a:defRPr>
            </a:pPr>
            <a:r>
              <a:rPr lang="en-US"/>
              <a:t>PLANOWANE a GODZINY RZECZYWISTE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Tahoma"/>
              <a:ea typeface="Tahoma"/>
              <a:cs typeface="Tahoma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'PARAMETRY PROJEKTU'!$B$18</c:f>
              <c:strCache>
                <c:ptCount val="1"/>
                <c:pt idx="0">
                  <c:v>GODZINY PLANOWANE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'PARAMETRY PROJEKTU'!$C$15:$H$15</c:f>
              <c:strCache>
                <c:ptCount val="6"/>
                <c:pt idx="0">
                  <c:v>KIEROWNIK DS. KLIENTA</c:v>
                </c:pt>
                <c:pt idx="1">
                  <c:v>KIEROWNIK PROJEKTU</c:v>
                </c:pt>
                <c:pt idx="2">
                  <c:v>KIEROWNIK DS. STRATEGII</c:v>
                </c:pt>
                <c:pt idx="3">
                  <c:v>SPECJALISTA DS. PROJEKTOWANIA</c:v>
                </c:pt>
                <c:pt idx="4">
                  <c:v>PERSONEL WYDARZENIA</c:v>
                </c:pt>
                <c:pt idx="5">
                  <c:v>PERSONEL ADMINISTRACYJNY</c:v>
                </c:pt>
              </c:strCache>
            </c:strRef>
          </c:cat>
          <c:val>
            <c:numRef>
              <c:f>'PARAMETRY PROJEKTU'!$C$18:$H$18</c:f>
              <c:numCache>
                <c:formatCode>#,##0.00</c:formatCode>
                <c:ptCount val="6"/>
                <c:pt idx="0">
                  <c:v>300</c:v>
                </c:pt>
                <c:pt idx="1">
                  <c:v>290</c:v>
                </c:pt>
                <c:pt idx="2">
                  <c:v>133.33333333333334</c:v>
                </c:pt>
                <c:pt idx="3">
                  <c:v>161.11111111111111</c:v>
                </c:pt>
                <c:pt idx="4">
                  <c:v>73.333333333333329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6A-44EC-9CDF-5C3EB0A17C14}"/>
            </c:ext>
          </c:extLst>
        </c:ser>
        <c:ser>
          <c:idx val="1"/>
          <c:order val="1"/>
          <c:tx>
            <c:strRef>
              <c:f>'PARAMETRY PROJEKTU'!$B$19</c:f>
              <c:strCache>
                <c:ptCount val="1"/>
                <c:pt idx="0">
                  <c:v>GODZINY RZECZYWISTE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'PARAMETRY PROJEKTU'!$C$15:$H$15</c:f>
              <c:strCache>
                <c:ptCount val="6"/>
                <c:pt idx="0">
                  <c:v>KIEROWNIK DS. KLIENTA</c:v>
                </c:pt>
                <c:pt idx="1">
                  <c:v>KIEROWNIK PROJEKTU</c:v>
                </c:pt>
                <c:pt idx="2">
                  <c:v>KIEROWNIK DS. STRATEGII</c:v>
                </c:pt>
                <c:pt idx="3">
                  <c:v>SPECJALISTA DS. PROJEKTOWANIA</c:v>
                </c:pt>
                <c:pt idx="4">
                  <c:v>PERSONEL WYDARZENIA</c:v>
                </c:pt>
                <c:pt idx="5">
                  <c:v>PERSONEL ADMINISTRACYJNY</c:v>
                </c:pt>
              </c:strCache>
            </c:strRef>
          </c:cat>
          <c:val>
            <c:numRef>
              <c:f>'PARAMETRY PROJEKTU'!$C$19:$H$19</c:f>
              <c:numCache>
                <c:formatCode>#,##0.00</c:formatCode>
                <c:ptCount val="6"/>
                <c:pt idx="0">
                  <c:v>302</c:v>
                </c:pt>
                <c:pt idx="1">
                  <c:v>286.33333333333331</c:v>
                </c:pt>
                <c:pt idx="2">
                  <c:v>142.5</c:v>
                </c:pt>
                <c:pt idx="3">
                  <c:v>160.55555555555554</c:v>
                </c:pt>
                <c:pt idx="4">
                  <c:v>74.444444444444443</c:v>
                </c:pt>
                <c:pt idx="5">
                  <c:v>50.333333333333336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6A-44EC-9CDF-5C3EB0A17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235519648"/>
        <c:axId val="235697816"/>
      </c:barChart>
      <c:catAx>
        <c:axId val="23551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35697816"/>
        <c:crosses val="autoZero"/>
        <c:auto val="1"/>
        <c:lblAlgn val="ctr"/>
        <c:lblOffset val="100"/>
        <c:noMultiLvlLbl val="0"/>
      </c:catAx>
      <c:valAx>
        <c:axId val="235697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35519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bria"/>
              <a:ea typeface="Cambria"/>
              <a:cs typeface="Cambri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180974</xdr:rowOff>
    </xdr:from>
    <xdr:to>
      <xdr:col>4</xdr:col>
      <xdr:colOff>1365225</xdr:colOff>
      <xdr:row>42</xdr:row>
      <xdr:rowOff>76200</xdr:rowOff>
    </xdr:to>
    <xdr:graphicFrame macro="">
      <xdr:nvGraphicFramePr>
        <xdr:cNvPr id="7" name="Wykres 6" descr="Wykres kolumnowy przedstawiający porównanie kosztu planowanego i rzeczywistego.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1590675</xdr:colOff>
      <xdr:row>12</xdr:row>
      <xdr:rowOff>180974</xdr:rowOff>
    </xdr:from>
    <xdr:to>
      <xdr:col>9</xdr:col>
      <xdr:colOff>3150</xdr:colOff>
      <xdr:row>42</xdr:row>
      <xdr:rowOff>76200</xdr:rowOff>
    </xdr:to>
    <xdr:graphicFrame macro="">
      <xdr:nvGraphicFramePr>
        <xdr:cNvPr id="8" name="Wykres 7" descr="Wykres kolumnowy przedstawiający porównanie czasu planowanego i rzeczywistego.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3</xdr:row>
      <xdr:rowOff>0</xdr:rowOff>
    </xdr:from>
    <xdr:to>
      <xdr:col>28</xdr:col>
      <xdr:colOff>590550</xdr:colOff>
      <xdr:row>21</xdr:row>
      <xdr:rowOff>9525</xdr:rowOff>
    </xdr:to>
    <xdr:sp macro="" textlink="">
      <xdr:nvSpPr>
        <xdr:cNvPr id="2" name="Prostokąt 1" descr="INFO:&#10;&#10;To add a row, select the bottom-right most cell in the body of the table (not the totals row) and press Tab, or press SHIFT+F10 key where you want the row inserted and select Insert | Table Rows Above/Below.&#10;&#10;Be sure all unused rows are deleted, as the PROJECT TOTALS PivotTable will use all of the tables cells, and otherwise would give erroneous results.&#10;&#10;To delete this info tip, select any edge and press Delet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991975" y="1104900"/>
          <a:ext cx="3028950" cy="34099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>
          <a:solidFill>
            <a:schemeClr val="accent2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pl" sz="1800">
              <a:solidFill>
                <a:schemeClr val="tx1">
                  <a:lumMod val="65000"/>
                  <a:lumOff val="35000"/>
                </a:schemeClr>
              </a:solidFill>
              <a:latin typeface="+mj-lt"/>
            </a:rPr>
            <a:t>INFORMACJE</a:t>
          </a:r>
        </a:p>
        <a:p>
          <a:pPr algn="l" rtl="0"/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  <a:p>
          <a:pPr algn="l" rtl="0"/>
          <a:r>
            <a:rPr lang="pl" sz="1100">
              <a:solidFill>
                <a:schemeClr val="tx1">
                  <a:lumMod val="65000"/>
                  <a:lumOff val="35000"/>
                </a:schemeClr>
              </a:solidFill>
            </a:rPr>
            <a:t>Aby dodać wiersz, zaznacz</a:t>
          </a:r>
          <a:r>
            <a:rPr lang="pl" sz="1100" baseline="0">
              <a:solidFill>
                <a:schemeClr val="tx1">
                  <a:lumMod val="65000"/>
                  <a:lumOff val="35000"/>
                </a:schemeClr>
              </a:solidFill>
            </a:rPr>
            <a:t> komórkę w prawym dolnym rogu w treści tabeli (nie w wierszu sum) i naciśnij klawisz Tab lub kliknij prawym przyciskiem myszy w miejscu, w którym chcesz wstawić wiersz, i wybierz pozycję Wstaw | Wiersze tabeli powyżej/poniżej.</a:t>
          </a:r>
        </a:p>
        <a:p>
          <a:pPr algn="l" rtl="0"/>
          <a:endParaRPr lang="en-US" sz="11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pPr algn="l" rtl="0"/>
          <a:r>
            <a:rPr lang="pl" sz="1100" baseline="0">
              <a:solidFill>
                <a:schemeClr val="tx1">
                  <a:lumMod val="65000"/>
                  <a:lumOff val="35000"/>
                </a:schemeClr>
              </a:solidFill>
            </a:rPr>
            <a:t>Pamiętaj o usunięciu wszystkich nieużywanych wierszy, ponieważ w tabeli przestawnej SUMY PROJEKTU będą używane wszystkie komórki tabeli, co w przypadku pozostawienia tych wierszy mogłoby skutkować błędnymi wynikami.</a:t>
          </a:r>
        </a:p>
        <a:p>
          <a:pPr algn="l" rtl="0"/>
          <a:endParaRPr lang="en-US" sz="11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pPr algn="l" rtl="0"/>
          <a:r>
            <a:rPr lang="pl" sz="1100" baseline="0">
              <a:solidFill>
                <a:schemeClr val="tx1">
                  <a:lumMod val="65000"/>
                  <a:lumOff val="35000"/>
                </a:schemeClr>
              </a:solidFill>
            </a:rPr>
            <a:t>Aby usunąć tę poradę informacyjną, zaznacz jej dowolną krawędź i naciśnij klawisz Delete.</a:t>
          </a:r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3</xdr:row>
      <xdr:rowOff>0</xdr:rowOff>
    </xdr:from>
    <xdr:to>
      <xdr:col>19</xdr:col>
      <xdr:colOff>590550</xdr:colOff>
      <xdr:row>16</xdr:row>
      <xdr:rowOff>76200</xdr:rowOff>
    </xdr:to>
    <xdr:sp macro="" textlink="">
      <xdr:nvSpPr>
        <xdr:cNvPr id="2" name="Prostokąt 1" descr="INFO:&#10;&#10;This PivotTable will not refresh automatically.  To refresh it, select it (any cell within the PivotTable), on the PIVOTTABLE TOOLS | ANALYZE ribbon tab select Refresh.  Or press SHIFT+F10 key in any cell in the PivotTable, and then select Refresh.&#10;&#10;To delete this info tip, select any edge and press Delete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953875" y="1066800"/>
          <a:ext cx="3028950" cy="22479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>
          <a:solidFill>
            <a:schemeClr val="accent2">
              <a:lumMod val="75000"/>
            </a:schemeClr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pl" sz="1800">
              <a:solidFill>
                <a:schemeClr val="tx1">
                  <a:lumMod val="65000"/>
                  <a:lumOff val="35000"/>
                </a:schemeClr>
              </a:solidFill>
              <a:latin typeface="+mj-lt"/>
            </a:rPr>
            <a:t>INFORMACJE</a:t>
          </a:r>
        </a:p>
        <a:p>
          <a:pPr algn="l" rtl="0"/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  <a:p>
          <a:pPr algn="l" rtl="0"/>
          <a:r>
            <a:rPr lang="pl" sz="1100">
              <a:solidFill>
                <a:schemeClr val="tx1">
                  <a:lumMod val="65000"/>
                  <a:lumOff val="35000"/>
                </a:schemeClr>
              </a:solidFill>
            </a:rPr>
            <a:t>Ta tabela przestawna nie jest odświeżana automatycznie.  Aby ją odświeżyć</a:t>
          </a:r>
          <a:r>
            <a:rPr lang="pl" sz="1100" baseline="0">
              <a:solidFill>
                <a:schemeClr val="tx1">
                  <a:lumMod val="65000"/>
                  <a:lumOff val="35000"/>
                </a:schemeClr>
              </a:solidFill>
            </a:rPr>
            <a:t>, zaznacz ją (dowolną komórkę w tej tabeli przestawnej) i na karcie wstążki NARZĘDZIA TABEL PRZESTAWNYCH | ANALIZA wybierz pozycję Odśwież.  Ewentualnie kliknij prawym przyciskiem myszy dowolną komórkę w tabeli przestawnej, a następnie wybierz pozycję Odśwież.</a:t>
          </a:r>
        </a:p>
        <a:p>
          <a:pPr algn="l" rtl="0"/>
          <a:endParaRPr lang="en-US" sz="11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pPr algn="l" rtl="0"/>
          <a:r>
            <a:rPr lang="pl" sz="1100" baseline="0">
              <a:solidFill>
                <a:schemeClr val="tx1">
                  <a:lumMod val="65000"/>
                  <a:lumOff val="35000"/>
                </a:schemeClr>
              </a:solidFill>
            </a:rPr>
            <a:t>Aby usunąć tę poradę informacyjną, zaznacz jej dowolną krawędź i naciśnij klawisz Delete.</a:t>
          </a:r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511.593841203707" createdVersion="5" refreshedVersion="6" minRefreshableVersion="3" recordCount="5" xr:uid="{00000000-000A-0000-FFFF-FFFF00000000}">
  <cacheSource type="worksheet">
    <worksheetSource name="Szczegóły_projektu"/>
  </cacheSource>
  <cacheFields count="22">
    <cacheField name="NAZWA PROJEKTU" numFmtId="0">
      <sharedItems count="5">
        <s v="Projekt 1"/>
        <s v="Projekt 2"/>
        <s v="Projekt 3"/>
        <s v="Projekt 4"/>
        <s v="Projekt 5"/>
      </sharedItems>
    </cacheField>
    <cacheField name="TYP PROJEKTU" numFmtId="0">
      <sharedItems/>
    </cacheField>
    <cacheField name="SZACOWANE ROZPOCZĘCIE" numFmtId="14">
      <sharedItems containsSemiMixedTypes="0" containsNonDate="0" containsDate="1" containsString="0" minDate="2019-06-09T00:00:00" maxDate="2023-08-12T00:00:00"/>
    </cacheField>
    <cacheField name="SZACOWANE ZAKOŃCZENIE" numFmtId="14">
      <sharedItems containsSemiMixedTypes="0" containsNonDate="0" containsDate="1" containsString="0" minDate="2019-08-07T00:00:00" maxDate="2023-08-22T00:00:00"/>
    </cacheField>
    <cacheField name="RZECZYWISTE ROZPOCZĘCIE" numFmtId="14">
      <sharedItems containsSemiMixedTypes="0" containsNonDate="0" containsDate="1" containsString="0" minDate="2019-06-29T00:00:00" maxDate="2025-08-08T00:00:00"/>
    </cacheField>
    <cacheField name="RZECZYWISTE ZAKOŃCZENIE" numFmtId="14">
      <sharedItems containsSemiMixedTypes="0" containsNonDate="0" containsDate="1" containsString="0" minDate="2019-09-03T00:00:00" maxDate="2025-10-11T00:00:00"/>
    </cacheField>
    <cacheField name="PRACA SZACOWANA" numFmtId="0">
      <sharedItems containsSemiMixedTypes="0" containsString="0" containsNumber="1" containsInteger="1" minValue="150" maxValue="500"/>
    </cacheField>
    <cacheField name="PRACA RZECZYWISTA" numFmtId="0">
      <sharedItems containsSemiMixedTypes="0" containsString="0" containsNumber="1" containsInteger="1" minValue="145" maxValue="500"/>
    </cacheField>
    <cacheField name="SZACOWANY CZAS TRWANIA" numFmtId="0">
      <sharedItems containsSemiMixedTypes="0" containsString="0" containsNumber="1" containsInteger="1" minValue="10" maxValue="67"/>
    </cacheField>
    <cacheField name="RZECZYWISTY CZAS TRWANIA" numFmtId="0">
      <sharedItems containsSemiMixedTypes="0" containsString="0" containsNumber="1" containsInteger="1" minValue="11" maxValue="400"/>
    </cacheField>
    <cacheField name="KIEROWNIK DS. KLIENTA" numFmtId="166">
      <sharedItems containsSemiMixedTypes="0" containsString="0" containsNumber="1" containsInteger="1" minValue="5400" maxValue="18000"/>
    </cacheField>
    <cacheField name="KIEROWNIK PROJEKTU" numFmtId="166">
      <sharedItems containsSemiMixedTypes="0" containsString="0" containsNumber="1" containsInteger="1" minValue="2400" maxValue="24000"/>
    </cacheField>
    <cacheField name="KIEROWNIK DS. STRATEGII" numFmtId="166">
      <sharedItems containsSemiMixedTypes="0" containsString="0" containsNumber="1" containsInteger="1" minValue="0" maxValue="18000"/>
    </cacheField>
    <cacheField name="SPECJALISTA DS. PROJEKTOWANIA" numFmtId="166">
      <sharedItems containsSemiMixedTypes="0" containsString="0" containsNumber="1" containsInteger="1" minValue="0" maxValue="25000"/>
    </cacheField>
    <cacheField name="PERSONEL WYDARZENIA" numFmtId="166">
      <sharedItems containsSemiMixedTypes="0" containsString="0" containsNumber="1" containsInteger="1" minValue="0" maxValue="12000"/>
    </cacheField>
    <cacheField name="PERSONEL ADMINISTRACYJNY" numFmtId="166">
      <sharedItems containsSemiMixedTypes="0" containsString="0" containsNumber="1" containsInteger="1" minValue="900" maxValue="3000"/>
    </cacheField>
    <cacheField name="KIEROWNIK DS. KLIENTA " numFmtId="166">
      <sharedItems containsSemiMixedTypes="0" containsString="0" containsNumber="1" containsInteger="1" minValue="5220" maxValue="18000"/>
    </cacheField>
    <cacheField name="KIEROWNIK PROJEKTU " numFmtId="166">
      <sharedItems containsSemiMixedTypes="0" containsString="0" containsNumber="1" containsInteger="1" minValue="2640" maxValue="23400"/>
    </cacheField>
    <cacheField name="KIEROWNIK DS. STRATEGII " numFmtId="166">
      <sharedItems containsSemiMixedTypes="0" containsString="0" containsNumber="1" containsInteger="1" minValue="0" maxValue="19800"/>
    </cacheField>
    <cacheField name="SPECJALISTA DS. PROJEKTOWANIA " numFmtId="166">
      <sharedItems containsSemiMixedTypes="0" containsString="0" containsNumber="1" containsInteger="1" minValue="0" maxValue="25000"/>
    </cacheField>
    <cacheField name="PERSONEL WYDARZENIA " numFmtId="166">
      <sharedItems containsSemiMixedTypes="0" containsString="0" containsNumber="1" containsInteger="1" minValue="0" maxValue="12240"/>
    </cacheField>
    <cacheField name="PERSONEL ADMINISTRACYJNY " numFmtId="166">
      <sharedItems containsSemiMixedTypes="0" containsString="0" containsNumber="1" containsInteger="1" minValue="870" maxValue="3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s v="Opracowanie strategii wydarzenia"/>
    <d v="2019-06-09T00:00:00"/>
    <d v="2019-08-07T00:00:00"/>
    <d v="2019-06-29T00:00:00"/>
    <d v="2019-09-03T00:00:00"/>
    <n v="200"/>
    <n v="220"/>
    <n v="58"/>
    <n v="64"/>
    <n v="7200"/>
    <n v="2400"/>
    <n v="18000"/>
    <n v="0"/>
    <n v="0"/>
    <n v="1200"/>
    <n v="7920"/>
    <n v="2640"/>
    <n v="19800"/>
    <n v="0"/>
    <n v="0"/>
    <n v="1320"/>
  </r>
  <r>
    <x v="1"/>
    <s v="Planowanie wydarzenia"/>
    <d v="2020-06-25T00:00:00"/>
    <d v="2020-07-27T00:00:00"/>
    <d v="2019-07-15T00:00:00"/>
    <d v="2020-08-25T00:00:00"/>
    <n v="400"/>
    <n v="390"/>
    <n v="32"/>
    <n v="400"/>
    <n v="14400"/>
    <n v="24000"/>
    <n v="6000"/>
    <n v="4000"/>
    <n v="0"/>
    <n v="2400"/>
    <n v="14040"/>
    <n v="23400"/>
    <n v="5850"/>
    <n v="3900"/>
    <n v="0"/>
    <n v="2340"/>
  </r>
  <r>
    <x v="2"/>
    <s v="Projektowanie wydarzenia"/>
    <d v="2021-07-12T00:00:00"/>
    <d v="2021-09-19T00:00:00"/>
    <d v="2025-08-07T00:00:00"/>
    <d v="2025-10-10T00:00:00"/>
    <n v="500"/>
    <n v="500"/>
    <n v="67"/>
    <n v="63"/>
    <n v="18000"/>
    <n v="12000"/>
    <n v="0"/>
    <n v="25000"/>
    <n v="0"/>
    <n v="3000"/>
    <n v="18000"/>
    <n v="12000"/>
    <n v="0"/>
    <n v="25000"/>
    <n v="0"/>
    <n v="3000"/>
  </r>
  <r>
    <x v="3"/>
    <s v="Logistyka wydarzenia"/>
    <d v="2022-07-30T00:00:00"/>
    <d v="2022-09-28T00:00:00"/>
    <d v="2022-09-14T00:00:00"/>
    <d v="2022-11-13T00:00:00"/>
    <n v="150"/>
    <n v="145"/>
    <n v="58"/>
    <n v="59"/>
    <n v="5400"/>
    <n v="10800"/>
    <n v="0"/>
    <n v="0"/>
    <n v="1200"/>
    <n v="900"/>
    <n v="5220"/>
    <n v="10440"/>
    <n v="0"/>
    <n v="0"/>
    <n v="1160"/>
    <n v="870"/>
  </r>
  <r>
    <x v="4"/>
    <s v="Obsadzanie wydarzenia"/>
    <d v="2023-08-11T00:00:00"/>
    <d v="2023-08-21T00:00:00"/>
    <d v="2023-09-14T00:00:00"/>
    <d v="2023-09-25T00:00:00"/>
    <n v="250"/>
    <n v="255"/>
    <n v="10"/>
    <n v="11"/>
    <n v="9000"/>
    <n v="3000"/>
    <n v="0"/>
    <n v="0"/>
    <n v="12000"/>
    <n v="1500"/>
    <n v="9180"/>
    <n v="3060"/>
    <n v="0"/>
    <n v="0"/>
    <n v="12240"/>
    <n v="15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Sumy" cacheId="17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compact="0" compactData="0" multipleFieldFilters="0" chartFormat="4">
  <location ref="B4:N10" firstHeaderRow="0" firstDataRow="1" firstDataCol="1"/>
  <pivotFields count="22">
    <pivotField axis="axisRow" compact="0" outline="0" showAll="0">
      <items count="6">
        <item x="0"/>
        <item x="1"/>
        <item x="2"/>
        <item x="3"/>
        <item x="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numFmtId="166" outline="0" showAll="0"/>
    <pivotField dataField="1" compact="0" numFmtId="166" outline="0" showAll="0"/>
    <pivotField dataField="1" compact="0" numFmtId="166" outline="0" showAll="0"/>
    <pivotField dataField="1" compact="0" numFmtId="166" outline="0" showAll="0"/>
    <pivotField dataField="1" compact="0" numFmtId="166" outline="0" showAll="0"/>
    <pivotField dataField="1" compact="0" numFmtId="166" outline="0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KIEROWNIK DS. KLIENTA: SZACOWANE" fld="10" baseField="0" baseItem="1" numFmtId="167"/>
    <dataField name="KIEROWNIK PROJEKTU: SZACOWANE" fld="11" baseField="0" baseItem="1" numFmtId="167"/>
    <dataField name="KIEROWNIK DS. STRATEGII: SZACOWANE" fld="12" baseField="0" baseItem="1" numFmtId="167"/>
    <dataField name="SPECJALISTA DS. PROJEKTOWANIA: SZACOWANE" fld="13" baseField="0" baseItem="1" numFmtId="167"/>
    <dataField name="PERSONEL WYDARZENIA: SZACOWANE" fld="14" baseField="0" baseItem="1" numFmtId="167"/>
    <dataField name="PERSONEL ADMINISTRACYJNY: SZACOWANE" fld="15" baseField="0" baseItem="1" numFmtId="167"/>
    <dataField name="KIEROWNIK DS. KLIENTA: RZECZYWISTE" fld="16" baseField="0" baseItem="1" numFmtId="167"/>
    <dataField name="KIEROWNIK PROJEKTU: RZECZYWISTE" fld="17" baseField="0" baseItem="1" numFmtId="167"/>
    <dataField name="KIEROWNIK DS. STRATEGII: RZECZYWISTE" fld="18" baseField="0" baseItem="1" numFmtId="167"/>
    <dataField name="SPECJALISTA DS. PROJEKTOWANIA: RZECZYWISTE" fld="19" baseField="0" baseItem="1" numFmtId="167"/>
    <dataField name="PERSONEL WYDARZENIA: RZECZYWISTE" fld="20" baseField="0" baseItem="1" numFmtId="167"/>
    <dataField name="PERSONEL ADMINISTRACYJNY: RZECZYWISTE" fld="21" baseField="0" baseItem="1" numFmtId="167"/>
  </dataFields>
  <formats count="50">
    <format dxfId="14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48">
      <pivotArea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format>
    <format dxfId="147">
      <pivotArea outline="0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format>
    <format dxfId="146">
      <pivotArea outline="0" fieldPosition="0">
        <references count="2">
          <reference field="4294967294" count="1" selected="0">
            <x v="2"/>
          </reference>
          <reference field="0" count="1" selected="0">
            <x v="0"/>
          </reference>
        </references>
      </pivotArea>
    </format>
    <format dxfId="145">
      <pivotArea outline="0" fieldPosition="0">
        <references count="2">
          <reference field="4294967294" count="1" selected="0">
            <x v="3"/>
          </reference>
          <reference field="0" count="1" selected="0">
            <x v="0"/>
          </reference>
        </references>
      </pivotArea>
    </format>
    <format dxfId="144">
      <pivotArea outline="0" fieldPosition="0">
        <references count="2">
          <reference field="4294967294" count="1" selected="0">
            <x v="4"/>
          </reference>
          <reference field="0" count="1" selected="0">
            <x v="0"/>
          </reference>
        </references>
      </pivotArea>
    </format>
    <format dxfId="143">
      <pivotArea outline="0" fieldPosition="0">
        <references count="2">
          <reference field="4294967294" count="1" selected="0">
            <x v="5"/>
          </reference>
          <reference field="0" count="1" selected="0">
            <x v="0"/>
          </reference>
        </references>
      </pivotArea>
    </format>
    <format dxfId="142">
      <pivotArea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format>
    <format dxfId="141">
      <pivotArea outline="0" fieldPosition="0">
        <references count="2">
          <reference field="4294967294" count="1" selected="0">
            <x v="1"/>
          </reference>
          <reference field="0" count="1" selected="0">
            <x v="1"/>
          </reference>
        </references>
      </pivotArea>
    </format>
    <format dxfId="140">
      <pivotArea outline="0" fieldPosition="0">
        <references count="2">
          <reference field="4294967294" count="1" selected="0">
            <x v="2"/>
          </reference>
          <reference field="0" count="1" selected="0">
            <x v="1"/>
          </reference>
        </references>
      </pivotArea>
    </format>
    <format dxfId="139">
      <pivotArea outline="0" fieldPosition="0">
        <references count="2">
          <reference field="4294967294" count="1" selected="0">
            <x v="3"/>
          </reference>
          <reference field="0" count="1" selected="0">
            <x v="1"/>
          </reference>
        </references>
      </pivotArea>
    </format>
    <format dxfId="138">
      <pivotArea outline="0" fieldPosition="0">
        <references count="2">
          <reference field="4294967294" count="1" selected="0">
            <x v="4"/>
          </reference>
          <reference field="0" count="1" selected="0">
            <x v="1"/>
          </reference>
        </references>
      </pivotArea>
    </format>
    <format dxfId="137">
      <pivotArea outline="0" fieldPosition="0">
        <references count="2">
          <reference field="4294967294" count="1" selected="0">
            <x v="5"/>
          </reference>
          <reference field="0" count="1" selected="0">
            <x v="1"/>
          </reference>
        </references>
      </pivotArea>
    </format>
    <format dxfId="136">
      <pivotArea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format>
    <format dxfId="135">
      <pivotArea outline="0" fieldPosition="0">
        <references count="2">
          <reference field="4294967294" count="1" selected="0">
            <x v="1"/>
          </reference>
          <reference field="0" count="1" selected="0">
            <x v="2"/>
          </reference>
        </references>
      </pivotArea>
    </format>
    <format dxfId="134">
      <pivotArea outline="0" fieldPosition="0">
        <references count="2">
          <reference field="4294967294" count="1" selected="0">
            <x v="2"/>
          </reference>
          <reference field="0" count="1" selected="0">
            <x v="2"/>
          </reference>
        </references>
      </pivotArea>
    </format>
    <format dxfId="133">
      <pivotArea outline="0" fieldPosition="0">
        <references count="2">
          <reference field="4294967294" count="1" selected="0">
            <x v="3"/>
          </reference>
          <reference field="0" count="1" selected="0">
            <x v="2"/>
          </reference>
        </references>
      </pivotArea>
    </format>
    <format dxfId="132">
      <pivotArea outline="0" fieldPosition="0">
        <references count="2">
          <reference field="4294967294" count="1" selected="0">
            <x v="4"/>
          </reference>
          <reference field="0" count="1" selected="0">
            <x v="2"/>
          </reference>
        </references>
      </pivotArea>
    </format>
    <format dxfId="131">
      <pivotArea outline="0" fieldPosition="0">
        <references count="2">
          <reference field="4294967294" count="1" selected="0">
            <x v="5"/>
          </reference>
          <reference field="0" count="1" selected="0">
            <x v="2"/>
          </reference>
        </references>
      </pivotArea>
    </format>
    <format dxfId="130">
      <pivotArea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format>
    <format dxfId="129">
      <pivotArea outline="0" fieldPosition="0">
        <references count="2">
          <reference field="4294967294" count="1" selected="0">
            <x v="1"/>
          </reference>
          <reference field="0" count="1" selected="0">
            <x v="3"/>
          </reference>
        </references>
      </pivotArea>
    </format>
    <format dxfId="128">
      <pivotArea outline="0" fieldPosition="0">
        <references count="2">
          <reference field="4294967294" count="1" selected="0">
            <x v="2"/>
          </reference>
          <reference field="0" count="1" selected="0">
            <x v="3"/>
          </reference>
        </references>
      </pivotArea>
    </format>
    <format dxfId="127">
      <pivotArea outline="0" fieldPosition="0">
        <references count="2">
          <reference field="4294967294" count="1" selected="0">
            <x v="3"/>
          </reference>
          <reference field="0" count="1" selected="0">
            <x v="3"/>
          </reference>
        </references>
      </pivotArea>
    </format>
    <format dxfId="126">
      <pivotArea outline="0" fieldPosition="0">
        <references count="2">
          <reference field="4294967294" count="1" selected="0">
            <x v="4"/>
          </reference>
          <reference field="0" count="1" selected="0">
            <x v="3"/>
          </reference>
        </references>
      </pivotArea>
    </format>
    <format dxfId="125">
      <pivotArea outline="0" fieldPosition="0">
        <references count="2">
          <reference field="4294967294" count="1" selected="0">
            <x v="5"/>
          </reference>
          <reference field="0" count="1" selected="0">
            <x v="3"/>
          </reference>
        </references>
      </pivotArea>
    </format>
    <format dxfId="124">
      <pivotArea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format>
    <format dxfId="123">
      <pivotArea outline="0" fieldPosition="0">
        <references count="2">
          <reference field="4294967294" count="1" selected="0">
            <x v="1"/>
          </reference>
          <reference field="0" count="1" selected="0">
            <x v="4"/>
          </reference>
        </references>
      </pivotArea>
    </format>
    <format dxfId="122">
      <pivotArea outline="0" fieldPosition="0">
        <references count="2">
          <reference field="4294967294" count="1" selected="0">
            <x v="2"/>
          </reference>
          <reference field="0" count="1" selected="0">
            <x v="4"/>
          </reference>
        </references>
      </pivotArea>
    </format>
    <format dxfId="121">
      <pivotArea outline="0" fieldPosition="0">
        <references count="2">
          <reference field="4294967294" count="1" selected="0">
            <x v="3"/>
          </reference>
          <reference field="0" count="1" selected="0">
            <x v="4"/>
          </reference>
        </references>
      </pivotArea>
    </format>
    <format dxfId="120">
      <pivotArea outline="0" fieldPosition="0">
        <references count="2">
          <reference field="4294967294" count="1" selected="0">
            <x v="4"/>
          </reference>
          <reference field="0" count="1" selected="0">
            <x v="4"/>
          </reference>
        </references>
      </pivotArea>
    </format>
    <format dxfId="119">
      <pivotArea outline="0" fieldPosition="0">
        <references count="2">
          <reference field="4294967294" count="1" selected="0">
            <x v="5"/>
          </reference>
          <reference field="0" count="1" selected="0">
            <x v="4"/>
          </reference>
        </references>
      </pivotArea>
    </format>
    <format dxfId="118">
      <pivotArea field="0" grandRow="1" outline="0" axis="axisRow" fieldPosition="0">
        <references count="1">
          <reference field="4294967294" count="1" selected="0">
            <x v="0"/>
          </reference>
        </references>
      </pivotArea>
    </format>
    <format dxfId="117">
      <pivotArea field="0" grandRow="1" outline="0" axis="axisRow" fieldPosition="0">
        <references count="1">
          <reference field="4294967294" count="1" selected="0">
            <x v="1"/>
          </reference>
        </references>
      </pivotArea>
    </format>
    <format dxfId="116">
      <pivotArea field="0" grandRow="1" outline="0" axis="axisRow" fieldPosition="0">
        <references count="1">
          <reference field="4294967294" count="1" selected="0">
            <x v="2"/>
          </reference>
        </references>
      </pivotArea>
    </format>
    <format dxfId="115">
      <pivotArea field="0" grandRow="1" outline="0" axis="axisRow" fieldPosition="0">
        <references count="1">
          <reference field="4294967294" count="1" selected="0">
            <x v="3"/>
          </reference>
        </references>
      </pivotArea>
    </format>
    <format dxfId="114">
      <pivotArea field="0" grandRow="1" outline="0" axis="axisRow" fieldPosition="0">
        <references count="1">
          <reference field="4294967294" count="1" selected="0">
            <x v="4"/>
          </reference>
        </references>
      </pivotArea>
    </format>
    <format dxfId="113">
      <pivotArea field="0" grandRow="1" outline="0" axis="axisRow" fieldPosition="0">
        <references count="1">
          <reference field="4294967294" count="1" selected="0">
            <x v="5"/>
          </reference>
        </references>
      </pivotArea>
    </format>
    <format dxfId="112">
      <pivotArea outline="0" fieldPosition="0">
        <references count="1">
          <reference field="4294967294" count="1">
            <x v="0"/>
          </reference>
        </references>
      </pivotArea>
    </format>
    <format dxfId="111">
      <pivotArea outline="0" fieldPosition="0">
        <references count="1">
          <reference field="4294967294" count="1">
            <x v="1"/>
          </reference>
        </references>
      </pivotArea>
    </format>
    <format dxfId="110">
      <pivotArea outline="0" fieldPosition="0">
        <references count="1">
          <reference field="4294967294" count="1">
            <x v="2"/>
          </reference>
        </references>
      </pivotArea>
    </format>
    <format dxfId="109">
      <pivotArea outline="0" fieldPosition="0">
        <references count="1">
          <reference field="4294967294" count="1">
            <x v="3"/>
          </reference>
        </references>
      </pivotArea>
    </format>
    <format dxfId="108">
      <pivotArea outline="0" fieldPosition="0">
        <references count="1">
          <reference field="4294967294" count="1">
            <x v="4"/>
          </reference>
        </references>
      </pivotArea>
    </format>
    <format dxfId="107">
      <pivotArea outline="0" fieldPosition="0">
        <references count="1">
          <reference field="4294967294" count="1">
            <x v="5"/>
          </reference>
        </references>
      </pivotArea>
    </format>
    <format dxfId="106">
      <pivotArea outline="0" fieldPosition="0">
        <references count="1">
          <reference field="4294967294" count="1">
            <x v="6"/>
          </reference>
        </references>
      </pivotArea>
    </format>
    <format dxfId="105">
      <pivotArea outline="0" fieldPosition="0">
        <references count="1">
          <reference field="4294967294" count="1">
            <x v="7"/>
          </reference>
        </references>
      </pivotArea>
    </format>
    <format dxfId="104">
      <pivotArea outline="0" fieldPosition="0">
        <references count="1">
          <reference field="4294967294" count="1">
            <x v="8"/>
          </reference>
        </references>
      </pivotArea>
    </format>
    <format dxfId="103">
      <pivotArea outline="0" fieldPosition="0">
        <references count="1">
          <reference field="4294967294" count="1">
            <x v="9"/>
          </reference>
        </references>
      </pivotArea>
    </format>
    <format dxfId="102">
      <pivotArea outline="0" fieldPosition="0">
        <references count="1">
          <reference field="4294967294" count="1">
            <x v="10"/>
          </reference>
        </references>
      </pivotArea>
    </format>
    <format dxfId="101">
      <pivotArea outline="0" fieldPosition="0">
        <references count="1">
          <reference field="4294967294" count="1">
            <x v="11"/>
          </reference>
        </references>
      </pivotArea>
    </format>
    <format dxfId="100">
      <pivotArea dataOnly="0" labelOnly="1" outline="0" fieldPosition="0">
        <references count="1">
          <reference field="4294967294" count="6">
            <x v="6"/>
            <x v="7"/>
            <x v="8"/>
            <x v="9"/>
            <x v="10"/>
            <x v="11"/>
          </reference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W tej tabeli przestawnej wymieniono nazwy projektów i obliczone wartości dla wszystkich pozycji w arkuszu PARAMETRY PROJEKTU, obliczone przez pomnożenie czasu trwania projektu w arkuszu SZCZEGÓŁY PROJEKTU.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arametry" displayName="Parametry" ref="B5:I11" headerRowDxfId="208" dataDxfId="207">
  <autoFilter ref="B5:I11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000-000001000000}" name="TYP PROJEKTU" totalsRowLabel="Suma" dataDxfId="206" totalsRowDxfId="205"/>
    <tableColumn id="2" xr3:uid="{00000000-0010-0000-0000-000002000000}" name="KIEROWNIK DS. KLIENTA" dataDxfId="204" totalsRowDxfId="203"/>
    <tableColumn id="3" xr3:uid="{00000000-0010-0000-0000-000003000000}" name="KIEROWNIK PROJEKTU" dataDxfId="202" totalsRowDxfId="201"/>
    <tableColumn id="4" xr3:uid="{00000000-0010-0000-0000-000004000000}" name="KIEROWNIK DS. STRATEGII" dataDxfId="200" totalsRowDxfId="199"/>
    <tableColumn id="5" xr3:uid="{00000000-0010-0000-0000-000005000000}" name="SPECJALISTA DS. PROJEKTOWANIA" dataDxfId="198" totalsRowDxfId="197"/>
    <tableColumn id="6" xr3:uid="{00000000-0010-0000-0000-000006000000}" name="PERSONEL WYDARZENIA" dataDxfId="196" totalsRowDxfId="195"/>
    <tableColumn id="7" xr3:uid="{00000000-0010-0000-0000-000007000000}" name="PERSONEL ADMINISTRACYJNY" dataDxfId="194" totalsRowDxfId="193"/>
    <tableColumn id="8" xr3:uid="{00000000-0010-0000-0000-000008000000}" name="Suma" totalsRowFunction="sum" dataDxfId="192" totalsRowDxfId="191">
      <calculatedColumnFormula>SUM(Parametry[[#This Row],[KIEROWNIK DS. KLIENTA]:[PERSONEL ADMINISTRACYJNY]])</calculatedColumnFormula>
    </tableColumn>
  </tableColumns>
  <tableStyleInfo name="TableStyleLight11" showFirstColumn="0" showLastColumn="0" showRowStripes="1" showColumnStripes="0"/>
  <extLst>
    <ext xmlns:x14="http://schemas.microsoft.com/office/spreadsheetml/2009/9/main" uri="{504A1905-F514-4f6f-8877-14C23A59335A}">
      <x14:table altTextSummary="Wprowadź typ projektu, wartości procentowe dla kierownika projektu, kierownika projektu, kierownika ds. strategii, specjalisty ds. projektowania, pracowników obsługi eventu i personelu administracyjnego. Suma jest obliczana automatyczni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Szczegóły_projektu" displayName="Szczegóły_projektu" ref="B4:W10" totalsRowCount="1" headerRowDxfId="190">
  <tableColumns count="22">
    <tableColumn id="1" xr3:uid="{00000000-0010-0000-0100-000001000000}" name="NAZWA PROJEKTU" totalsRowLabel="SUMA" totalsRowDxfId="189"/>
    <tableColumn id="2" xr3:uid="{00000000-0010-0000-0100-000002000000}" name="TYP PROJEKTU" totalsRowDxfId="188"/>
    <tableColumn id="3" xr3:uid="{00000000-0010-0000-0100-000003000000}" name="SZACOWANE ROZPOCZĘCIE" dataDxfId="187" totalsRowDxfId="186"/>
    <tableColumn id="4" xr3:uid="{00000000-0010-0000-0100-000004000000}" name="SZACOWANE ZAKOŃCZENIE" dataDxfId="185" totalsRowDxfId="184"/>
    <tableColumn id="7" xr3:uid="{00000000-0010-0000-0100-000007000000}" name="RZECZYWISTE ROZPOCZĘCIE" dataDxfId="183" totalsRowDxfId="182"/>
    <tableColumn id="8" xr3:uid="{00000000-0010-0000-0100-000008000000}" name="RZECZYWISTE ZAKOŃCZENIE" dataDxfId="181" totalsRowDxfId="180"/>
    <tableColumn id="5" xr3:uid="{00000000-0010-0000-0100-000005000000}" name="PRACA SZACOWANA" totalsRowFunction="sum" totalsRowDxfId="179"/>
    <tableColumn id="9" xr3:uid="{00000000-0010-0000-0100-000009000000}" name="PRACA RZECZYWISTA" totalsRowFunction="sum" totalsRowDxfId="178"/>
    <tableColumn id="6" xr3:uid="{00000000-0010-0000-0100-000006000000}" name="SZACOWANY CZAS TRWANIA" totalsRowFunction="sum" dataDxfId="177" totalsRowDxfId="176">
      <calculatedColumnFormula>DAYS360(Szczegóły_projektu[[#This Row],[SZACOWANE ROZPOCZĘCIE]],Szczegóły_projektu[[#This Row],[SZACOWANE ZAKOŃCZENIE]],FALSE)</calculatedColumnFormula>
    </tableColumn>
    <tableColumn id="10" xr3:uid="{00000000-0010-0000-0100-00000A000000}" name="RZECZYWISTY CZAS TRWANIA" totalsRowFunction="sum" dataDxfId="175" totalsRowDxfId="174">
      <calculatedColumnFormula>DAYS360(Szczegóły_projektu[[#This Row],[RZECZYWISTE ROZPOCZĘCIE]],Szczegóły_projektu[[#This Row],[RZECZYWISTE ZAKOŃCZENIE]],FALSE)</calculatedColumnFormula>
    </tableColumn>
    <tableColumn id="11" xr3:uid="{00000000-0010-0000-0100-00000B000000}" name="KIEROWNIK DS. KLIENTA" dataDxfId="173" totalsRowDxfId="172">
      <calculatedColumnFormula>INDEX(Parametry[],MATCH(Szczegóły_projektu[[#This Row],[TYP PROJEKTU]],Parametry[TYP PROJEKTU],0),MATCH(Szczegóły_projektu[[#Headers],[KIEROWNIK DS. KLIENTA]],Parametry[#Headers],0))*INDEX('PARAMETRY PROJEKTU'!$B$12:$H$12,1,MATCH(Szczegóły_projektu[[#Headers],[KIEROWNIK DS. KLIENTA]],Parametry[#Headers],0))*Szczegóły_projektu[[#This Row],[PRACA SZACOWANA]]</calculatedColumnFormula>
    </tableColumn>
    <tableColumn id="12" xr3:uid="{00000000-0010-0000-0100-00000C000000}" name="KIEROWNIK PROJEKTU" dataDxfId="171" totalsRowDxfId="170">
      <calculatedColumnFormula>INDEX(Parametry[],MATCH(Szczegóły_projektu[[#This Row],[TYP PROJEKTU]],Parametry[TYP PROJEKTU],0),MATCH(Szczegóły_projektu[[#Headers],[KIEROWNIK PROJEKTU]],Parametry[#Headers],0))*INDEX('PARAMETRY PROJEKTU'!$B$12:$H$12,1,MATCH(Szczegóły_projektu[[#Headers],[KIEROWNIK PROJEKTU]],Parametry[#Headers],0))*Szczegóły_projektu[[#This Row],[PRACA SZACOWANA]]</calculatedColumnFormula>
    </tableColumn>
    <tableColumn id="13" xr3:uid="{00000000-0010-0000-0100-00000D000000}" name="KIEROWNIK DS. STRATEGII" dataDxfId="169" totalsRowDxfId="168">
      <calculatedColumnFormula>INDEX(Parametry[],MATCH(Szczegóły_projektu[[#This Row],[TYP PROJEKTU]],Parametry[TYP PROJEKTU],0),MATCH(Szczegóły_projektu[[#Headers],[KIEROWNIK DS. STRATEGII]],Parametry[#Headers],0))*INDEX('PARAMETRY PROJEKTU'!$B$12:$H$12,1,MATCH(Szczegóły_projektu[[#Headers],[KIEROWNIK DS. STRATEGII]],Parametry[#Headers],0))*Szczegóły_projektu[[#This Row],[PRACA SZACOWANA]]</calculatedColumnFormula>
    </tableColumn>
    <tableColumn id="14" xr3:uid="{00000000-0010-0000-0100-00000E000000}" name="SPECJALISTA DS. PROJEKTOWANIA" dataDxfId="167" totalsRowDxfId="166">
      <calculatedColumnFormula>INDEX(Parametry[],MATCH(Szczegóły_projektu[[#This Row],[TYP PROJEKTU]],Parametry[TYP PROJEKTU],0),MATCH(Szczegóły_projektu[[#Headers],[SPECJALISTA DS. PROJEKTOWANIA]],Parametry[#Headers],0))*INDEX('PARAMETRY PROJEKTU'!$B$12:$H$12,1,MATCH(Szczegóły_projektu[[#Headers],[SPECJALISTA DS. PROJEKTOWANIA]],Parametry[#Headers],0))*Szczegóły_projektu[[#This Row],[PRACA SZACOWANA]]</calculatedColumnFormula>
    </tableColumn>
    <tableColumn id="15" xr3:uid="{00000000-0010-0000-0100-00000F000000}" name="PERSONEL WYDARZENIA" dataDxfId="165" totalsRowDxfId="164">
      <calculatedColumnFormula>INDEX(Parametry[],MATCH(Szczegóły_projektu[[#This Row],[TYP PROJEKTU]],Parametry[TYP PROJEKTU],0),MATCH(Szczegóły_projektu[[#Headers],[PERSONEL WYDARZENIA]],Parametry[#Headers],0))*INDEX('PARAMETRY PROJEKTU'!$B$12:$H$12,1,MATCH(Szczegóły_projektu[[#Headers],[PERSONEL WYDARZENIA]],Parametry[#Headers],0))*Szczegóły_projektu[[#This Row],[PRACA SZACOWANA]]</calculatedColumnFormula>
    </tableColumn>
    <tableColumn id="16" xr3:uid="{00000000-0010-0000-0100-000010000000}" name="PERSONEL ADMINISTRACYJNY" dataDxfId="163" totalsRowDxfId="162">
      <calculatedColumnFormula>INDEX(Parametry[],MATCH(Szczegóły_projektu[[#This Row],[TYP PROJEKTU]],Parametry[TYP PROJEKTU],0),MATCH(Szczegóły_projektu[[#Headers],[PERSONEL ADMINISTRACYJNY]],Parametry[#Headers],0))*INDEX('PARAMETRY PROJEKTU'!$B$12:$H$12,1,MATCH(Szczegóły_projektu[[#Headers],[PERSONEL ADMINISTRACYJNY]],Parametry[#Headers],0))*Szczegóły_projektu[[#This Row],[PRACA SZACOWANA]]</calculatedColumnFormula>
    </tableColumn>
    <tableColumn id="17" xr3:uid="{00000000-0010-0000-0100-000011000000}" name="KIEROWNIK DS. KLIENTA " dataDxfId="161" totalsRowDxfId="160">
      <calculatedColumnFormula>INDEX(Parametry[],MATCH(Szczegóły_projektu[[#This Row],[TYP PROJEKTU]],Parametry[TYP PROJEKTU],0),MATCH(Szczegóły_projektu[[#Headers],[KIEROWNIK DS. KLIENTA]],Parametry[#Headers],0))*INDEX('PARAMETRY PROJEKTU'!$B$12:$H$12,1,MATCH(Szczegóły_projektu[[#Headers],[KIEROWNIK DS. KLIENTA]],Parametry[#Headers],0))*Szczegóły_projektu[[#This Row],[PRACA RZECZYWISTA]]</calculatedColumnFormula>
    </tableColumn>
    <tableColumn id="18" xr3:uid="{00000000-0010-0000-0100-000012000000}" name="KIEROWNIK PROJEKTU " dataDxfId="159" totalsRowDxfId="158">
      <calculatedColumnFormula>INDEX(Parametry[],MATCH(Szczegóły_projektu[[#This Row],[TYP PROJEKTU]],Parametry[TYP PROJEKTU],0),MATCH(Szczegóły_projektu[[#Headers],[KIEROWNIK PROJEKTU]],Parametry[#Headers],0))*INDEX('PARAMETRY PROJEKTU'!$B$12:$H$12,1,MATCH(Szczegóły_projektu[[#Headers],[KIEROWNIK PROJEKTU]],Parametry[#Headers],0))*Szczegóły_projektu[[#This Row],[PRACA RZECZYWISTA]]</calculatedColumnFormula>
    </tableColumn>
    <tableColumn id="19" xr3:uid="{00000000-0010-0000-0100-000013000000}" name="KIEROWNIK DS. STRATEGII " dataDxfId="157" totalsRowDxfId="156">
      <calculatedColumnFormula>INDEX(Parametry[],MATCH(Szczegóły_projektu[[#This Row],[TYP PROJEKTU]],Parametry[TYP PROJEKTU],0),MATCH(Szczegóły_projektu[[#Headers],[KIEROWNIK DS. STRATEGII]],Parametry[#Headers],0))*INDEX('PARAMETRY PROJEKTU'!$B$12:$H$12,1,MATCH(Szczegóły_projektu[[#Headers],[KIEROWNIK DS. STRATEGII]],Parametry[#Headers],0))*Szczegóły_projektu[[#This Row],[PRACA RZECZYWISTA]]</calculatedColumnFormula>
    </tableColumn>
    <tableColumn id="20" xr3:uid="{00000000-0010-0000-0100-000014000000}" name="SPECJALISTA DS. PROJEKTOWANIA " dataDxfId="155" totalsRowDxfId="154">
      <calculatedColumnFormula>INDEX(Parametry[],MATCH(Szczegóły_projektu[[#This Row],[TYP PROJEKTU]],Parametry[TYP PROJEKTU],0),MATCH(Szczegóły_projektu[[#Headers],[SPECJALISTA DS. PROJEKTOWANIA]],Parametry[#Headers],0))*INDEX('PARAMETRY PROJEKTU'!$B$12:$H$12,1,MATCH(Szczegóły_projektu[[#Headers],[SPECJALISTA DS. PROJEKTOWANIA]],Parametry[#Headers],0))*Szczegóły_projektu[[#This Row],[PRACA RZECZYWISTA]]</calculatedColumnFormula>
    </tableColumn>
    <tableColumn id="21" xr3:uid="{00000000-0010-0000-0100-000015000000}" name="PERSONEL WYDARZENIA " dataDxfId="153" totalsRowDxfId="152">
      <calculatedColumnFormula>INDEX(Parametry[],MATCH(Szczegóły_projektu[[#This Row],[TYP PROJEKTU]],Parametry[TYP PROJEKTU],0),MATCH(Szczegóły_projektu[[#Headers],[PERSONEL WYDARZENIA]],Parametry[#Headers],0))*INDEX('PARAMETRY PROJEKTU'!$B$12:$H$12,1,MATCH(Szczegóły_projektu[[#Headers],[PERSONEL WYDARZENIA]],Parametry[#Headers],0))*Szczegóły_projektu[[#This Row],[PRACA RZECZYWISTA]]</calculatedColumnFormula>
    </tableColumn>
    <tableColumn id="22" xr3:uid="{00000000-0010-0000-0100-000016000000}" name="PERSONEL ADMINISTRACYJNY " dataDxfId="151" totalsRowDxfId="150">
      <calculatedColumnFormula>INDEX(Parametry[],MATCH(Szczegóły_projektu[[#This Row],[TYP PROJEKTU]],Parametry[TYP PROJEKTU],0),MATCH(Szczegóły_projektu[[#Headers],[PERSONEL ADMINISTRACYJNY]],Parametry[#Headers],0))*INDEX('PARAMETRY PROJEKTU'!$B$12:$H$12,1,MATCH(Szczegóły_projektu[[#Headers],[PERSONEL ADMINISTRACYJNY]],Parametry[#Headers],0))*Szczegóły_projektu[[#This Row],[PRACA RZECZYWISTA]]</calculatedColumnFormula>
    </tableColumn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Wprowadź nazwę projektu, szacunkowe daty rozpoczęcia i zakończenia, rzeczywiste daty rozpoczęcia i zakończenia, szacunkowe i rzeczywiste prace oraz wybierz typ projektu. Szacowany i rzeczywisty czas trwania są automatycznie obliczane"/>
    </ext>
  </extLst>
</table>
</file>

<file path=xl/theme/theme1.xml><?xml version="1.0" encoding="utf-8"?>
<a:theme xmlns:a="http://schemas.openxmlformats.org/drawingml/2006/main" name="MarketingProjectPlan">
  <a:themeElements>
    <a:clrScheme name="MarketingProjectPlan_colors">
      <a:dk1>
        <a:srgbClr val="000000"/>
      </a:dk1>
      <a:lt1>
        <a:srgbClr val="FFFFFF"/>
      </a:lt1>
      <a:dk2>
        <a:srgbClr val="636466"/>
      </a:dk2>
      <a:lt2>
        <a:srgbClr val="F2F2F2"/>
      </a:lt2>
      <a:accent1>
        <a:srgbClr val="BE870E"/>
      </a:accent1>
      <a:accent2>
        <a:srgbClr val="1A86B6"/>
      </a:accent2>
      <a:accent3>
        <a:srgbClr val="5F781B"/>
      </a:accent3>
      <a:accent4>
        <a:srgbClr val="C45808"/>
      </a:accent4>
      <a:accent5>
        <a:srgbClr val="6B3489"/>
      </a:accent5>
      <a:accent6>
        <a:srgbClr val="C2344E"/>
      </a:accent6>
      <a:hlink>
        <a:srgbClr val="3778A9"/>
      </a:hlink>
      <a:folHlink>
        <a:srgbClr val="6B3489"/>
      </a:folHlink>
    </a:clrScheme>
    <a:fontScheme name="Invoice with Sales Tax">
      <a:majorFont>
        <a:latin typeface="Tahom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02267-7996-4DFE-B69E-896B28477E48}">
  <sheetPr>
    <tabColor theme="9"/>
    <pageSetUpPr fitToPage="1"/>
  </sheetPr>
  <dimension ref="B1:B7"/>
  <sheetViews>
    <sheetView showGridLines="0" tabSelected="1" workbookViewId="0"/>
  </sheetViews>
  <sheetFormatPr defaultRowHeight="12.75" x14ac:dyDescent="0.2"/>
  <cols>
    <col min="1" max="1" width="2.7109375" customWidth="1"/>
    <col min="2" max="2" width="93.28515625" customWidth="1"/>
    <col min="3" max="3" width="2.7109375" customWidth="1"/>
  </cols>
  <sheetData>
    <row r="1" spans="2:2" ht="19.5" x14ac:dyDescent="0.25">
      <c r="B1" s="17" t="s">
        <v>0</v>
      </c>
    </row>
    <row r="2" spans="2:2" ht="41.25" customHeight="1" x14ac:dyDescent="0.2">
      <c r="B2" s="19" t="s">
        <v>71</v>
      </c>
    </row>
    <row r="3" spans="2:2" ht="52.5" customHeight="1" x14ac:dyDescent="0.2">
      <c r="B3" s="19" t="s">
        <v>1</v>
      </c>
    </row>
    <row r="4" spans="2:2" ht="41.25" customHeight="1" x14ac:dyDescent="0.2">
      <c r="B4" s="19" t="s">
        <v>72</v>
      </c>
    </row>
    <row r="5" spans="2:2" ht="26.45" customHeight="1" x14ac:dyDescent="0.2">
      <c r="B5" s="21" t="s">
        <v>2</v>
      </c>
    </row>
    <row r="6" spans="2:2" ht="66.95" customHeight="1" x14ac:dyDescent="0.2">
      <c r="B6" s="20" t="s">
        <v>3</v>
      </c>
    </row>
    <row r="7" spans="2:2" ht="38.450000000000003" customHeight="1" x14ac:dyDescent="0.2">
      <c r="B7" s="20" t="s">
        <v>4</v>
      </c>
    </row>
  </sheetData>
  <printOptions horizontalCentered="1"/>
  <pageMargins left="0.4" right="0.4" top="0.4" bottom="0.4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/>
    <pageSetUpPr autoPageBreaks="0" fitToPage="1"/>
  </sheetPr>
  <dimension ref="A1:I43"/>
  <sheetViews>
    <sheetView showGridLines="0" workbookViewId="0"/>
  </sheetViews>
  <sheetFormatPr defaultColWidth="9.140625" defaultRowHeight="14.25" x14ac:dyDescent="0.2"/>
  <cols>
    <col min="1" max="1" width="1.7109375" style="11" customWidth="1"/>
    <col min="2" max="2" width="33.28515625" style="5" customWidth="1"/>
    <col min="3" max="3" width="25" style="5" bestFit="1" customWidth="1"/>
    <col min="4" max="4" width="23.28515625" style="5" bestFit="1" customWidth="1"/>
    <col min="5" max="5" width="26.85546875" style="5" bestFit="1" customWidth="1"/>
    <col min="6" max="6" width="34.42578125" style="5" bestFit="1" customWidth="1"/>
    <col min="7" max="7" width="25.140625" style="5" bestFit="1" customWidth="1"/>
    <col min="8" max="8" width="30.28515625" style="5" bestFit="1" customWidth="1"/>
    <col min="9" max="9" width="9.140625" style="5" customWidth="1"/>
    <col min="10" max="10" width="2.7109375" style="5" customWidth="1"/>
    <col min="11" max="16384" width="9.140625" style="5"/>
  </cols>
  <sheetData>
    <row r="1" spans="1:9" ht="35.450000000000003" customHeight="1" x14ac:dyDescent="0.35">
      <c r="A1" s="11" t="s">
        <v>73</v>
      </c>
      <c r="B1" s="2" t="s">
        <v>10</v>
      </c>
      <c r="C1" s="2"/>
      <c r="D1" s="2"/>
      <c r="E1" s="2"/>
      <c r="F1" s="2"/>
      <c r="G1" s="2"/>
      <c r="H1" s="2"/>
      <c r="I1" s="2"/>
    </row>
    <row r="2" spans="1:9" ht="22.5" customHeight="1" x14ac:dyDescent="0.25">
      <c r="A2" s="11" t="s">
        <v>5</v>
      </c>
      <c r="B2" s="3" t="s">
        <v>11</v>
      </c>
      <c r="C2" s="3"/>
      <c r="D2" s="3"/>
      <c r="E2" s="3"/>
      <c r="F2" s="3"/>
      <c r="G2" s="3"/>
      <c r="H2" s="3"/>
      <c r="I2" s="3"/>
    </row>
    <row r="3" spans="1:9" ht="15" x14ac:dyDescent="0.2">
      <c r="A3" s="11" t="s">
        <v>6</v>
      </c>
      <c r="B3" s="4" t="str">
        <f>"Poufna "&amp;B1</f>
        <v>Poufna Nazwa firmy</v>
      </c>
      <c r="C3" s="4"/>
      <c r="D3" s="4"/>
      <c r="E3" s="4"/>
      <c r="F3" s="4"/>
      <c r="G3" s="4"/>
      <c r="H3" s="4"/>
      <c r="I3" s="4"/>
    </row>
    <row r="4" spans="1:9" ht="28.5" customHeight="1" x14ac:dyDescent="0.2">
      <c r="A4" s="11" t="s">
        <v>7</v>
      </c>
      <c r="B4" s="8" t="s">
        <v>12</v>
      </c>
    </row>
    <row r="5" spans="1:9" x14ac:dyDescent="0.2">
      <c r="A5" s="11" t="s">
        <v>8</v>
      </c>
      <c r="B5" s="9" t="s">
        <v>13</v>
      </c>
      <c r="C5" s="9" t="s">
        <v>26</v>
      </c>
      <c r="D5" s="9" t="s">
        <v>27</v>
      </c>
      <c r="E5" s="9" t="s">
        <v>28</v>
      </c>
      <c r="F5" s="9" t="s">
        <v>29</v>
      </c>
      <c r="G5" s="9" t="s">
        <v>31</v>
      </c>
      <c r="H5" s="9" t="s">
        <v>32</v>
      </c>
      <c r="I5" s="9" t="s">
        <v>33</v>
      </c>
    </row>
    <row r="6" spans="1:9" x14ac:dyDescent="0.2">
      <c r="B6" s="5" t="s">
        <v>14</v>
      </c>
      <c r="C6" s="6">
        <v>0.2</v>
      </c>
      <c r="D6" s="6">
        <v>0.1</v>
      </c>
      <c r="E6" s="6">
        <v>0.6</v>
      </c>
      <c r="F6" s="6">
        <v>0</v>
      </c>
      <c r="G6" s="6">
        <v>0</v>
      </c>
      <c r="H6" s="6">
        <v>0.1</v>
      </c>
      <c r="I6" s="7">
        <f>SUM(Parametry[[#This Row],[KIEROWNIK DS. KLIENTA]:[PERSONEL ADMINISTRACYJNY]])</f>
        <v>1</v>
      </c>
    </row>
    <row r="7" spans="1:9" x14ac:dyDescent="0.2">
      <c r="B7" s="5" t="s">
        <v>15</v>
      </c>
      <c r="C7" s="6">
        <v>0.2</v>
      </c>
      <c r="D7" s="6">
        <v>0.5</v>
      </c>
      <c r="E7" s="6">
        <v>0.1</v>
      </c>
      <c r="F7" s="6">
        <v>0.1</v>
      </c>
      <c r="G7" s="6">
        <v>0</v>
      </c>
      <c r="H7" s="6">
        <v>0.1</v>
      </c>
      <c r="I7" s="7">
        <f>SUM(Parametry[[#This Row],[KIEROWNIK DS. KLIENTA]:[PERSONEL ADMINISTRACYJNY]])</f>
        <v>0.99999999999999989</v>
      </c>
    </row>
    <row r="8" spans="1:9" x14ac:dyDescent="0.2">
      <c r="B8" s="5" t="s">
        <v>16</v>
      </c>
      <c r="C8" s="6">
        <v>0.2</v>
      </c>
      <c r="D8" s="6">
        <v>0.2</v>
      </c>
      <c r="E8" s="6">
        <v>0</v>
      </c>
      <c r="F8" s="6">
        <v>0.5</v>
      </c>
      <c r="G8" s="6">
        <v>0</v>
      </c>
      <c r="H8" s="6">
        <v>0.1</v>
      </c>
      <c r="I8" s="7">
        <f>SUM(Parametry[[#This Row],[KIEROWNIK DS. KLIENTA]:[PERSONEL ADMINISTRACYJNY]])</f>
        <v>1</v>
      </c>
    </row>
    <row r="9" spans="1:9" x14ac:dyDescent="0.2">
      <c r="B9" s="5" t="s">
        <v>17</v>
      </c>
      <c r="C9" s="6">
        <v>0.2</v>
      </c>
      <c r="D9" s="6">
        <v>0.6</v>
      </c>
      <c r="E9" s="6">
        <v>0</v>
      </c>
      <c r="F9" s="6">
        <v>0</v>
      </c>
      <c r="G9" s="6">
        <v>0.1</v>
      </c>
      <c r="H9" s="6">
        <v>0.1</v>
      </c>
      <c r="I9" s="7">
        <f>SUM(Parametry[[#This Row],[KIEROWNIK DS. KLIENTA]:[PERSONEL ADMINISTRACYJNY]])</f>
        <v>1</v>
      </c>
    </row>
    <row r="10" spans="1:9" x14ac:dyDescent="0.2">
      <c r="B10" s="5" t="s">
        <v>18</v>
      </c>
      <c r="C10" s="6">
        <v>0.2</v>
      </c>
      <c r="D10" s="6">
        <v>0.1</v>
      </c>
      <c r="E10" s="6">
        <v>0</v>
      </c>
      <c r="F10" s="6">
        <v>0</v>
      </c>
      <c r="G10" s="6">
        <v>0.6</v>
      </c>
      <c r="H10" s="6">
        <v>0.1</v>
      </c>
      <c r="I10" s="7">
        <f>SUM(Parametry[[#This Row],[KIEROWNIK DS. KLIENTA]:[PERSONEL ADMINISTRACYJNY]])</f>
        <v>1</v>
      </c>
    </row>
    <row r="11" spans="1:9" x14ac:dyDescent="0.2">
      <c r="B11" s="5" t="s">
        <v>19</v>
      </c>
      <c r="C11" s="6">
        <v>0.2</v>
      </c>
      <c r="D11" s="6">
        <v>0.2</v>
      </c>
      <c r="E11" s="6">
        <v>0.2</v>
      </c>
      <c r="F11" s="6">
        <v>0.2</v>
      </c>
      <c r="G11" s="6">
        <v>0</v>
      </c>
      <c r="H11" s="6">
        <v>0.2</v>
      </c>
      <c r="I11" s="7">
        <f>SUM(Parametry[[#This Row],[KIEROWNIK DS. KLIENTA]:[PERSONEL ADMINISTRACYJNY]])</f>
        <v>1</v>
      </c>
    </row>
    <row r="12" spans="1:9" x14ac:dyDescent="0.2">
      <c r="A12" s="11" t="s">
        <v>9</v>
      </c>
      <c r="B12" s="5" t="s">
        <v>20</v>
      </c>
      <c r="C12" s="24">
        <v>180</v>
      </c>
      <c r="D12" s="24">
        <v>120</v>
      </c>
      <c r="E12" s="24">
        <v>150</v>
      </c>
      <c r="F12" s="24">
        <v>100</v>
      </c>
      <c r="G12" s="24">
        <v>80</v>
      </c>
      <c r="H12" s="24">
        <v>60</v>
      </c>
      <c r="I12" s="6"/>
    </row>
    <row r="14" spans="1:9" x14ac:dyDescent="0.2">
      <c r="A14" s="11" t="s">
        <v>74</v>
      </c>
      <c r="F14" s="29" t="s">
        <v>30</v>
      </c>
      <c r="G14" s="29"/>
      <c r="H14" s="29"/>
      <c r="I14" s="29"/>
    </row>
    <row r="15" spans="1:9" x14ac:dyDescent="0.2">
      <c r="B15" s="11"/>
      <c r="C15" s="11" t="s">
        <v>26</v>
      </c>
      <c r="D15" s="11" t="s">
        <v>27</v>
      </c>
      <c r="E15" s="11" t="s">
        <v>28</v>
      </c>
      <c r="F15" s="11" t="s">
        <v>29</v>
      </c>
      <c r="G15" s="11" t="s">
        <v>31</v>
      </c>
      <c r="H15" s="11" t="s">
        <v>32</v>
      </c>
    </row>
    <row r="16" spans="1:9" x14ac:dyDescent="0.2">
      <c r="B16" s="11" t="s">
        <v>21</v>
      </c>
      <c r="C16" s="25">
        <f>SUBTOTAL(109,Szczegóły_projektu[KIEROWNIK DS. KLIENTA])</f>
        <v>54000</v>
      </c>
      <c r="D16" s="25">
        <f>SUBTOTAL(109,Szczegóły_projektu[KIEROWNIK PROJEKTU])</f>
        <v>52200</v>
      </c>
      <c r="E16" s="25">
        <f>SUBTOTAL(109,Szczegóły_projektu[KIEROWNIK DS. STRATEGII])</f>
        <v>24000</v>
      </c>
      <c r="F16" s="25">
        <f>SUBTOTAL(109,Szczegóły_projektu[SPECJALISTA DS. PROJEKTOWANIA])</f>
        <v>29000</v>
      </c>
      <c r="G16" s="25">
        <f>SUBTOTAL(109,Szczegóły_projektu[PERSONEL WYDARZENIA])</f>
        <v>13200</v>
      </c>
      <c r="H16" s="25">
        <f>SUBTOTAL(109,Szczegóły_projektu[PERSONEL ADMINISTRACYJNY])</f>
        <v>9000</v>
      </c>
    </row>
    <row r="17" spans="2:9" x14ac:dyDescent="0.2">
      <c r="B17" s="11" t="s">
        <v>22</v>
      </c>
      <c r="C17" s="25">
        <f>SUBTOTAL(109,Szczegóły_projektu[KIEROWNIK DS. KLIENTA ])</f>
        <v>54360</v>
      </c>
      <c r="D17" s="25">
        <f>SUBTOTAL(109,Szczegóły_projektu[[KIEROWNIK PROJEKTU ]])</f>
        <v>51540</v>
      </c>
      <c r="E17" s="25">
        <f>SUBTOTAL(109,Szczegóły_projektu[KIEROWNIK DS. STRATEGII ])</f>
        <v>25650</v>
      </c>
      <c r="F17" s="25">
        <f>SUBTOTAL(109,Szczegóły_projektu[SPECJALISTA DS. PROJEKTOWANIA ])</f>
        <v>28900</v>
      </c>
      <c r="G17" s="25">
        <f>SUBTOTAL(109,Szczegóły_projektu[[PERSONEL WYDARZENIA ]])</f>
        <v>13400</v>
      </c>
      <c r="H17" s="25">
        <f>SUBTOTAL(109,Szczegóły_projektu[[PERSONEL ADMINISTRACYJNY ]])</f>
        <v>9060</v>
      </c>
    </row>
    <row r="18" spans="2:9" x14ac:dyDescent="0.2">
      <c r="B18" s="11" t="s">
        <v>23</v>
      </c>
      <c r="C18" s="12">
        <f>C16/$C$12</f>
        <v>300</v>
      </c>
      <c r="D18" s="12">
        <f t="shared" ref="D18:H18" si="0">D16/$C$12</f>
        <v>290</v>
      </c>
      <c r="E18" s="12">
        <f t="shared" si="0"/>
        <v>133.33333333333334</v>
      </c>
      <c r="F18" s="12">
        <f t="shared" si="0"/>
        <v>161.11111111111111</v>
      </c>
      <c r="G18" s="12">
        <f t="shared" si="0"/>
        <v>73.333333333333329</v>
      </c>
      <c r="H18" s="12">
        <f t="shared" si="0"/>
        <v>50</v>
      </c>
    </row>
    <row r="19" spans="2:9" x14ac:dyDescent="0.2">
      <c r="B19" s="11" t="s">
        <v>24</v>
      </c>
      <c r="C19" s="12">
        <f>C17/$C$12</f>
        <v>302</v>
      </c>
      <c r="D19" s="12">
        <f>D17/$C$12</f>
        <v>286.33333333333331</v>
      </c>
      <c r="E19" s="12">
        <f>E17/$C$12</f>
        <v>142.5</v>
      </c>
      <c r="F19" s="12">
        <f>F17/$C$12</f>
        <v>160.55555555555554</v>
      </c>
      <c r="G19" s="12">
        <f>G17/$C$12</f>
        <v>74.444444444444443</v>
      </c>
      <c r="H19" s="12">
        <f>H17/$C$12</f>
        <v>50.333333333333336</v>
      </c>
    </row>
    <row r="20" spans="2:9" x14ac:dyDescent="0.2">
      <c r="F20" s="11"/>
      <c r="G20" s="11"/>
      <c r="H20" s="11"/>
      <c r="I20" s="11"/>
    </row>
    <row r="21" spans="2:9" x14ac:dyDescent="0.2">
      <c r="F21" s="11"/>
      <c r="G21" s="11"/>
      <c r="H21" s="11"/>
      <c r="I21" s="11"/>
    </row>
    <row r="22" spans="2:9" x14ac:dyDescent="0.2">
      <c r="F22" s="11"/>
      <c r="G22" s="11"/>
      <c r="H22" s="11"/>
      <c r="I22" s="11"/>
    </row>
    <row r="23" spans="2:9" x14ac:dyDescent="0.2">
      <c r="F23" s="11"/>
      <c r="G23" s="11"/>
      <c r="H23" s="11"/>
      <c r="I23" s="11"/>
    </row>
    <row r="24" spans="2:9" x14ac:dyDescent="0.2">
      <c r="B24" s="28" t="s">
        <v>25</v>
      </c>
      <c r="C24" s="28"/>
      <c r="D24" s="28"/>
      <c r="F24" s="11"/>
      <c r="G24" s="11"/>
      <c r="H24" s="11"/>
      <c r="I24" s="11"/>
    </row>
    <row r="25" spans="2:9" x14ac:dyDescent="0.2">
      <c r="B25" s="28"/>
      <c r="C25" s="28"/>
      <c r="D25" s="28"/>
      <c r="F25" s="11"/>
      <c r="G25" s="11"/>
      <c r="H25" s="11"/>
      <c r="I25" s="11"/>
    </row>
    <row r="26" spans="2:9" x14ac:dyDescent="0.2">
      <c r="B26" s="28"/>
      <c r="C26" s="28"/>
      <c r="D26" s="28"/>
      <c r="F26" s="11"/>
      <c r="G26" s="11"/>
      <c r="H26" s="11"/>
      <c r="I26" s="11"/>
    </row>
    <row r="27" spans="2:9" x14ac:dyDescent="0.2">
      <c r="B27" s="28"/>
      <c r="C27" s="28"/>
      <c r="D27" s="28"/>
      <c r="F27" s="11"/>
      <c r="G27" s="11"/>
      <c r="H27" s="11"/>
      <c r="I27" s="11"/>
    </row>
    <row r="28" spans="2:9" x14ac:dyDescent="0.2">
      <c r="B28" s="28"/>
      <c r="C28" s="28"/>
      <c r="D28" s="28"/>
      <c r="F28" s="11"/>
      <c r="G28" s="11"/>
      <c r="H28" s="11"/>
      <c r="I28" s="11"/>
    </row>
    <row r="29" spans="2:9" x14ac:dyDescent="0.2">
      <c r="B29" s="28"/>
      <c r="C29" s="28"/>
      <c r="D29" s="28"/>
      <c r="F29" s="11"/>
      <c r="G29" s="11"/>
      <c r="H29" s="11"/>
      <c r="I29" s="11"/>
    </row>
    <row r="30" spans="2:9" x14ac:dyDescent="0.2">
      <c r="B30" s="28"/>
      <c r="C30" s="28"/>
      <c r="D30" s="28"/>
      <c r="F30" s="11"/>
      <c r="G30" s="11"/>
      <c r="H30" s="11"/>
      <c r="I30" s="11"/>
    </row>
    <row r="31" spans="2:9" x14ac:dyDescent="0.2">
      <c r="B31" s="28"/>
      <c r="C31" s="28"/>
      <c r="D31" s="28"/>
      <c r="F31" s="11"/>
      <c r="G31" s="11"/>
      <c r="H31" s="11"/>
      <c r="I31" s="11"/>
    </row>
    <row r="32" spans="2:9" x14ac:dyDescent="0.2">
      <c r="B32" s="28"/>
      <c r="C32" s="28"/>
      <c r="D32" s="28"/>
      <c r="F32" s="11"/>
      <c r="G32" s="11"/>
      <c r="H32" s="11"/>
      <c r="I32" s="11"/>
    </row>
    <row r="33" spans="2:9" x14ac:dyDescent="0.2">
      <c r="B33" s="28"/>
      <c r="C33" s="28"/>
      <c r="D33" s="28"/>
      <c r="F33" s="11"/>
      <c r="G33" s="11"/>
      <c r="H33" s="11"/>
      <c r="I33" s="11"/>
    </row>
    <row r="34" spans="2:9" x14ac:dyDescent="0.2">
      <c r="B34" s="28"/>
      <c r="C34" s="28"/>
      <c r="D34" s="28"/>
      <c r="F34" s="11"/>
      <c r="G34" s="11"/>
      <c r="H34" s="11"/>
      <c r="I34" s="11"/>
    </row>
    <row r="35" spans="2:9" x14ac:dyDescent="0.2">
      <c r="B35" s="28"/>
      <c r="C35" s="28"/>
      <c r="D35" s="28"/>
      <c r="F35" s="11"/>
      <c r="G35" s="11"/>
      <c r="H35" s="11"/>
      <c r="I35" s="11"/>
    </row>
    <row r="36" spans="2:9" x14ac:dyDescent="0.2">
      <c r="B36" s="28"/>
      <c r="C36" s="28"/>
      <c r="D36" s="28"/>
      <c r="F36" s="11"/>
      <c r="G36" s="11"/>
      <c r="H36" s="11"/>
      <c r="I36" s="11"/>
    </row>
    <row r="37" spans="2:9" x14ac:dyDescent="0.2">
      <c r="B37" s="28"/>
      <c r="C37" s="28"/>
      <c r="D37" s="28"/>
      <c r="F37" s="11"/>
      <c r="G37" s="11"/>
      <c r="H37" s="11"/>
      <c r="I37" s="11"/>
    </row>
    <row r="38" spans="2:9" x14ac:dyDescent="0.2">
      <c r="B38" s="28"/>
      <c r="C38" s="28"/>
      <c r="D38" s="28"/>
      <c r="F38" s="11"/>
      <c r="G38" s="11"/>
      <c r="H38" s="11"/>
      <c r="I38" s="11"/>
    </row>
    <row r="39" spans="2:9" x14ac:dyDescent="0.2">
      <c r="B39" s="28"/>
      <c r="C39" s="28"/>
      <c r="D39" s="28"/>
      <c r="F39" s="11"/>
      <c r="G39" s="11"/>
      <c r="H39" s="11"/>
      <c r="I39" s="11"/>
    </row>
    <row r="40" spans="2:9" x14ac:dyDescent="0.2">
      <c r="B40" s="28"/>
      <c r="C40" s="28"/>
      <c r="D40" s="28"/>
      <c r="F40" s="11"/>
      <c r="G40" s="11"/>
      <c r="H40" s="11"/>
      <c r="I40" s="11"/>
    </row>
    <row r="41" spans="2:9" x14ac:dyDescent="0.2">
      <c r="B41" s="28"/>
      <c r="C41" s="28"/>
      <c r="D41" s="28"/>
      <c r="F41" s="11"/>
      <c r="G41" s="11"/>
      <c r="H41" s="11"/>
      <c r="I41" s="11"/>
    </row>
    <row r="42" spans="2:9" x14ac:dyDescent="0.2">
      <c r="B42" s="28"/>
      <c r="C42" s="28"/>
      <c r="D42" s="28"/>
      <c r="F42" s="11"/>
      <c r="G42" s="11"/>
      <c r="H42" s="11"/>
      <c r="I42" s="11"/>
    </row>
    <row r="43" spans="2:9" x14ac:dyDescent="0.2">
      <c r="B43" s="28"/>
      <c r="C43" s="28"/>
      <c r="D43" s="28"/>
      <c r="F43" s="11"/>
      <c r="G43" s="11"/>
      <c r="H43" s="11"/>
      <c r="I43" s="11"/>
    </row>
  </sheetData>
  <mergeCells count="2">
    <mergeCell ref="B24:D43"/>
    <mergeCell ref="F14:I14"/>
  </mergeCells>
  <printOptions horizontalCentered="1"/>
  <pageMargins left="0.4" right="0.4" top="0.4" bottom="0.4" header="0.3" footer="0.3"/>
  <pageSetup paperSize="9" orientation="landscape" horizontalDpi="4294967293" verticalDpi="4294967295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/>
    <pageSetUpPr fitToPage="1"/>
  </sheetPr>
  <dimension ref="A1:W10"/>
  <sheetViews>
    <sheetView showGridLines="0" workbookViewId="0"/>
  </sheetViews>
  <sheetFormatPr defaultColWidth="9.140625" defaultRowHeight="14.25" x14ac:dyDescent="0.2"/>
  <cols>
    <col min="1" max="1" width="1.7109375" style="11" customWidth="1"/>
    <col min="2" max="2" width="25.5703125" style="1" customWidth="1"/>
    <col min="3" max="3" width="28.42578125" style="1" bestFit="1" customWidth="1"/>
    <col min="4" max="4" width="14.7109375" style="1" customWidth="1"/>
    <col min="5" max="5" width="15.7109375" style="1" customWidth="1"/>
    <col min="6" max="6" width="15.140625" style="1" customWidth="1"/>
    <col min="7" max="7" width="15.42578125" style="1" customWidth="1"/>
    <col min="8" max="8" width="14" style="1" customWidth="1"/>
    <col min="9" max="9" width="15.28515625" style="1" customWidth="1"/>
    <col min="10" max="10" width="15.42578125" style="1" customWidth="1"/>
    <col min="11" max="11" width="15.7109375" style="1" customWidth="1"/>
    <col min="12" max="12" width="11.85546875" style="1" hidden="1" customWidth="1"/>
    <col min="13" max="13" width="11.7109375" style="1" hidden="1" customWidth="1"/>
    <col min="14" max="14" width="13.7109375" style="1" hidden="1" customWidth="1"/>
    <col min="15" max="15" width="16.28515625" style="1" hidden="1" customWidth="1"/>
    <col min="16" max="16" width="12.85546875" style="1" hidden="1" customWidth="1"/>
    <col min="17" max="17" width="17.7109375" style="1" hidden="1" customWidth="1"/>
    <col min="18" max="19" width="12.28515625" style="1" hidden="1" customWidth="1"/>
    <col min="20" max="20" width="13.7109375" style="1" hidden="1" customWidth="1"/>
    <col min="21" max="21" width="16.28515625" style="1" hidden="1" customWidth="1"/>
    <col min="22" max="22" width="12.85546875" style="1" hidden="1" customWidth="1"/>
    <col min="23" max="23" width="17.7109375" style="1" hidden="1" customWidth="1"/>
    <col min="24" max="24" width="2.7109375" style="1" customWidth="1"/>
    <col min="25" max="16384" width="9.140625" style="1"/>
  </cols>
  <sheetData>
    <row r="1" spans="1:23" ht="35.450000000000003" customHeight="1" x14ac:dyDescent="0.35">
      <c r="A1" s="11" t="s">
        <v>75</v>
      </c>
      <c r="B1" s="2" t="str">
        <f>'PARAMETRY PROJEKTU'!B1</f>
        <v>Nazwa firmy</v>
      </c>
      <c r="C1" s="2"/>
      <c r="D1" s="2"/>
      <c r="E1" s="2"/>
      <c r="F1" s="2"/>
      <c r="G1" s="2"/>
      <c r="H1" s="2"/>
      <c r="I1" s="2"/>
      <c r="J1" s="2"/>
      <c r="K1" s="2"/>
    </row>
    <row r="2" spans="1:23" ht="22.5" customHeight="1" x14ac:dyDescent="0.25">
      <c r="A2" s="11" t="s">
        <v>5</v>
      </c>
      <c r="B2" s="3" t="s">
        <v>11</v>
      </c>
      <c r="C2" s="3"/>
      <c r="D2" s="3"/>
      <c r="E2" s="3"/>
      <c r="F2" s="3"/>
      <c r="G2" s="3"/>
      <c r="H2" s="3"/>
      <c r="I2" s="3"/>
      <c r="J2" s="3"/>
      <c r="K2" s="3"/>
    </row>
    <row r="3" spans="1:23" s="15" customFormat="1" ht="29.25" customHeight="1" x14ac:dyDescent="0.2">
      <c r="A3" s="18" t="s">
        <v>6</v>
      </c>
      <c r="B3" s="16" t="str">
        <f>'PARAMETRY PROJEKTU'!B3</f>
        <v>Poufna Nazwa firmy</v>
      </c>
      <c r="C3" s="16"/>
      <c r="D3" s="16"/>
      <c r="E3" s="16"/>
      <c r="F3" s="16"/>
      <c r="G3" s="16"/>
      <c r="H3" s="16"/>
      <c r="I3" s="16"/>
      <c r="J3" s="16"/>
      <c r="K3" s="16"/>
    </row>
    <row r="4" spans="1:23" ht="25.5" customHeight="1" x14ac:dyDescent="0.2">
      <c r="A4" s="22" t="s">
        <v>34</v>
      </c>
      <c r="B4" s="13" t="s">
        <v>35</v>
      </c>
      <c r="C4" s="13" t="s">
        <v>13</v>
      </c>
      <c r="D4" s="13" t="s">
        <v>42</v>
      </c>
      <c r="E4" s="13" t="s">
        <v>43</v>
      </c>
      <c r="F4" s="13" t="s">
        <v>44</v>
      </c>
      <c r="G4" s="13" t="s">
        <v>45</v>
      </c>
      <c r="H4" s="13" t="s">
        <v>46</v>
      </c>
      <c r="I4" s="13" t="s">
        <v>47</v>
      </c>
      <c r="J4" s="13" t="s">
        <v>48</v>
      </c>
      <c r="K4" s="13" t="s">
        <v>49</v>
      </c>
      <c r="L4" s="13" t="s">
        <v>26</v>
      </c>
      <c r="M4" s="13" t="s">
        <v>27</v>
      </c>
      <c r="N4" s="13" t="s">
        <v>28</v>
      </c>
      <c r="O4" s="13" t="s">
        <v>29</v>
      </c>
      <c r="P4" s="13" t="s">
        <v>31</v>
      </c>
      <c r="Q4" s="13" t="s">
        <v>32</v>
      </c>
      <c r="R4" s="13" t="s">
        <v>50</v>
      </c>
      <c r="S4" s="13" t="s">
        <v>51</v>
      </c>
      <c r="T4" s="13" t="s">
        <v>52</v>
      </c>
      <c r="U4" s="13" t="s">
        <v>53</v>
      </c>
      <c r="V4" s="13" t="s">
        <v>54</v>
      </c>
      <c r="W4" s="13" t="s">
        <v>55</v>
      </c>
    </row>
    <row r="5" spans="1:23" x14ac:dyDescent="0.2">
      <c r="B5" t="s">
        <v>36</v>
      </c>
      <c r="C5" t="s">
        <v>14</v>
      </c>
      <c r="D5" s="14">
        <f ca="1">DATE(YEAR(TODAY()),6,9)</f>
        <v>43625</v>
      </c>
      <c r="E5" s="14">
        <f ca="1">DATE(YEAR(TODAY()),8,7)</f>
        <v>43684</v>
      </c>
      <c r="F5" s="14">
        <f ca="1">DATE(YEAR(TODAY()),6,29)</f>
        <v>43645</v>
      </c>
      <c r="G5" s="14">
        <f ca="1">DATE(YEAR(TODAY()),9,3)</f>
        <v>43711</v>
      </c>
      <c r="H5">
        <v>200</v>
      </c>
      <c r="I5">
        <v>220</v>
      </c>
      <c r="J5">
        <f ca="1">DAYS360(Szczegóły_projektu[[#This Row],[SZACOWANE ROZPOCZĘCIE]],Szczegóły_projektu[[#This Row],[SZACOWANE ZAKOŃCZENIE]],FALSE)</f>
        <v>58</v>
      </c>
      <c r="K5">
        <f ca="1">DAYS360(Szczegóły_projektu[[#This Row],[RZECZYWISTE ROZPOCZĘCIE]],Szczegóły_projektu[[#This Row],[RZECZYWISTE ZAKOŃCZENIE]],FALSE)</f>
        <v>64</v>
      </c>
      <c r="L5" s="26">
        <f>INDEX(Parametry[],MATCH(Szczegóły_projektu[[#This Row],[TYP PROJEKTU]],Parametry[TYP PROJEKTU],0),MATCH(Szczegóły_projektu[[#Headers],[KIEROWNIK DS. KLIENTA]],Parametry[#Headers],0))*INDEX('PARAMETRY PROJEKTU'!$B$12:$H$12,1,MATCH(Szczegóły_projektu[[#Headers],[KIEROWNIK DS. KLIENTA]],Parametry[#Headers],0))*Szczegóły_projektu[[#This Row],[PRACA SZACOWANA]]</f>
        <v>7200</v>
      </c>
      <c r="M5" s="26">
        <f>INDEX(Parametry[],MATCH(Szczegóły_projektu[[#This Row],[TYP PROJEKTU]],Parametry[TYP PROJEKTU],0),MATCH(Szczegóły_projektu[[#Headers],[KIEROWNIK PROJEKTU]],Parametry[#Headers],0))*INDEX('PARAMETRY PROJEKTU'!$B$12:$H$12,1,MATCH(Szczegóły_projektu[[#Headers],[KIEROWNIK PROJEKTU]],Parametry[#Headers],0))*Szczegóły_projektu[[#This Row],[PRACA SZACOWANA]]</f>
        <v>2400</v>
      </c>
      <c r="N5" s="26">
        <f>INDEX(Parametry[],MATCH(Szczegóły_projektu[[#This Row],[TYP PROJEKTU]],Parametry[TYP PROJEKTU],0),MATCH(Szczegóły_projektu[[#Headers],[KIEROWNIK DS. STRATEGII]],Parametry[#Headers],0))*INDEX('PARAMETRY PROJEKTU'!$B$12:$H$12,1,MATCH(Szczegóły_projektu[[#Headers],[KIEROWNIK DS. STRATEGII]],Parametry[#Headers],0))*Szczegóły_projektu[[#This Row],[PRACA SZACOWANA]]</f>
        <v>18000</v>
      </c>
      <c r="O5" s="26">
        <f>INDEX(Parametry[],MATCH(Szczegóły_projektu[[#This Row],[TYP PROJEKTU]],Parametry[TYP PROJEKTU],0),MATCH(Szczegóły_projektu[[#Headers],[SPECJALISTA DS. PROJEKTOWANIA]],Parametry[#Headers],0))*INDEX('PARAMETRY PROJEKTU'!$B$12:$H$12,1,MATCH(Szczegóły_projektu[[#Headers],[SPECJALISTA DS. PROJEKTOWANIA]],Parametry[#Headers],0))*Szczegóły_projektu[[#This Row],[PRACA SZACOWANA]]</f>
        <v>0</v>
      </c>
      <c r="P5" s="26">
        <f>INDEX(Parametry[],MATCH(Szczegóły_projektu[[#This Row],[TYP PROJEKTU]],Parametry[TYP PROJEKTU],0),MATCH(Szczegóły_projektu[[#Headers],[PERSONEL WYDARZENIA]],Parametry[#Headers],0))*INDEX('PARAMETRY PROJEKTU'!$B$12:$H$12,1,MATCH(Szczegóły_projektu[[#Headers],[PERSONEL WYDARZENIA]],Parametry[#Headers],0))*Szczegóły_projektu[[#This Row],[PRACA SZACOWANA]]</f>
        <v>0</v>
      </c>
      <c r="Q5" s="26">
        <f>INDEX(Parametry[],MATCH(Szczegóły_projektu[[#This Row],[TYP PROJEKTU]],Parametry[TYP PROJEKTU],0),MATCH(Szczegóły_projektu[[#Headers],[PERSONEL ADMINISTRACYJNY]],Parametry[#Headers],0))*INDEX('PARAMETRY PROJEKTU'!$B$12:$H$12,1,MATCH(Szczegóły_projektu[[#Headers],[PERSONEL ADMINISTRACYJNY]],Parametry[#Headers],0))*Szczegóły_projektu[[#This Row],[PRACA SZACOWANA]]</f>
        <v>1200</v>
      </c>
      <c r="R5" s="26">
        <f>INDEX(Parametry[],MATCH(Szczegóły_projektu[[#This Row],[TYP PROJEKTU]],Parametry[TYP PROJEKTU],0),MATCH(Szczegóły_projektu[[#Headers],[KIEROWNIK DS. KLIENTA]],Parametry[#Headers],0))*INDEX('PARAMETRY PROJEKTU'!$B$12:$H$12,1,MATCH(Szczegóły_projektu[[#Headers],[KIEROWNIK DS. KLIENTA]],Parametry[#Headers],0))*Szczegóły_projektu[[#This Row],[PRACA RZECZYWISTA]]</f>
        <v>7920</v>
      </c>
      <c r="S5" s="26">
        <f>INDEX(Parametry[],MATCH(Szczegóły_projektu[[#This Row],[TYP PROJEKTU]],Parametry[TYP PROJEKTU],0),MATCH(Szczegóły_projektu[[#Headers],[KIEROWNIK PROJEKTU]],Parametry[#Headers],0))*INDEX('PARAMETRY PROJEKTU'!$B$12:$H$12,1,MATCH(Szczegóły_projektu[[#Headers],[KIEROWNIK PROJEKTU]],Parametry[#Headers],0))*Szczegóły_projektu[[#This Row],[PRACA RZECZYWISTA]]</f>
        <v>2640</v>
      </c>
      <c r="T5" s="26">
        <f>INDEX(Parametry[],MATCH(Szczegóły_projektu[[#This Row],[TYP PROJEKTU]],Parametry[TYP PROJEKTU],0),MATCH(Szczegóły_projektu[[#Headers],[KIEROWNIK DS. STRATEGII]],Parametry[#Headers],0))*INDEX('PARAMETRY PROJEKTU'!$B$12:$H$12,1,MATCH(Szczegóły_projektu[[#Headers],[KIEROWNIK DS. STRATEGII]],Parametry[#Headers],0))*Szczegóły_projektu[[#This Row],[PRACA RZECZYWISTA]]</f>
        <v>19800</v>
      </c>
      <c r="U5" s="26">
        <f>INDEX(Parametry[],MATCH(Szczegóły_projektu[[#This Row],[TYP PROJEKTU]],Parametry[TYP PROJEKTU],0),MATCH(Szczegóły_projektu[[#Headers],[SPECJALISTA DS. PROJEKTOWANIA]],Parametry[#Headers],0))*INDEX('PARAMETRY PROJEKTU'!$B$12:$H$12,1,MATCH(Szczegóły_projektu[[#Headers],[SPECJALISTA DS. PROJEKTOWANIA]],Parametry[#Headers],0))*Szczegóły_projektu[[#This Row],[PRACA RZECZYWISTA]]</f>
        <v>0</v>
      </c>
      <c r="V5" s="26">
        <f>INDEX(Parametry[],MATCH(Szczegóły_projektu[[#This Row],[TYP PROJEKTU]],Parametry[TYP PROJEKTU],0),MATCH(Szczegóły_projektu[[#Headers],[PERSONEL WYDARZENIA]],Parametry[#Headers],0))*INDEX('PARAMETRY PROJEKTU'!$B$12:$H$12,1,MATCH(Szczegóły_projektu[[#Headers],[PERSONEL WYDARZENIA]],Parametry[#Headers],0))*Szczegóły_projektu[[#This Row],[PRACA RZECZYWISTA]]</f>
        <v>0</v>
      </c>
      <c r="W5" s="26">
        <f>INDEX(Parametry[],MATCH(Szczegóły_projektu[[#This Row],[TYP PROJEKTU]],Parametry[TYP PROJEKTU],0),MATCH(Szczegóły_projektu[[#Headers],[PERSONEL ADMINISTRACYJNY]],Parametry[#Headers],0))*INDEX('PARAMETRY PROJEKTU'!$B$12:$H$12,1,MATCH(Szczegóły_projektu[[#Headers],[PERSONEL ADMINISTRACYJNY]],Parametry[#Headers],0))*Szczegóły_projektu[[#This Row],[PRACA RZECZYWISTA]]</f>
        <v>1320</v>
      </c>
    </row>
    <row r="6" spans="1:23" x14ac:dyDescent="0.2">
      <c r="B6" t="s">
        <v>37</v>
      </c>
      <c r="C6" t="s">
        <v>15</v>
      </c>
      <c r="D6" s="14">
        <f ca="1">DATE(YEAR(TODAY())+1,6,25)</f>
        <v>44007</v>
      </c>
      <c r="E6" s="14">
        <f ca="1">DATE(YEAR(TODAY())+1,7,27)</f>
        <v>44039</v>
      </c>
      <c r="F6" s="14">
        <f ca="1">DATE(YEAR(TODAY()),7,15)</f>
        <v>43661</v>
      </c>
      <c r="G6" s="14">
        <f ca="1">DATE(YEAR(TODAY())+1,8,25)</f>
        <v>44068</v>
      </c>
      <c r="H6">
        <v>400</v>
      </c>
      <c r="I6">
        <v>390</v>
      </c>
      <c r="J6">
        <f ca="1">DAYS360(Szczegóły_projektu[[#This Row],[SZACOWANE ROZPOCZĘCIE]],Szczegóły_projektu[[#This Row],[SZACOWANE ZAKOŃCZENIE]],FALSE)</f>
        <v>32</v>
      </c>
      <c r="K6">
        <f ca="1">DAYS360(Szczegóły_projektu[[#This Row],[RZECZYWISTE ROZPOCZĘCIE]],Szczegóły_projektu[[#This Row],[RZECZYWISTE ZAKOŃCZENIE]],FALSE)</f>
        <v>400</v>
      </c>
      <c r="L6" s="26">
        <f>INDEX(Parametry[],MATCH(Szczegóły_projektu[[#This Row],[TYP PROJEKTU]],Parametry[TYP PROJEKTU],0),MATCH(Szczegóły_projektu[[#Headers],[KIEROWNIK DS. KLIENTA]],Parametry[#Headers],0))*INDEX('PARAMETRY PROJEKTU'!$B$12:$H$12,1,MATCH(Szczegóły_projektu[[#Headers],[KIEROWNIK DS. KLIENTA]],Parametry[#Headers],0))*Szczegóły_projektu[[#This Row],[PRACA SZACOWANA]]</f>
        <v>14400</v>
      </c>
      <c r="M6" s="26">
        <f>INDEX(Parametry[],MATCH(Szczegóły_projektu[[#This Row],[TYP PROJEKTU]],Parametry[TYP PROJEKTU],0),MATCH(Szczegóły_projektu[[#Headers],[KIEROWNIK PROJEKTU]],Parametry[#Headers],0))*INDEX('PARAMETRY PROJEKTU'!$B$12:$H$12,1,MATCH(Szczegóły_projektu[[#Headers],[KIEROWNIK PROJEKTU]],Parametry[#Headers],0))*Szczegóły_projektu[[#This Row],[PRACA SZACOWANA]]</f>
        <v>24000</v>
      </c>
      <c r="N6" s="26">
        <f>INDEX(Parametry[],MATCH(Szczegóły_projektu[[#This Row],[TYP PROJEKTU]],Parametry[TYP PROJEKTU],0),MATCH(Szczegóły_projektu[[#Headers],[KIEROWNIK DS. STRATEGII]],Parametry[#Headers],0))*INDEX('PARAMETRY PROJEKTU'!$B$12:$H$12,1,MATCH(Szczegóły_projektu[[#Headers],[KIEROWNIK DS. STRATEGII]],Parametry[#Headers],0))*Szczegóły_projektu[[#This Row],[PRACA SZACOWANA]]</f>
        <v>6000</v>
      </c>
      <c r="O6" s="26">
        <f>INDEX(Parametry[],MATCH(Szczegóły_projektu[[#This Row],[TYP PROJEKTU]],Parametry[TYP PROJEKTU],0),MATCH(Szczegóły_projektu[[#Headers],[SPECJALISTA DS. PROJEKTOWANIA]],Parametry[#Headers],0))*INDEX('PARAMETRY PROJEKTU'!$B$12:$H$12,1,MATCH(Szczegóły_projektu[[#Headers],[SPECJALISTA DS. PROJEKTOWANIA]],Parametry[#Headers],0))*Szczegóły_projektu[[#This Row],[PRACA SZACOWANA]]</f>
        <v>4000</v>
      </c>
      <c r="P6" s="26">
        <f>INDEX(Parametry[],MATCH(Szczegóły_projektu[[#This Row],[TYP PROJEKTU]],Parametry[TYP PROJEKTU],0),MATCH(Szczegóły_projektu[[#Headers],[PERSONEL WYDARZENIA]],Parametry[#Headers],0))*INDEX('PARAMETRY PROJEKTU'!$B$12:$H$12,1,MATCH(Szczegóły_projektu[[#Headers],[PERSONEL WYDARZENIA]],Parametry[#Headers],0))*Szczegóły_projektu[[#This Row],[PRACA SZACOWANA]]</f>
        <v>0</v>
      </c>
      <c r="Q6" s="26">
        <f>INDEX(Parametry[],MATCH(Szczegóły_projektu[[#This Row],[TYP PROJEKTU]],Parametry[TYP PROJEKTU],0),MATCH(Szczegóły_projektu[[#Headers],[PERSONEL ADMINISTRACYJNY]],Parametry[#Headers],0))*INDEX('PARAMETRY PROJEKTU'!$B$12:$H$12,1,MATCH(Szczegóły_projektu[[#Headers],[PERSONEL ADMINISTRACYJNY]],Parametry[#Headers],0))*Szczegóły_projektu[[#This Row],[PRACA SZACOWANA]]</f>
        <v>2400</v>
      </c>
      <c r="R6" s="26">
        <f>INDEX(Parametry[],MATCH(Szczegóły_projektu[[#This Row],[TYP PROJEKTU]],Parametry[TYP PROJEKTU],0),MATCH(Szczegóły_projektu[[#Headers],[KIEROWNIK DS. KLIENTA]],Parametry[#Headers],0))*INDEX('PARAMETRY PROJEKTU'!$B$12:$H$12,1,MATCH(Szczegóły_projektu[[#Headers],[KIEROWNIK DS. KLIENTA]],Parametry[#Headers],0))*Szczegóły_projektu[[#This Row],[PRACA RZECZYWISTA]]</f>
        <v>14040</v>
      </c>
      <c r="S6" s="26">
        <f>INDEX(Parametry[],MATCH(Szczegóły_projektu[[#This Row],[TYP PROJEKTU]],Parametry[TYP PROJEKTU],0),MATCH(Szczegóły_projektu[[#Headers],[KIEROWNIK PROJEKTU]],Parametry[#Headers],0))*INDEX('PARAMETRY PROJEKTU'!$B$12:$H$12,1,MATCH(Szczegóły_projektu[[#Headers],[KIEROWNIK PROJEKTU]],Parametry[#Headers],0))*Szczegóły_projektu[[#This Row],[PRACA RZECZYWISTA]]</f>
        <v>23400</v>
      </c>
      <c r="T6" s="26">
        <f>INDEX(Parametry[],MATCH(Szczegóły_projektu[[#This Row],[TYP PROJEKTU]],Parametry[TYP PROJEKTU],0),MATCH(Szczegóły_projektu[[#Headers],[KIEROWNIK DS. STRATEGII]],Parametry[#Headers],0))*INDEX('PARAMETRY PROJEKTU'!$B$12:$H$12,1,MATCH(Szczegóły_projektu[[#Headers],[KIEROWNIK DS. STRATEGII]],Parametry[#Headers],0))*Szczegóły_projektu[[#This Row],[PRACA RZECZYWISTA]]</f>
        <v>5850</v>
      </c>
      <c r="U6" s="26">
        <f>INDEX(Parametry[],MATCH(Szczegóły_projektu[[#This Row],[TYP PROJEKTU]],Parametry[TYP PROJEKTU],0),MATCH(Szczegóły_projektu[[#Headers],[SPECJALISTA DS. PROJEKTOWANIA]],Parametry[#Headers],0))*INDEX('PARAMETRY PROJEKTU'!$B$12:$H$12,1,MATCH(Szczegóły_projektu[[#Headers],[SPECJALISTA DS. PROJEKTOWANIA]],Parametry[#Headers],0))*Szczegóły_projektu[[#This Row],[PRACA RZECZYWISTA]]</f>
        <v>3900</v>
      </c>
      <c r="V6" s="26">
        <f>INDEX(Parametry[],MATCH(Szczegóły_projektu[[#This Row],[TYP PROJEKTU]],Parametry[TYP PROJEKTU],0),MATCH(Szczegóły_projektu[[#Headers],[PERSONEL WYDARZENIA]],Parametry[#Headers],0))*INDEX('PARAMETRY PROJEKTU'!$B$12:$H$12,1,MATCH(Szczegóły_projektu[[#Headers],[PERSONEL WYDARZENIA]],Parametry[#Headers],0))*Szczegóły_projektu[[#This Row],[PRACA RZECZYWISTA]]</f>
        <v>0</v>
      </c>
      <c r="W6" s="26">
        <f>INDEX(Parametry[],MATCH(Szczegóły_projektu[[#This Row],[TYP PROJEKTU]],Parametry[TYP PROJEKTU],0),MATCH(Szczegóły_projektu[[#Headers],[PERSONEL ADMINISTRACYJNY]],Parametry[#Headers],0))*INDEX('PARAMETRY PROJEKTU'!$B$12:$H$12,1,MATCH(Szczegóły_projektu[[#Headers],[PERSONEL ADMINISTRACYJNY]],Parametry[#Headers],0))*Szczegóły_projektu[[#This Row],[PRACA RZECZYWISTA]]</f>
        <v>2340</v>
      </c>
    </row>
    <row r="7" spans="1:23" x14ac:dyDescent="0.2">
      <c r="B7" t="s">
        <v>38</v>
      </c>
      <c r="C7" t="s">
        <v>16</v>
      </c>
      <c r="D7" s="14">
        <f ca="1">DATE(YEAR(TODAY())+2,7,12)</f>
        <v>44389</v>
      </c>
      <c r="E7" s="14">
        <f ca="1">DATE(YEAR(TODAY())+2,9,19)</f>
        <v>44458</v>
      </c>
      <c r="F7" s="14">
        <f ca="1">DATE(YEAR(TODAY())+6,8,7)</f>
        <v>45876</v>
      </c>
      <c r="G7" s="14">
        <f ca="1">DATE(YEAR(TODAY())+6,10,10)</f>
        <v>45940</v>
      </c>
      <c r="H7">
        <v>500</v>
      </c>
      <c r="I7">
        <v>500</v>
      </c>
      <c r="J7">
        <f ca="1">DAYS360(Szczegóły_projektu[[#This Row],[SZACOWANE ROZPOCZĘCIE]],Szczegóły_projektu[[#This Row],[SZACOWANE ZAKOŃCZENIE]],FALSE)</f>
        <v>67</v>
      </c>
      <c r="K7">
        <f ca="1">DAYS360(Szczegóły_projektu[[#This Row],[RZECZYWISTE ROZPOCZĘCIE]],Szczegóły_projektu[[#This Row],[RZECZYWISTE ZAKOŃCZENIE]],FALSE)</f>
        <v>63</v>
      </c>
      <c r="L7" s="26">
        <f>INDEX(Parametry[],MATCH(Szczegóły_projektu[[#This Row],[TYP PROJEKTU]],Parametry[TYP PROJEKTU],0),MATCH(Szczegóły_projektu[[#Headers],[KIEROWNIK DS. KLIENTA]],Parametry[#Headers],0))*INDEX('PARAMETRY PROJEKTU'!$B$12:$H$12,1,MATCH(Szczegóły_projektu[[#Headers],[KIEROWNIK DS. KLIENTA]],Parametry[#Headers],0))*Szczegóły_projektu[[#This Row],[PRACA SZACOWANA]]</f>
        <v>18000</v>
      </c>
      <c r="M7" s="26">
        <f>INDEX(Parametry[],MATCH(Szczegóły_projektu[[#This Row],[TYP PROJEKTU]],Parametry[TYP PROJEKTU],0),MATCH(Szczegóły_projektu[[#Headers],[KIEROWNIK PROJEKTU]],Parametry[#Headers],0))*INDEX('PARAMETRY PROJEKTU'!$B$12:$H$12,1,MATCH(Szczegóły_projektu[[#Headers],[KIEROWNIK PROJEKTU]],Parametry[#Headers],0))*Szczegóły_projektu[[#This Row],[PRACA SZACOWANA]]</f>
        <v>12000</v>
      </c>
      <c r="N7" s="26">
        <f>INDEX(Parametry[],MATCH(Szczegóły_projektu[[#This Row],[TYP PROJEKTU]],Parametry[TYP PROJEKTU],0),MATCH(Szczegóły_projektu[[#Headers],[KIEROWNIK DS. STRATEGII]],Parametry[#Headers],0))*INDEX('PARAMETRY PROJEKTU'!$B$12:$H$12,1,MATCH(Szczegóły_projektu[[#Headers],[KIEROWNIK DS. STRATEGII]],Parametry[#Headers],0))*Szczegóły_projektu[[#This Row],[PRACA SZACOWANA]]</f>
        <v>0</v>
      </c>
      <c r="O7" s="26">
        <f>INDEX(Parametry[],MATCH(Szczegóły_projektu[[#This Row],[TYP PROJEKTU]],Parametry[TYP PROJEKTU],0),MATCH(Szczegóły_projektu[[#Headers],[SPECJALISTA DS. PROJEKTOWANIA]],Parametry[#Headers],0))*INDEX('PARAMETRY PROJEKTU'!$B$12:$H$12,1,MATCH(Szczegóły_projektu[[#Headers],[SPECJALISTA DS. PROJEKTOWANIA]],Parametry[#Headers],0))*Szczegóły_projektu[[#This Row],[PRACA SZACOWANA]]</f>
        <v>25000</v>
      </c>
      <c r="P7" s="26">
        <f>INDEX(Parametry[],MATCH(Szczegóły_projektu[[#This Row],[TYP PROJEKTU]],Parametry[TYP PROJEKTU],0),MATCH(Szczegóły_projektu[[#Headers],[PERSONEL WYDARZENIA]],Parametry[#Headers],0))*INDEX('PARAMETRY PROJEKTU'!$B$12:$H$12,1,MATCH(Szczegóły_projektu[[#Headers],[PERSONEL WYDARZENIA]],Parametry[#Headers],0))*Szczegóły_projektu[[#This Row],[PRACA SZACOWANA]]</f>
        <v>0</v>
      </c>
      <c r="Q7" s="26">
        <f>INDEX(Parametry[],MATCH(Szczegóły_projektu[[#This Row],[TYP PROJEKTU]],Parametry[TYP PROJEKTU],0),MATCH(Szczegóły_projektu[[#Headers],[PERSONEL ADMINISTRACYJNY]],Parametry[#Headers],0))*INDEX('PARAMETRY PROJEKTU'!$B$12:$H$12,1,MATCH(Szczegóły_projektu[[#Headers],[PERSONEL ADMINISTRACYJNY]],Parametry[#Headers],0))*Szczegóły_projektu[[#This Row],[PRACA SZACOWANA]]</f>
        <v>3000</v>
      </c>
      <c r="R7" s="26">
        <f>INDEX(Parametry[],MATCH(Szczegóły_projektu[[#This Row],[TYP PROJEKTU]],Parametry[TYP PROJEKTU],0),MATCH(Szczegóły_projektu[[#Headers],[KIEROWNIK DS. KLIENTA]],Parametry[#Headers],0))*INDEX('PARAMETRY PROJEKTU'!$B$12:$H$12,1,MATCH(Szczegóły_projektu[[#Headers],[KIEROWNIK DS. KLIENTA]],Parametry[#Headers],0))*Szczegóły_projektu[[#This Row],[PRACA RZECZYWISTA]]</f>
        <v>18000</v>
      </c>
      <c r="S7" s="26">
        <f>INDEX(Parametry[],MATCH(Szczegóły_projektu[[#This Row],[TYP PROJEKTU]],Parametry[TYP PROJEKTU],0),MATCH(Szczegóły_projektu[[#Headers],[KIEROWNIK PROJEKTU]],Parametry[#Headers],0))*INDEX('PARAMETRY PROJEKTU'!$B$12:$H$12,1,MATCH(Szczegóły_projektu[[#Headers],[KIEROWNIK PROJEKTU]],Parametry[#Headers],0))*Szczegóły_projektu[[#This Row],[PRACA RZECZYWISTA]]</f>
        <v>12000</v>
      </c>
      <c r="T7" s="26">
        <f>INDEX(Parametry[],MATCH(Szczegóły_projektu[[#This Row],[TYP PROJEKTU]],Parametry[TYP PROJEKTU],0),MATCH(Szczegóły_projektu[[#Headers],[KIEROWNIK DS. STRATEGII]],Parametry[#Headers],0))*INDEX('PARAMETRY PROJEKTU'!$B$12:$H$12,1,MATCH(Szczegóły_projektu[[#Headers],[KIEROWNIK DS. STRATEGII]],Parametry[#Headers],0))*Szczegóły_projektu[[#This Row],[PRACA RZECZYWISTA]]</f>
        <v>0</v>
      </c>
      <c r="U7" s="26">
        <f>INDEX(Parametry[],MATCH(Szczegóły_projektu[[#This Row],[TYP PROJEKTU]],Parametry[TYP PROJEKTU],0),MATCH(Szczegóły_projektu[[#Headers],[SPECJALISTA DS. PROJEKTOWANIA]],Parametry[#Headers],0))*INDEX('PARAMETRY PROJEKTU'!$B$12:$H$12,1,MATCH(Szczegóły_projektu[[#Headers],[SPECJALISTA DS. PROJEKTOWANIA]],Parametry[#Headers],0))*Szczegóły_projektu[[#This Row],[PRACA RZECZYWISTA]]</f>
        <v>25000</v>
      </c>
      <c r="V7" s="26">
        <f>INDEX(Parametry[],MATCH(Szczegóły_projektu[[#This Row],[TYP PROJEKTU]],Parametry[TYP PROJEKTU],0),MATCH(Szczegóły_projektu[[#Headers],[PERSONEL WYDARZENIA]],Parametry[#Headers],0))*INDEX('PARAMETRY PROJEKTU'!$B$12:$H$12,1,MATCH(Szczegóły_projektu[[#Headers],[PERSONEL WYDARZENIA]],Parametry[#Headers],0))*Szczegóły_projektu[[#This Row],[PRACA RZECZYWISTA]]</f>
        <v>0</v>
      </c>
      <c r="W7" s="26">
        <f>INDEX(Parametry[],MATCH(Szczegóły_projektu[[#This Row],[TYP PROJEKTU]],Parametry[TYP PROJEKTU],0),MATCH(Szczegóły_projektu[[#Headers],[PERSONEL ADMINISTRACYJNY]],Parametry[#Headers],0))*INDEX('PARAMETRY PROJEKTU'!$B$12:$H$12,1,MATCH(Szczegóły_projektu[[#Headers],[PERSONEL ADMINISTRACYJNY]],Parametry[#Headers],0))*Szczegóły_projektu[[#This Row],[PRACA RZECZYWISTA]]</f>
        <v>3000</v>
      </c>
    </row>
    <row r="8" spans="1:23" x14ac:dyDescent="0.2">
      <c r="B8" t="s">
        <v>39</v>
      </c>
      <c r="C8" t="s">
        <v>17</v>
      </c>
      <c r="D8" s="14">
        <f ca="1">DATE(YEAR(TODAY())+3,7,30)</f>
        <v>44772</v>
      </c>
      <c r="E8" s="14">
        <f ca="1">DATE(YEAR(TODAY())+3,9,28)</f>
        <v>44832</v>
      </c>
      <c r="F8" s="14">
        <f ca="1">DATE(YEAR(TODAY())+3,9,14)</f>
        <v>44818</v>
      </c>
      <c r="G8" s="14">
        <f ca="1">DATE(YEAR(TODAY())+3,11,13)</f>
        <v>44878</v>
      </c>
      <c r="H8">
        <v>150</v>
      </c>
      <c r="I8">
        <v>145</v>
      </c>
      <c r="J8">
        <f ca="1">DAYS360(Szczegóły_projektu[[#This Row],[SZACOWANE ROZPOCZĘCIE]],Szczegóły_projektu[[#This Row],[SZACOWANE ZAKOŃCZENIE]],FALSE)</f>
        <v>58</v>
      </c>
      <c r="K8">
        <f ca="1">DAYS360(Szczegóły_projektu[[#This Row],[RZECZYWISTE ROZPOCZĘCIE]],Szczegóły_projektu[[#This Row],[RZECZYWISTE ZAKOŃCZENIE]],FALSE)</f>
        <v>59</v>
      </c>
      <c r="L8" s="26">
        <f>INDEX(Parametry[],MATCH(Szczegóły_projektu[[#This Row],[TYP PROJEKTU]],Parametry[TYP PROJEKTU],0),MATCH(Szczegóły_projektu[[#Headers],[KIEROWNIK DS. KLIENTA]],Parametry[#Headers],0))*INDEX('PARAMETRY PROJEKTU'!$B$12:$H$12,1,MATCH(Szczegóły_projektu[[#Headers],[KIEROWNIK DS. KLIENTA]],Parametry[#Headers],0))*Szczegóły_projektu[[#This Row],[PRACA SZACOWANA]]</f>
        <v>5400</v>
      </c>
      <c r="M8" s="26">
        <f>INDEX(Parametry[],MATCH(Szczegóły_projektu[[#This Row],[TYP PROJEKTU]],Parametry[TYP PROJEKTU],0),MATCH(Szczegóły_projektu[[#Headers],[KIEROWNIK PROJEKTU]],Parametry[#Headers],0))*INDEX('PARAMETRY PROJEKTU'!$B$12:$H$12,1,MATCH(Szczegóły_projektu[[#Headers],[KIEROWNIK PROJEKTU]],Parametry[#Headers],0))*Szczegóły_projektu[[#This Row],[PRACA SZACOWANA]]</f>
        <v>10800</v>
      </c>
      <c r="N8" s="26">
        <f>INDEX(Parametry[],MATCH(Szczegóły_projektu[[#This Row],[TYP PROJEKTU]],Parametry[TYP PROJEKTU],0),MATCH(Szczegóły_projektu[[#Headers],[KIEROWNIK DS. STRATEGII]],Parametry[#Headers],0))*INDEX('PARAMETRY PROJEKTU'!$B$12:$H$12,1,MATCH(Szczegóły_projektu[[#Headers],[KIEROWNIK DS. STRATEGII]],Parametry[#Headers],0))*Szczegóły_projektu[[#This Row],[PRACA SZACOWANA]]</f>
        <v>0</v>
      </c>
      <c r="O8" s="26">
        <f>INDEX(Parametry[],MATCH(Szczegóły_projektu[[#This Row],[TYP PROJEKTU]],Parametry[TYP PROJEKTU],0),MATCH(Szczegóły_projektu[[#Headers],[SPECJALISTA DS. PROJEKTOWANIA]],Parametry[#Headers],0))*INDEX('PARAMETRY PROJEKTU'!$B$12:$H$12,1,MATCH(Szczegóły_projektu[[#Headers],[SPECJALISTA DS. PROJEKTOWANIA]],Parametry[#Headers],0))*Szczegóły_projektu[[#This Row],[PRACA SZACOWANA]]</f>
        <v>0</v>
      </c>
      <c r="P8" s="26">
        <f>INDEX(Parametry[],MATCH(Szczegóły_projektu[[#This Row],[TYP PROJEKTU]],Parametry[TYP PROJEKTU],0),MATCH(Szczegóły_projektu[[#Headers],[PERSONEL WYDARZENIA]],Parametry[#Headers],0))*INDEX('PARAMETRY PROJEKTU'!$B$12:$H$12,1,MATCH(Szczegóły_projektu[[#Headers],[PERSONEL WYDARZENIA]],Parametry[#Headers],0))*Szczegóły_projektu[[#This Row],[PRACA SZACOWANA]]</f>
        <v>1200</v>
      </c>
      <c r="Q8" s="26">
        <f>INDEX(Parametry[],MATCH(Szczegóły_projektu[[#This Row],[TYP PROJEKTU]],Parametry[TYP PROJEKTU],0),MATCH(Szczegóły_projektu[[#Headers],[PERSONEL ADMINISTRACYJNY]],Parametry[#Headers],0))*INDEX('PARAMETRY PROJEKTU'!$B$12:$H$12,1,MATCH(Szczegóły_projektu[[#Headers],[PERSONEL ADMINISTRACYJNY]],Parametry[#Headers],0))*Szczegóły_projektu[[#This Row],[PRACA SZACOWANA]]</f>
        <v>900</v>
      </c>
      <c r="R8" s="26">
        <f>INDEX(Parametry[],MATCH(Szczegóły_projektu[[#This Row],[TYP PROJEKTU]],Parametry[TYP PROJEKTU],0),MATCH(Szczegóły_projektu[[#Headers],[KIEROWNIK DS. KLIENTA]],Parametry[#Headers],0))*INDEX('PARAMETRY PROJEKTU'!$B$12:$H$12,1,MATCH(Szczegóły_projektu[[#Headers],[KIEROWNIK DS. KLIENTA]],Parametry[#Headers],0))*Szczegóły_projektu[[#This Row],[PRACA RZECZYWISTA]]</f>
        <v>5220</v>
      </c>
      <c r="S8" s="26">
        <f>INDEX(Parametry[],MATCH(Szczegóły_projektu[[#This Row],[TYP PROJEKTU]],Parametry[TYP PROJEKTU],0),MATCH(Szczegóły_projektu[[#Headers],[KIEROWNIK PROJEKTU]],Parametry[#Headers],0))*INDEX('PARAMETRY PROJEKTU'!$B$12:$H$12,1,MATCH(Szczegóły_projektu[[#Headers],[KIEROWNIK PROJEKTU]],Parametry[#Headers],0))*Szczegóły_projektu[[#This Row],[PRACA RZECZYWISTA]]</f>
        <v>10440</v>
      </c>
      <c r="T8" s="26">
        <f>INDEX(Parametry[],MATCH(Szczegóły_projektu[[#This Row],[TYP PROJEKTU]],Parametry[TYP PROJEKTU],0),MATCH(Szczegóły_projektu[[#Headers],[KIEROWNIK DS. STRATEGII]],Parametry[#Headers],0))*INDEX('PARAMETRY PROJEKTU'!$B$12:$H$12,1,MATCH(Szczegóły_projektu[[#Headers],[KIEROWNIK DS. STRATEGII]],Parametry[#Headers],0))*Szczegóły_projektu[[#This Row],[PRACA RZECZYWISTA]]</f>
        <v>0</v>
      </c>
      <c r="U8" s="26">
        <f>INDEX(Parametry[],MATCH(Szczegóły_projektu[[#This Row],[TYP PROJEKTU]],Parametry[TYP PROJEKTU],0),MATCH(Szczegóły_projektu[[#Headers],[SPECJALISTA DS. PROJEKTOWANIA]],Parametry[#Headers],0))*INDEX('PARAMETRY PROJEKTU'!$B$12:$H$12,1,MATCH(Szczegóły_projektu[[#Headers],[SPECJALISTA DS. PROJEKTOWANIA]],Parametry[#Headers],0))*Szczegóły_projektu[[#This Row],[PRACA RZECZYWISTA]]</f>
        <v>0</v>
      </c>
      <c r="V8" s="26">
        <f>INDEX(Parametry[],MATCH(Szczegóły_projektu[[#This Row],[TYP PROJEKTU]],Parametry[TYP PROJEKTU],0),MATCH(Szczegóły_projektu[[#Headers],[PERSONEL WYDARZENIA]],Parametry[#Headers],0))*INDEX('PARAMETRY PROJEKTU'!$B$12:$H$12,1,MATCH(Szczegóły_projektu[[#Headers],[PERSONEL WYDARZENIA]],Parametry[#Headers],0))*Szczegóły_projektu[[#This Row],[PRACA RZECZYWISTA]]</f>
        <v>1160</v>
      </c>
      <c r="W8" s="26">
        <f>INDEX(Parametry[],MATCH(Szczegóły_projektu[[#This Row],[TYP PROJEKTU]],Parametry[TYP PROJEKTU],0),MATCH(Szczegóły_projektu[[#Headers],[PERSONEL ADMINISTRACYJNY]],Parametry[#Headers],0))*INDEX('PARAMETRY PROJEKTU'!$B$12:$H$12,1,MATCH(Szczegóły_projektu[[#Headers],[PERSONEL ADMINISTRACYJNY]],Parametry[#Headers],0))*Szczegóły_projektu[[#This Row],[PRACA RZECZYWISTA]]</f>
        <v>870</v>
      </c>
    </row>
    <row r="9" spans="1:23" x14ac:dyDescent="0.2">
      <c r="B9" t="s">
        <v>40</v>
      </c>
      <c r="C9" t="s">
        <v>18</v>
      </c>
      <c r="D9" s="14">
        <f ca="1">DATE(YEAR(TODAY())+4,8,11)</f>
        <v>45149</v>
      </c>
      <c r="E9" s="14">
        <f ca="1">DATE(YEAR(TODAY())+4,8,21)</f>
        <v>45159</v>
      </c>
      <c r="F9" s="14">
        <f ca="1">DATE(YEAR(TODAY())+4,9,14)</f>
        <v>45183</v>
      </c>
      <c r="G9" s="14">
        <f ca="1">DATE(YEAR(TODAY())+4,9,25)</f>
        <v>45194</v>
      </c>
      <c r="H9">
        <v>250</v>
      </c>
      <c r="I9">
        <v>255</v>
      </c>
      <c r="J9">
        <f ca="1">DAYS360(Szczegóły_projektu[[#This Row],[SZACOWANE ROZPOCZĘCIE]],Szczegóły_projektu[[#This Row],[SZACOWANE ZAKOŃCZENIE]],FALSE)</f>
        <v>10</v>
      </c>
      <c r="K9">
        <f ca="1">DAYS360(Szczegóły_projektu[[#This Row],[RZECZYWISTE ROZPOCZĘCIE]],Szczegóły_projektu[[#This Row],[RZECZYWISTE ZAKOŃCZENIE]],FALSE)</f>
        <v>11</v>
      </c>
      <c r="L9" s="26">
        <f>INDEX(Parametry[],MATCH(Szczegóły_projektu[[#This Row],[TYP PROJEKTU]],Parametry[TYP PROJEKTU],0),MATCH(Szczegóły_projektu[[#Headers],[KIEROWNIK DS. KLIENTA]],Parametry[#Headers],0))*INDEX('PARAMETRY PROJEKTU'!$B$12:$H$12,1,MATCH(Szczegóły_projektu[[#Headers],[KIEROWNIK DS. KLIENTA]],Parametry[#Headers],0))*Szczegóły_projektu[[#This Row],[PRACA SZACOWANA]]</f>
        <v>9000</v>
      </c>
      <c r="M9" s="26">
        <f>INDEX(Parametry[],MATCH(Szczegóły_projektu[[#This Row],[TYP PROJEKTU]],Parametry[TYP PROJEKTU],0),MATCH(Szczegóły_projektu[[#Headers],[KIEROWNIK PROJEKTU]],Parametry[#Headers],0))*INDEX('PARAMETRY PROJEKTU'!$B$12:$H$12,1,MATCH(Szczegóły_projektu[[#Headers],[KIEROWNIK PROJEKTU]],Parametry[#Headers],0))*Szczegóły_projektu[[#This Row],[PRACA SZACOWANA]]</f>
        <v>3000</v>
      </c>
      <c r="N9" s="26">
        <f>INDEX(Parametry[],MATCH(Szczegóły_projektu[[#This Row],[TYP PROJEKTU]],Parametry[TYP PROJEKTU],0),MATCH(Szczegóły_projektu[[#Headers],[KIEROWNIK DS. STRATEGII]],Parametry[#Headers],0))*INDEX('PARAMETRY PROJEKTU'!$B$12:$H$12,1,MATCH(Szczegóły_projektu[[#Headers],[KIEROWNIK DS. STRATEGII]],Parametry[#Headers],0))*Szczegóły_projektu[[#This Row],[PRACA SZACOWANA]]</f>
        <v>0</v>
      </c>
      <c r="O9" s="26">
        <f>INDEX(Parametry[],MATCH(Szczegóły_projektu[[#This Row],[TYP PROJEKTU]],Parametry[TYP PROJEKTU],0),MATCH(Szczegóły_projektu[[#Headers],[SPECJALISTA DS. PROJEKTOWANIA]],Parametry[#Headers],0))*INDEX('PARAMETRY PROJEKTU'!$B$12:$H$12,1,MATCH(Szczegóły_projektu[[#Headers],[SPECJALISTA DS. PROJEKTOWANIA]],Parametry[#Headers],0))*Szczegóły_projektu[[#This Row],[PRACA SZACOWANA]]</f>
        <v>0</v>
      </c>
      <c r="P9" s="26">
        <f>INDEX(Parametry[],MATCH(Szczegóły_projektu[[#This Row],[TYP PROJEKTU]],Parametry[TYP PROJEKTU],0),MATCH(Szczegóły_projektu[[#Headers],[PERSONEL WYDARZENIA]],Parametry[#Headers],0))*INDEX('PARAMETRY PROJEKTU'!$B$12:$H$12,1,MATCH(Szczegóły_projektu[[#Headers],[PERSONEL WYDARZENIA]],Parametry[#Headers],0))*Szczegóły_projektu[[#This Row],[PRACA SZACOWANA]]</f>
        <v>12000</v>
      </c>
      <c r="Q9" s="26">
        <f>INDEX(Parametry[],MATCH(Szczegóły_projektu[[#This Row],[TYP PROJEKTU]],Parametry[TYP PROJEKTU],0),MATCH(Szczegóły_projektu[[#Headers],[PERSONEL ADMINISTRACYJNY]],Parametry[#Headers],0))*INDEX('PARAMETRY PROJEKTU'!$B$12:$H$12,1,MATCH(Szczegóły_projektu[[#Headers],[PERSONEL ADMINISTRACYJNY]],Parametry[#Headers],0))*Szczegóły_projektu[[#This Row],[PRACA SZACOWANA]]</f>
        <v>1500</v>
      </c>
      <c r="R9" s="26">
        <f>INDEX(Parametry[],MATCH(Szczegóły_projektu[[#This Row],[TYP PROJEKTU]],Parametry[TYP PROJEKTU],0),MATCH(Szczegóły_projektu[[#Headers],[KIEROWNIK DS. KLIENTA]],Parametry[#Headers],0))*INDEX('PARAMETRY PROJEKTU'!$B$12:$H$12,1,MATCH(Szczegóły_projektu[[#Headers],[KIEROWNIK DS. KLIENTA]],Parametry[#Headers],0))*Szczegóły_projektu[[#This Row],[PRACA RZECZYWISTA]]</f>
        <v>9180</v>
      </c>
      <c r="S9" s="26">
        <f>INDEX(Parametry[],MATCH(Szczegóły_projektu[[#This Row],[TYP PROJEKTU]],Parametry[TYP PROJEKTU],0),MATCH(Szczegóły_projektu[[#Headers],[KIEROWNIK PROJEKTU]],Parametry[#Headers],0))*INDEX('PARAMETRY PROJEKTU'!$B$12:$H$12,1,MATCH(Szczegóły_projektu[[#Headers],[KIEROWNIK PROJEKTU]],Parametry[#Headers],0))*Szczegóły_projektu[[#This Row],[PRACA RZECZYWISTA]]</f>
        <v>3060</v>
      </c>
      <c r="T9" s="26">
        <f>INDEX(Parametry[],MATCH(Szczegóły_projektu[[#This Row],[TYP PROJEKTU]],Parametry[TYP PROJEKTU],0),MATCH(Szczegóły_projektu[[#Headers],[KIEROWNIK DS. STRATEGII]],Parametry[#Headers],0))*INDEX('PARAMETRY PROJEKTU'!$B$12:$H$12,1,MATCH(Szczegóły_projektu[[#Headers],[KIEROWNIK DS. STRATEGII]],Parametry[#Headers],0))*Szczegóły_projektu[[#This Row],[PRACA RZECZYWISTA]]</f>
        <v>0</v>
      </c>
      <c r="U9" s="26">
        <f>INDEX(Parametry[],MATCH(Szczegóły_projektu[[#This Row],[TYP PROJEKTU]],Parametry[TYP PROJEKTU],0),MATCH(Szczegóły_projektu[[#Headers],[SPECJALISTA DS. PROJEKTOWANIA]],Parametry[#Headers],0))*INDEX('PARAMETRY PROJEKTU'!$B$12:$H$12,1,MATCH(Szczegóły_projektu[[#Headers],[SPECJALISTA DS. PROJEKTOWANIA]],Parametry[#Headers],0))*Szczegóły_projektu[[#This Row],[PRACA RZECZYWISTA]]</f>
        <v>0</v>
      </c>
      <c r="V9" s="26">
        <f>INDEX(Parametry[],MATCH(Szczegóły_projektu[[#This Row],[TYP PROJEKTU]],Parametry[TYP PROJEKTU],0),MATCH(Szczegóły_projektu[[#Headers],[PERSONEL WYDARZENIA]],Parametry[#Headers],0))*INDEX('PARAMETRY PROJEKTU'!$B$12:$H$12,1,MATCH(Szczegóły_projektu[[#Headers],[PERSONEL WYDARZENIA]],Parametry[#Headers],0))*Szczegóły_projektu[[#This Row],[PRACA RZECZYWISTA]]</f>
        <v>12240</v>
      </c>
      <c r="W9" s="26">
        <f>INDEX(Parametry[],MATCH(Szczegóły_projektu[[#This Row],[TYP PROJEKTU]],Parametry[TYP PROJEKTU],0),MATCH(Szczegóły_projektu[[#Headers],[PERSONEL ADMINISTRACYJNY]],Parametry[#Headers],0))*INDEX('PARAMETRY PROJEKTU'!$B$12:$H$12,1,MATCH(Szczegóły_projektu[[#Headers],[PERSONEL ADMINISTRACYJNY]],Parametry[#Headers],0))*Szczegóły_projektu[[#This Row],[PRACA RZECZYWISTA]]</f>
        <v>1530</v>
      </c>
    </row>
    <row r="10" spans="1:23" x14ac:dyDescent="0.2">
      <c r="B10" s="1" t="s">
        <v>41</v>
      </c>
      <c r="H10" s="1">
        <f>SUBTOTAL(109,Szczegóły_projektu[PRACA SZACOWANA])</f>
        <v>1500</v>
      </c>
      <c r="I10" s="1">
        <f>SUBTOTAL(109,Szczegóły_projektu[PRACA RZECZYWISTA])</f>
        <v>1510</v>
      </c>
      <c r="J10" s="1">
        <f ca="1">SUBTOTAL(109,Szczegóły_projektu[SZACOWANY CZAS TRWANIA])</f>
        <v>225</v>
      </c>
      <c r="K10" s="1">
        <f ca="1">SUBTOTAL(109,Szczegóły_projektu[RZECZYWISTY CZAS TRWANIA])</f>
        <v>597</v>
      </c>
    </row>
  </sheetData>
  <dataValidations disablePrompts="1" count="1">
    <dataValidation type="list" allowBlank="1" showInputMessage="1" showErrorMessage="1" sqref="C5:C9" xr:uid="{00000000-0002-0000-0100-000000000000}">
      <formula1>Typ_projektu</formula1>
    </dataValidation>
  </dataValidations>
  <printOptions horizontalCentered="1"/>
  <pageMargins left="0.4" right="0.4" top="0.4" bottom="0.4" header="0.3" footer="0.3"/>
  <pageSetup paperSize="9" scale="80" orientation="landscape" horizontalDpi="4294967293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/>
    <pageSetUpPr fitToPage="1"/>
  </sheetPr>
  <dimension ref="A1:N27"/>
  <sheetViews>
    <sheetView showGridLines="0" zoomScaleNormal="100" workbookViewId="0"/>
  </sheetViews>
  <sheetFormatPr defaultColWidth="9.140625" defaultRowHeight="14.25" x14ac:dyDescent="0.2"/>
  <cols>
    <col min="1" max="1" width="1.7109375" style="11" customWidth="1"/>
    <col min="2" max="2" width="18.5703125" style="1" bestFit="1" customWidth="1"/>
    <col min="3" max="3" width="14" style="1" bestFit="1" customWidth="1"/>
    <col min="4" max="4" width="11.7109375" style="1" bestFit="1" customWidth="1"/>
    <col min="5" max="5" width="14" style="1" bestFit="1" customWidth="1"/>
    <col min="6" max="6" width="16" style="1" bestFit="1" customWidth="1"/>
    <col min="7" max="7" width="12.7109375" style="1" bestFit="1" customWidth="1"/>
    <col min="8" max="8" width="17.28515625" style="1" bestFit="1" customWidth="1"/>
    <col min="9" max="9" width="14" style="1" bestFit="1" customWidth="1"/>
    <col min="10" max="10" width="12.42578125" style="1" bestFit="1" customWidth="1"/>
    <col min="11" max="11" width="14" style="1" bestFit="1" customWidth="1"/>
    <col min="12" max="12" width="16" style="1" bestFit="1" customWidth="1"/>
    <col min="13" max="13" width="12.7109375" style="1" bestFit="1" customWidth="1"/>
    <col min="14" max="14" width="17.28515625" style="1" bestFit="1" customWidth="1"/>
    <col min="15" max="15" width="2.7109375" style="1" customWidth="1"/>
    <col min="16" max="16384" width="9.140625" style="1"/>
  </cols>
  <sheetData>
    <row r="1" spans="1:14" ht="35.450000000000003" customHeight="1" x14ac:dyDescent="0.35">
      <c r="A1" s="11" t="s">
        <v>56</v>
      </c>
      <c r="B1" s="2" t="str">
        <f>'PARAMETRY PROJEKTU'!B1</f>
        <v>Nazwa firmy</v>
      </c>
      <c r="C1" s="2"/>
      <c r="D1" s="2"/>
      <c r="E1" s="2"/>
      <c r="F1" s="2"/>
      <c r="G1" s="2"/>
      <c r="H1" s="2"/>
      <c r="I1" s="2"/>
      <c r="J1" s="2"/>
      <c r="K1" s="2"/>
    </row>
    <row r="2" spans="1:14" ht="22.5" customHeight="1" x14ac:dyDescent="0.25">
      <c r="A2" s="11" t="s">
        <v>5</v>
      </c>
      <c r="B2" s="3" t="s">
        <v>11</v>
      </c>
      <c r="C2" s="3"/>
      <c r="D2" s="3"/>
      <c r="E2" s="3"/>
      <c r="F2" s="3"/>
      <c r="G2" s="3"/>
      <c r="H2" s="3"/>
      <c r="I2" s="3"/>
      <c r="J2" s="3"/>
      <c r="K2" s="3"/>
    </row>
    <row r="3" spans="1:14" s="15" customFormat="1" ht="29.25" customHeight="1" x14ac:dyDescent="0.2">
      <c r="A3" s="18" t="s">
        <v>6</v>
      </c>
      <c r="B3" s="16" t="str">
        <f>'PARAMETRY PROJEKTU'!B3</f>
        <v>Poufna Nazwa firmy</v>
      </c>
      <c r="C3" s="16"/>
      <c r="D3" s="16"/>
      <c r="E3" s="16"/>
      <c r="F3" s="16"/>
      <c r="G3" s="16"/>
      <c r="H3" s="16"/>
      <c r="I3" s="16"/>
      <c r="J3" s="16"/>
      <c r="K3" s="16"/>
    </row>
    <row r="4" spans="1:14" s="10" customFormat="1" ht="38.25" x14ac:dyDescent="0.2">
      <c r="A4" s="11" t="s">
        <v>57</v>
      </c>
      <c r="B4" s="23" t="s">
        <v>35</v>
      </c>
      <c r="C4" s="9" t="s">
        <v>59</v>
      </c>
      <c r="D4" s="9" t="s">
        <v>60</v>
      </c>
      <c r="E4" s="9" t="s">
        <v>61</v>
      </c>
      <c r="F4" s="9" t="s">
        <v>62</v>
      </c>
      <c r="G4" s="9" t="s">
        <v>63</v>
      </c>
      <c r="H4" s="9" t="s">
        <v>64</v>
      </c>
      <c r="I4" s="9" t="s">
        <v>65</v>
      </c>
      <c r="J4" s="9" t="s">
        <v>66</v>
      </c>
      <c r="K4" s="9" t="s">
        <v>67</v>
      </c>
      <c r="L4" s="9" t="s">
        <v>68</v>
      </c>
      <c r="M4" s="9" t="s">
        <v>70</v>
      </c>
      <c r="N4" s="9" t="s">
        <v>69</v>
      </c>
    </row>
    <row r="5" spans="1:14" x14ac:dyDescent="0.2">
      <c r="B5" t="s">
        <v>36</v>
      </c>
      <c r="C5" s="27">
        <v>7200</v>
      </c>
      <c r="D5" s="27">
        <v>2400</v>
      </c>
      <c r="E5" s="27">
        <v>18000</v>
      </c>
      <c r="F5" s="27">
        <v>0</v>
      </c>
      <c r="G5" s="27">
        <v>0</v>
      </c>
      <c r="H5" s="27">
        <v>1200</v>
      </c>
      <c r="I5" s="27">
        <v>7920</v>
      </c>
      <c r="J5" s="27">
        <v>2640</v>
      </c>
      <c r="K5" s="27">
        <v>19800</v>
      </c>
      <c r="L5" s="27">
        <v>0</v>
      </c>
      <c r="M5" s="27">
        <v>0</v>
      </c>
      <c r="N5" s="27">
        <v>1320</v>
      </c>
    </row>
    <row r="6" spans="1:14" x14ac:dyDescent="0.2">
      <c r="B6" t="s">
        <v>37</v>
      </c>
      <c r="C6" s="27">
        <v>14400</v>
      </c>
      <c r="D6" s="27">
        <v>24000</v>
      </c>
      <c r="E6" s="27">
        <v>6000</v>
      </c>
      <c r="F6" s="27">
        <v>4000</v>
      </c>
      <c r="G6" s="27">
        <v>0</v>
      </c>
      <c r="H6" s="27">
        <v>2400</v>
      </c>
      <c r="I6" s="27">
        <v>14040</v>
      </c>
      <c r="J6" s="27">
        <v>23400</v>
      </c>
      <c r="K6" s="27">
        <v>5850</v>
      </c>
      <c r="L6" s="27">
        <v>3900</v>
      </c>
      <c r="M6" s="27">
        <v>0</v>
      </c>
      <c r="N6" s="27">
        <v>2340</v>
      </c>
    </row>
    <row r="7" spans="1:14" x14ac:dyDescent="0.2">
      <c r="B7" t="s">
        <v>38</v>
      </c>
      <c r="C7" s="27">
        <v>18000</v>
      </c>
      <c r="D7" s="27">
        <v>12000</v>
      </c>
      <c r="E7" s="27">
        <v>0</v>
      </c>
      <c r="F7" s="27">
        <v>25000</v>
      </c>
      <c r="G7" s="27">
        <v>0</v>
      </c>
      <c r="H7" s="27">
        <v>3000</v>
      </c>
      <c r="I7" s="27">
        <v>18000</v>
      </c>
      <c r="J7" s="27">
        <v>12000</v>
      </c>
      <c r="K7" s="27">
        <v>0</v>
      </c>
      <c r="L7" s="27">
        <v>25000</v>
      </c>
      <c r="M7" s="27">
        <v>0</v>
      </c>
      <c r="N7" s="27">
        <v>3000</v>
      </c>
    </row>
    <row r="8" spans="1:14" x14ac:dyDescent="0.2">
      <c r="B8" t="s">
        <v>39</v>
      </c>
      <c r="C8" s="27">
        <v>5400</v>
      </c>
      <c r="D8" s="27">
        <v>10800</v>
      </c>
      <c r="E8" s="27">
        <v>0</v>
      </c>
      <c r="F8" s="27">
        <v>0</v>
      </c>
      <c r="G8" s="27">
        <v>1200</v>
      </c>
      <c r="H8" s="27">
        <v>900</v>
      </c>
      <c r="I8" s="27">
        <v>5220</v>
      </c>
      <c r="J8" s="27">
        <v>10440</v>
      </c>
      <c r="K8" s="27">
        <v>0</v>
      </c>
      <c r="L8" s="27">
        <v>0</v>
      </c>
      <c r="M8" s="27">
        <v>1160</v>
      </c>
      <c r="N8" s="27">
        <v>870</v>
      </c>
    </row>
    <row r="9" spans="1:14" x14ac:dyDescent="0.2">
      <c r="B9" t="s">
        <v>40</v>
      </c>
      <c r="C9" s="27">
        <v>9000</v>
      </c>
      <c r="D9" s="27">
        <v>3000</v>
      </c>
      <c r="E9" s="27">
        <v>0</v>
      </c>
      <c r="F9" s="27">
        <v>0</v>
      </c>
      <c r="G9" s="27">
        <v>12000</v>
      </c>
      <c r="H9" s="27">
        <v>1500</v>
      </c>
      <c r="I9" s="27">
        <v>9180</v>
      </c>
      <c r="J9" s="27">
        <v>3060</v>
      </c>
      <c r="K9" s="27">
        <v>0</v>
      </c>
      <c r="L9" s="27">
        <v>0</v>
      </c>
      <c r="M9" s="27">
        <v>12240</v>
      </c>
      <c r="N9" s="27">
        <v>1530</v>
      </c>
    </row>
    <row r="10" spans="1:14" x14ac:dyDescent="0.2">
      <c r="B10" t="s">
        <v>58</v>
      </c>
      <c r="C10" s="27">
        <v>54000</v>
      </c>
      <c r="D10" s="27">
        <v>52200</v>
      </c>
      <c r="E10" s="27">
        <v>24000</v>
      </c>
      <c r="F10" s="27">
        <v>29000</v>
      </c>
      <c r="G10" s="27">
        <v>13200</v>
      </c>
      <c r="H10" s="27">
        <v>9000</v>
      </c>
      <c r="I10" s="27">
        <v>54360</v>
      </c>
      <c r="J10" s="27">
        <v>51540</v>
      </c>
      <c r="K10" s="27">
        <v>25650</v>
      </c>
      <c r="L10" s="27">
        <v>28900</v>
      </c>
      <c r="M10" s="27">
        <v>13400</v>
      </c>
      <c r="N10" s="27">
        <v>9060</v>
      </c>
    </row>
    <row r="11" spans="1:14" x14ac:dyDescent="0.2"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x14ac:dyDescent="0.2"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x14ac:dyDescent="0.2"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x14ac:dyDescent="0.2"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x14ac:dyDescent="0.2"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x14ac:dyDescent="0.2"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2:14" x14ac:dyDescent="0.2"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2:14" x14ac:dyDescent="0.2"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2:14" x14ac:dyDescent="0.2"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2:14" x14ac:dyDescent="0.2"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2:14" x14ac:dyDescent="0.2"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2:14" x14ac:dyDescent="0.2"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2:14" x14ac:dyDescent="0.2"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2:14" x14ac:dyDescent="0.2"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2:14" x14ac:dyDescent="0.2"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2:14" x14ac:dyDescent="0.2"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2:14" x14ac:dyDescent="0.2">
      <c r="B27"/>
      <c r="C27"/>
      <c r="D27"/>
      <c r="E27"/>
      <c r="F27"/>
      <c r="G27"/>
      <c r="H27"/>
      <c r="I27"/>
      <c r="J27"/>
      <c r="K27"/>
      <c r="L27"/>
      <c r="M27"/>
      <c r="N27"/>
    </row>
  </sheetData>
  <printOptions horizontalCentered="1"/>
  <pageMargins left="0.4" right="0.4" top="0.4" bottom="0.4" header="0.3" footer="0.3"/>
  <pageSetup paperSize="9" scale="73" orientation="landscape" horizontalDpi="4294967293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3</vt:i4>
      </vt:variant>
    </vt:vector>
  </HeadingPairs>
  <TitlesOfParts>
    <vt:vector size="7" baseType="lpstr">
      <vt:lpstr>START</vt:lpstr>
      <vt:lpstr>PARAMETRY PROJEKTU</vt:lpstr>
      <vt:lpstr>SZCZEGÓŁY PROJEKTU</vt:lpstr>
      <vt:lpstr>SUMY PROJEKTU</vt:lpstr>
      <vt:lpstr>Typ_projektu</vt:lpstr>
      <vt:lpstr>'SUMY PROJEKTU'!Tytuły_wydruku</vt:lpstr>
      <vt:lpstr>'SZCZEGÓŁY PROJEKTU'!Tytuły_wydruku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2018-05-24T11:34:13Z</dcterms:created>
  <dcterms:modified xsi:type="dcterms:W3CDTF">2019-02-15T06:15:16Z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