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16"/>
  <workbookPr codeName="ThisWorkbook" hidePivotFieldList="1"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00" windowHeight="16050" xr2:uid="{00000000-000D-0000-FFFF-FFFF00000000}"/>
  </bookViews>
  <sheets>
    <sheet name="BẮT ĐẦU" sheetId="4" r:id="rId1"/>
    <sheet name="THAM SỐ DỰ ÁN" sheetId="1" r:id="rId2"/>
    <sheet name="CHI TIẾT DỰ ÁN" sheetId="2" r:id="rId3"/>
    <sheet name="TỔNG CỦA DỰ ÁN" sheetId="3" r:id="rId4"/>
  </sheets>
  <definedNames>
    <definedName name="Loại_dự_án">Tham_số[LOẠI DỰ ÁN]</definedName>
    <definedName name="_xlnm.Print_Titles" localSheetId="2">'CHI TIẾT DỰ ÁN'!$4:$4</definedName>
    <definedName name="_xlnm.Print_Titles" localSheetId="3">'TỔNG CỦA DỰ ÁN'!$4:$4</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E5" i="2" l="1"/>
  <c r="F7" i="2" l="1"/>
  <c r="G7" i="2"/>
  <c r="B3" i="3" l="1"/>
  <c r="B3" i="2" l="1"/>
  <c r="G9" i="2"/>
  <c r="F9" i="2"/>
  <c r="E9" i="2"/>
  <c r="D9" i="2"/>
  <c r="G8" i="2"/>
  <c r="F8" i="2"/>
  <c r="E8" i="2"/>
  <c r="D8" i="2"/>
  <c r="E7" i="2"/>
  <c r="D7" i="2"/>
  <c r="G6" i="2"/>
  <c r="F6" i="2"/>
  <c r="D6" i="2"/>
  <c r="E6" i="2"/>
  <c r="G5" i="2"/>
  <c r="F5" i="2"/>
  <c r="D5" i="2"/>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10" i="2"/>
  <c r="H10" i="2"/>
  <c r="I6" i="1"/>
  <c r="I7" i="1"/>
  <c r="I8" i="1"/>
  <c r="I9" i="1"/>
  <c r="I10" i="1"/>
  <c r="I11" i="1"/>
  <c r="H17" i="1" l="1"/>
  <c r="H19" i="1" s="1"/>
  <c r="F17" i="1"/>
  <c r="F19" i="1" s="1"/>
  <c r="D17" i="1"/>
  <c r="D19" i="1" s="1"/>
  <c r="G17" i="1"/>
  <c r="G19" i="1" s="1"/>
  <c r="E17" i="1"/>
  <c r="E19" i="1" s="1"/>
  <c r="F16" i="1"/>
  <c r="F18" i="1" s="1"/>
  <c r="E16" i="1"/>
  <c r="E18" i="1" s="1"/>
  <c r="C17" i="1"/>
  <c r="C19" i="1" s="1"/>
  <c r="D16" i="1"/>
  <c r="D18" i="1" s="1"/>
  <c r="H16" i="1"/>
  <c r="H18" i="1" s="1"/>
  <c r="C16" i="1"/>
  <c r="C18" i="1" s="1"/>
  <c r="G16" i="1"/>
  <c r="G18" i="1" s="1"/>
  <c r="J10" i="2"/>
  <c r="K10" i="2"/>
</calcChain>
</file>

<file path=xl/sharedStrings.xml><?xml version="1.0" encoding="utf-8"?>
<sst xmlns="http://schemas.openxmlformats.org/spreadsheetml/2006/main" count="106" uniqueCount="76">
  <si>
    <t>GIỚI THIỆU VỀ MẪU NÀY</t>
  </si>
  <si>
    <t>Theo dõi Tham số dự án, Chi tiết dự án và Tổng của dự án trong sổ làm việc Trình theo dõi lập kế hoạch sự kiện này.</t>
  </si>
  <si>
    <t>Nhập thông tin vào trang tính Tham số dự án để cập nhật biểu đồ cột và đồng thời nhập vào trang tính Chi tiết về dự án. PivotTable trong trang tính Tổng của dự án được cập nhật tự động.</t>
  </si>
  <si>
    <t>Điền Tên công ty vào trang tính Tham số và tên sẽ được cập nhật tự động trong các trang tính khác.</t>
  </si>
  <si>
    <t xml:space="preserve">Lưu ý:  </t>
  </si>
  <si>
    <t>Hướng dẫn bổ sung được cung cấp trong cột A của từng trang tính trong sổ làm việc TRÌNH THEO DÕI LẬP KẾ HOẠCH SỰ KIỆN. Phần văn bản này được cố ý ẩn đi. Để loại bỏ văn bản, chọn cột A, rồi chọn XÓA. Để bỏ ẩn văn bản, chọn cột A, rồi thay đổi màu phông chữ.</t>
  </si>
  <si>
    <t>Để tìm hiểu thêm về các bảng trong trang tính, hãy nhấn SHIFT, nhấn F10 trong bảng, chọn tùy chọn BẢNG, rồi chọn VĂN BẢN THAY THẾ.</t>
  </si>
  <si>
    <t>Tạo Tham số dự án trong trang tính này. Nhập Tên công ty vào ô bên phải. Hướng dẫn hữu ích nằm ở các ô trong cột này. Nhấn mũi tên xuống để bắt đầu.</t>
  </si>
  <si>
    <t>Tiêu đề của trang tính này nằm trong ô bên phải.</t>
  </si>
  <si>
    <t>Thông báo bí mật nằm trong ô bên phải.</t>
  </si>
  <si>
    <t>Mẹo nằm ở ô bên phải.</t>
  </si>
  <si>
    <t>Nhập chi tiết vào bảng Tham số bắt đầu từ ô bên phải. Hướng dẫn tiếp theo nằm trong ô A12.</t>
  </si>
  <si>
    <t>Nhập Mức giá tổng hợp vào các ô bên phải, các ô C12 đến H12. Hướng dẫn tiếp theo nằm trong ô A14.</t>
  </si>
  <si>
    <t>Biểu đồ cột thể hiện chi phí theo kế hoạch so với chi phí thực tế nằm trong ô bên phải còn biểu đồ cột thể hiện số giờ theo kế hoạch so với số giờ thực tế nằm trong ô F14.</t>
  </si>
  <si>
    <t>Tên công ty</t>
  </si>
  <si>
    <t>Trình theo dõi dự án quản lý sự kiện</t>
  </si>
  <si>
    <t>Các ô được tô bóng sẽ được tính toán cho bạn. Bạn không cần nhập gì vào đó.</t>
  </si>
  <si>
    <t>LOẠI DỰ ÁN</t>
  </si>
  <si>
    <t>Phát triển chiến lược sự kiện</t>
  </si>
  <si>
    <t>Lập kế hoạch sự kiện</t>
  </si>
  <si>
    <t>Thiết kế sự kiện</t>
  </si>
  <si>
    <t>Dịch vụ hậu cần cho sự kiện</t>
  </si>
  <si>
    <t>Cung cấp nhân viên cho sự kiện</t>
  </si>
  <si>
    <t>Đánh giá sự kiện</t>
  </si>
  <si>
    <t>Mức giá tổng hợp</t>
  </si>
  <si>
    <t>CHI PHÍ THEO KẾ HOẠCH</t>
  </si>
  <si>
    <t>CHI PHÍ THỰC TẾ</t>
  </si>
  <si>
    <t>SỐ GIỜ THEO KẾ HOẠCH</t>
  </si>
  <si>
    <t>SỐ GIỜ THỰC TẾ</t>
  </si>
  <si>
    <t>Biểu đồ cột thể hiện chi phí theo kế hoạch so với chi phí thực tế nằm trong ô này.</t>
  </si>
  <si>
    <t>NGƯỜI QUẢN LÝ TÀI KHOẢN</t>
  </si>
  <si>
    <t>NGƯỜI QUẢN LÝ DỰ ÁN</t>
  </si>
  <si>
    <t>NGƯỜI QUẢN LÝ CHIẾN LƯỢC</t>
  </si>
  <si>
    <t>CHUYÊN GIA THIẾT KẾ</t>
  </si>
  <si>
    <t>Biểu đồ cột thể hiện số giờ theo kế hoạch so với số giờ thực tế nằm trong ô này.</t>
  </si>
  <si>
    <t>NHÂN VIÊN SỰ KIỆN</t>
  </si>
  <si>
    <t>NHÂN VIÊN QUẢN TRỊ</t>
  </si>
  <si>
    <t>Tổng</t>
  </si>
  <si>
    <t>Tạo Chi tiết dự án trong trang tính này. Tên công ty được cập nhật tự động ở ô bên phải. Hướng dẫn hữu ích nằm ở các ô trong cột này. Nhấn mũi tên xuống để bắt đầu.</t>
  </si>
  <si>
    <t>Nhập thông tin vào bảng Chi tiết dự án bắt đầu từ ô bên phải.
THÔNG TIN
Để thêm hàng vào bảng bên phải, hãy chọn ô dưới cùng bên phải trong nội dung bảng (không phải hàng tổng), rồi nhấn Tab hoặc nhấn phím SHIFT+F10 ở nơi bạn muốn chèn hàng và chọn Chèn | Hàng bảng bên trên/bên dưới.
Nhớ xóa hết các hàng không dùng vì PivotTable TỔNG CỦA DỰ ÁN sẽ sử dụng tất cả các ô trong bảng, nếu bạn không xóa, kết quả sẽ bị sai.</t>
  </si>
  <si>
    <t>TÊN DỰ ÁN</t>
  </si>
  <si>
    <t>Dự án 1</t>
  </si>
  <si>
    <t>Dự án 2</t>
  </si>
  <si>
    <t>Dự án 3</t>
  </si>
  <si>
    <t>Dự án 4</t>
  </si>
  <si>
    <t>Dự án 5</t>
  </si>
  <si>
    <t>TỔNG</t>
  </si>
  <si>
    <t>NGÀY BẮT ĐẦU ƯỚC TÍNH</t>
  </si>
  <si>
    <t>NGÀY KẾT THÚC ƯỚC TÍNH</t>
  </si>
  <si>
    <t>NGÀY BẮT ĐẦU THỰC TẾ</t>
  </si>
  <si>
    <t>NGÀY KẾT THÚC THỰC TẾ</t>
  </si>
  <si>
    <t>CÔNG VIỆC ƯỚC TÍNH</t>
  </si>
  <si>
    <t>CÔNG VIỆC THỰC TẾ</t>
  </si>
  <si>
    <t>LƯỢNG THỜI GIAN ƯỚC TÍNH</t>
  </si>
  <si>
    <t>LƯỢNG THỜI GIAN THỰC TẾ</t>
  </si>
  <si>
    <t xml:space="preserve">NGƯỜI QUẢN LÝ TÀI KHOẢN </t>
  </si>
  <si>
    <t xml:space="preserve">NGƯỜI QUẢN LÝ DỰ ÁN </t>
  </si>
  <si>
    <t xml:space="preserve">NGƯỜI QUẢN LÝ CHIẾN LƯỢC </t>
  </si>
  <si>
    <t xml:space="preserve">CHUYÊN GIA THIẾT KẾ </t>
  </si>
  <si>
    <t xml:space="preserve">NHÂN VIÊN SỰ KIỆN </t>
  </si>
  <si>
    <t xml:space="preserve">NHÂN VIÊN QUẢN TRỊ </t>
  </si>
  <si>
    <t>Xem Tổng của dự án trong trang tính này. Tên công ty được cập nhật tự động ở ô bên phải. Hướng dẫn hữu ích nằm ở các ô trong cột này. Nhấn mũi tên xuống để bắt đầu.</t>
  </si>
  <si>
    <t>PivotTable bắt đầu từ ô bên phải sẽ được cập nhật tự động.
THÔNG TIN
Để làm mới PivotTable ở bên phải, hãy chọn PivotTable (bất cứ ô nào trong PivotTable), trên dải băng CÔNG CỤ PIVOTTABLE | PHÂN TÍCH, chọn Làm mới hoặc nhấn phím SHIFT+F10 trong ô bất kỳ thuộc PivotTable, sau đó chọn Làm mới.</t>
  </si>
  <si>
    <t>SỐ LIỆU ƯỚC TÍNH CỦA NGƯỜI QUẢN LÝ TÀI KHOẢN</t>
  </si>
  <si>
    <t>SỐ LIỆU ƯỚC TÍNH CỦA NGƯỜI QUẢN LÝ DỰ ÁN</t>
  </si>
  <si>
    <t>SỐ LIỆU ƯỚC TÍNH CỦA NGƯỜI QUẢN LÝ CHIẾN LƯỢC</t>
  </si>
  <si>
    <t>SỐ LIỆU ƯỚC TÍNH CỦA CHUYÊN GIA THIẾT KẾ</t>
  </si>
  <si>
    <t>SỐ LIỆU ƯỚC TÍNH CỦA NHÂN VIÊN SỰ KIỆN</t>
  </si>
  <si>
    <t>SỐ LIỆU ƯỚC TÍNH CỦA NHÂN VIÊN QUẢN TRỊ</t>
  </si>
  <si>
    <t>SỐ LIỆU THỰC TẾ CỦA NGƯỜI QUẢN LÝ TÀI KHOẢN</t>
  </si>
  <si>
    <t>SỐ LIỆU THỰC TẾ CỦA CHUYÊN GIA THIẾT KẾ</t>
  </si>
  <si>
    <t>SỐ LIỆU THỰC TẾ CỦA NHÂN VIÊN QUẢN TRỊ</t>
  </si>
  <si>
    <t>Tổng Cuối</t>
  </si>
  <si>
    <t>PROJECT MANAGER ACTUAL</t>
  </si>
  <si>
    <t>STRATEGY MANAGER ACTUAL</t>
  </si>
  <si>
    <t>SỐ LIỆU THỰC TẾ CỦA NHÂN VIÊN SỰ KIỆN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</si>
</sst>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 numFmtId="167" formatCode="#,##0.00\ &quot;₫&quot;"/>
  </numFmts>
  <fonts count="29" x14ac:knownFonts="1">
    <font>
      <sz val="10"/>
      <color theme="1" tint="0.24994659260841701"/>
      <name val="Times New Roman"/>
      <family val="1"/>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sz val="16"/>
      <color theme="0"/>
      <name val="Tahoma"/>
      <family val="2"/>
      <scheme val="major"/>
    </font>
    <font>
      <sz val="11"/>
      <color theme="1" tint="0.24994659260841701"/>
      <name val="Cambria"/>
      <family val="1"/>
      <scheme val="minor"/>
    </font>
    <font>
      <b/>
      <sz val="11"/>
      <color theme="1" tint="0.24994659260841701"/>
      <name val="Cambria"/>
      <family val="1"/>
      <scheme val="minor"/>
    </font>
    <font>
      <sz val="18"/>
      <color theme="3"/>
      <name val="Tahoma"/>
      <family val="2"/>
      <scheme val="major"/>
    </font>
    <font>
      <sz val="11"/>
      <color theme="1"/>
      <name val="Times New Roman"/>
      <family val="1"/>
    </font>
    <font>
      <sz val="11"/>
      <color theme="0"/>
      <name val="Times New Roman"/>
      <family val="1"/>
    </font>
    <font>
      <sz val="11"/>
      <color rgb="FF9C0006"/>
      <name val="Times New Roman"/>
      <family val="1"/>
    </font>
    <font>
      <b/>
      <sz val="11"/>
      <color rgb="FFFA7D00"/>
      <name val="Times New Roman"/>
      <family val="1"/>
    </font>
    <font>
      <b/>
      <sz val="11"/>
      <color theme="0"/>
      <name val="Times New Roman"/>
      <family val="1"/>
    </font>
    <font>
      <sz val="10"/>
      <color theme="1" tint="0.24994659260841701"/>
      <name val="Times New Roman"/>
      <family val="1"/>
    </font>
    <font>
      <i/>
      <sz val="11"/>
      <color rgb="FF7F7F7F"/>
      <name val="Times New Roman"/>
      <family val="1"/>
    </font>
    <font>
      <sz val="11"/>
      <color rgb="FF006100"/>
      <name val="Times New Roman"/>
      <family val="1"/>
    </font>
    <font>
      <b/>
      <sz val="11"/>
      <color theme="3"/>
      <name val="Times New Roman"/>
      <family val="1"/>
    </font>
    <font>
      <sz val="11"/>
      <color rgb="FF3F3F76"/>
      <name val="Times New Roman"/>
      <family val="1"/>
    </font>
    <font>
      <sz val="11"/>
      <color rgb="FFFA7D00"/>
      <name val="Times New Roman"/>
      <family val="1"/>
    </font>
    <font>
      <sz val="11"/>
      <color rgb="FF9C5700"/>
      <name val="Times New Roman"/>
      <family val="1"/>
    </font>
    <font>
      <b/>
      <sz val="11"/>
      <color rgb="FF3F3F3F"/>
      <name val="Times New Roman"/>
      <family val="1"/>
    </font>
    <font>
      <b/>
      <sz val="11"/>
      <color theme="1"/>
      <name val="Times New Roman"/>
      <family val="1"/>
    </font>
    <font>
      <sz val="11"/>
      <color rgb="FFFF0000"/>
      <name val="Times New Roman"/>
      <family val="1"/>
    </font>
    <font>
      <sz val="10"/>
      <color theme="1" tint="0.24994659260841701"/>
      <name val="Cambria"/>
      <family val="1"/>
      <scheme val="minor"/>
    </font>
    <font>
      <sz val="10"/>
      <color theme="1" tint="0.24994659260841701"/>
      <name val="Cambria"/>
      <scheme val="minor"/>
    </font>
  </fonts>
  <fills count="36">
    <fill>
      <patternFill patternType="none"/>
    </fill>
    <fill>
      <patternFill patternType="gray125"/>
    </fill>
    <fill>
      <patternFill patternType="solid">
        <fgColor theme="0" tint="-0.14996795556505021"/>
        <bgColor indexed="64"/>
      </patternFill>
    </fill>
    <fill>
      <patternFill patternType="solid">
        <fgColor theme="5" tint="-0.249977111117893"/>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n">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1" applyNumberFormat="0" applyFill="0" applyAlignment="0" applyProtection="0"/>
    <xf numFmtId="0" fontId="3" fillId="0" borderId="0" applyNumberFormat="0" applyFill="0" applyAlignment="0" applyProtection="0"/>
    <xf numFmtId="0" fontId="4" fillId="0" borderId="0" applyNumberFormat="0" applyFill="0" applyAlignment="0" applyProtection="0"/>
    <xf numFmtId="165"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9" fontId="17" fillId="0" borderId="0" applyFon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9" fillId="5" borderId="0" applyNumberFormat="0" applyBorder="0" applyAlignment="0" applyProtection="0"/>
    <xf numFmtId="0" fontId="14" fillId="6" borderId="0" applyNumberFormat="0" applyBorder="0" applyAlignment="0" applyProtection="0"/>
    <xf numFmtId="0" fontId="23" fillId="7" borderId="0" applyNumberFormat="0" applyBorder="0" applyAlignment="0" applyProtection="0"/>
    <xf numFmtId="0" fontId="21" fillId="8" borderId="2" applyNumberFormat="0" applyAlignment="0" applyProtection="0"/>
    <xf numFmtId="0" fontId="24" fillId="9" borderId="3" applyNumberFormat="0" applyAlignment="0" applyProtection="0"/>
    <xf numFmtId="0" fontId="15" fillId="9" borderId="2" applyNumberFormat="0" applyAlignment="0" applyProtection="0"/>
    <xf numFmtId="0" fontId="22" fillId="0" borderId="4" applyNumberFormat="0" applyFill="0" applyAlignment="0" applyProtection="0"/>
    <xf numFmtId="0" fontId="16" fillId="10" borderId="5" applyNumberFormat="0" applyAlignment="0" applyProtection="0"/>
    <xf numFmtId="0" fontId="26" fillId="0" borderId="0" applyNumberFormat="0" applyFill="0" applyBorder="0" applyAlignment="0" applyProtection="0"/>
    <xf numFmtId="0" fontId="17" fillId="11" borderId="6" applyNumberFormat="0" applyFont="0" applyAlignment="0" applyProtection="0"/>
    <xf numFmtId="0" fontId="18" fillId="0" borderId="0" applyNumberFormat="0" applyFill="0" applyBorder="0" applyAlignment="0" applyProtection="0"/>
    <xf numFmtId="0" fontId="25" fillId="0" borderId="7" applyNumberFormat="0" applyFill="0" applyAlignment="0" applyProtection="0"/>
    <xf numFmtId="0" fontId="13"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3"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3"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cellStyleXfs>
  <cellXfs count="32">
    <xf numFmtId="0" fontId="0" fillId="0" borderId="0" xfId="0"/>
    <xf numFmtId="0" fontId="1" fillId="0" borderId="0" xfId="0" applyFont="1"/>
    <xf numFmtId="0" fontId="2" fillId="0" borderId="1" xfId="1"/>
    <xf numFmtId="0" fontId="3" fillId="0" borderId="0" xfId="2"/>
    <xf numFmtId="0" fontId="4" fillId="0" borderId="0" xfId="3"/>
    <xf numFmtId="0" fontId="5" fillId="0" borderId="0" xfId="0" applyFont="1"/>
    <xf numFmtId="9" fontId="5" fillId="0" borderId="0" xfId="0" applyNumberFormat="1" applyFont="1"/>
    <xf numFmtId="9" fontId="5" fillId="2" borderId="0" xfId="0" applyNumberFormat="1" applyFont="1" applyFill="1"/>
    <xf numFmtId="0" fontId="6" fillId="0" borderId="0" xfId="0" applyFont="1"/>
    <xf numFmtId="0" fontId="0" fillId="0" borderId="0" xfId="0" applyAlignment="1">
      <alignment wrapText="1"/>
    </xf>
    <xf numFmtId="0" fontId="1" fillId="0" borderId="0" xfId="0" applyFont="1" applyAlignment="1">
      <alignment wrapText="1"/>
    </xf>
    <xf numFmtId="0" fontId="7" fillId="0" borderId="0" xfId="0" applyFont="1"/>
    <xf numFmtId="4" fontId="7" fillId="0" borderId="0" xfId="0" applyNumberFormat="1" applyFont="1"/>
    <xf numFmtId="0" fontId="1" fillId="0" borderId="0" xfId="0" applyFont="1" applyAlignment="1">
      <alignment vertical="center"/>
    </xf>
    <xf numFmtId="0" fontId="4" fillId="0" borderId="0" xfId="3" applyAlignment="1">
      <alignment vertical="center"/>
    </xf>
    <xf numFmtId="0" fontId="8" fillId="4" borderId="0" xfId="2" applyFont="1" applyFill="1" applyAlignment="1">
      <alignment horizontal="center"/>
    </xf>
    <xf numFmtId="0" fontId="7" fillId="0" borderId="0" xfId="0" applyFont="1" applyAlignment="1">
      <alignment vertical="center"/>
    </xf>
    <xf numFmtId="0" fontId="9" fillId="0" borderId="0" xfId="0" applyFont="1" applyAlignment="1">
      <alignment vertical="center" wrapText="1"/>
    </xf>
    <xf numFmtId="0" fontId="9" fillId="0" borderId="0" xfId="0" applyFont="1" applyAlignment="1">
      <alignment wrapText="1"/>
    </xf>
    <xf numFmtId="0" fontId="10" fillId="0" borderId="0" xfId="0" applyFont="1" applyAlignment="1">
      <alignment wrapText="1"/>
    </xf>
    <xf numFmtId="0" fontId="7" fillId="0" borderId="0" xfId="0" applyFont="1" applyAlignment="1">
      <alignment wrapText="1"/>
    </xf>
    <xf numFmtId="166" fontId="5" fillId="0" borderId="0" xfId="0" applyNumberFormat="1" applyFont="1"/>
    <xf numFmtId="167" fontId="7" fillId="0" borderId="0" xfId="0" applyNumberFormat="1" applyFont="1"/>
    <xf numFmtId="0" fontId="27" fillId="3" borderId="0" xfId="0" applyFont="1" applyFill="1" applyAlignment="1">
      <alignment wrapText="1"/>
    </xf>
    <xf numFmtId="0" fontId="27" fillId="0" borderId="0" xfId="0" applyFont="1"/>
    <xf numFmtId="14" fontId="27" fillId="0" borderId="0" xfId="0" applyNumberFormat="1" applyFont="1"/>
    <xf numFmtId="166" fontId="27" fillId="0" borderId="0" xfId="0" applyNumberFormat="1" applyFont="1"/>
    <xf numFmtId="0" fontId="7" fillId="0" borderId="0" xfId="0" applyFont="1" applyAlignment="1">
      <alignment horizontal="center"/>
    </xf>
    <xf numFmtId="0" fontId="28" fillId="0" borderId="0" xfId="0" pivotButton="1" applyFont="1"/>
    <xf numFmtId="0" fontId="28" fillId="0" borderId="0" xfId="0" applyFont="1" applyAlignment="1">
      <alignment wrapText="1"/>
    </xf>
    <xf numFmtId="0" fontId="28" fillId="0" borderId="0" xfId="0" applyFont="1"/>
    <xf numFmtId="167" fontId="28" fillId="0" borderId="0" xfId="0" applyNumberFormat="1" applyFont="1"/>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ình thường" xfId="0" builtinId="0" customBuiltin="1"/>
    <cellStyle name="Dấu phẩy" xfId="4" builtinId="3" customBuiltin="1"/>
    <cellStyle name="Dấu phẩy [0]" xfId="5" builtinId="6" customBuiltin="1"/>
    <cellStyle name="Đầu đề 1" xfId="1" builtinId="16" customBuiltin="1"/>
    <cellStyle name="Đầu đề 2" xfId="2" builtinId="17" customBuiltin="1"/>
    <cellStyle name="Đầu đề 3" xfId="3" builtinId="18" customBuiltin="1"/>
    <cellStyle name="Đầu đề 4" xfId="10" builtinId="19" customBuiltin="1"/>
    <cellStyle name="Đầu ra" xfId="15" builtinId="21" customBuiltin="1"/>
    <cellStyle name="Đầu vào" xfId="14" builtinId="20" customBuiltin="1"/>
    <cellStyle name="Ghi chú" xfId="20" builtinId="10" customBuiltin="1"/>
    <cellStyle name="Kiểm tra Ô" xfId="18" builtinId="23" customBuiltin="1"/>
    <cellStyle name="Ô được Nối kết" xfId="17" builtinId="24" customBuiltin="1"/>
    <cellStyle name="Phần trăm" xfId="8" builtinId="5" customBuiltin="1"/>
    <cellStyle name="Tiền tệ" xfId="6" builtinId="4" customBuiltin="1"/>
    <cellStyle name="Tiền tệ [0]" xfId="7" builtinId="7" customBuiltin="1"/>
    <cellStyle name="Tiêu đề" xfId="9" builtinId="15" customBuiltin="1"/>
    <cellStyle name="Tính toán" xfId="16" builtinId="22" customBuiltin="1"/>
    <cellStyle name="Tổng" xfId="22" builtinId="25" customBuiltin="1"/>
    <cellStyle name="Tốt" xfId="11" builtinId="26" customBuiltin="1"/>
    <cellStyle name="Trung lập" xfId="13" builtinId="28" customBuiltin="1"/>
    <cellStyle name="Văn bản Cảnh báo" xfId="19" builtinId="11" customBuiltin="1"/>
    <cellStyle name="Văn bản Giải thích" xfId="21" builtinId="53" customBuiltin="1"/>
    <cellStyle name="Xấu" xfId="12" builtinId="27" customBuiltin="1"/>
  </cellStyles>
  <dxfs count="179">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font>
        <name val="Cambria"/>
        <scheme val="minor"/>
      </font>
    </dxf>
    <dxf>
      <font>
        <name val="Cambria"/>
        <scheme val="minor"/>
      </font>
    </dxf>
    <dxf>
      <font>
        <name val="Cambria"/>
        <scheme val="minor"/>
      </font>
    </dxf>
    <dxf>
      <font>
        <name val="Cambria"/>
        <scheme val="minor"/>
      </font>
    </dxf>
    <dxf>
      <font>
        <name val="Cambria"/>
        <scheme val="minor"/>
      </font>
    </dxf>
    <dxf>
      <font>
        <name val="Cambria"/>
        <scheme val="minor"/>
      </font>
    </dxf>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font>
        <name val="Cambria"/>
        <scheme val="minor"/>
      </font>
    </dxf>
    <dxf>
      <font>
        <name val="Cambria"/>
        <scheme val="minor"/>
      </font>
    </dxf>
    <dxf>
      <font>
        <name val="Cambria"/>
        <scheme val="minor"/>
      </font>
    </dxf>
    <dxf>
      <font>
        <name val="Cambria"/>
        <scheme val="minor"/>
      </font>
    </dxf>
    <dxf>
      <font>
        <name val="Cambria"/>
        <scheme val="minor"/>
      </font>
    </dxf>
    <dxf>
      <font>
        <name val="Cambria"/>
        <scheme val="minor"/>
      </fon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66" formatCode="#,##0\ &quot;₫&quo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66" formatCode="#,##0\ &quot;₫&quo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66" formatCode="#,##0\ &quot;₫&quo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66" formatCode="#,##0\ &quot;₫&quo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66" formatCode="#,##0\ &quot;₫&quo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66" formatCode="#,##0\ &quot;₫&quo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66" formatCode="#,##0\ &quot;₫&quo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66" formatCode="#,##0\ &quot;₫&quo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66" formatCode="#,##0\ &quot;₫&quo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66" formatCode="#,##0\ &quot;₫&quo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66" formatCode="#,##0\ &quot;₫&quo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66" formatCode="#,##0\ &quot;₫&quo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0" formatCode="General"/>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0" formatCode="General"/>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9" formatCode="dd/mm/yyyy"/>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9" formatCode="dd/mm/yyyy"/>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9" formatCode="dd/mm/yyyy"/>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numFmt numFmtId="19" formatCode="dd/mm/yyyy"/>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Cambria"/>
        <family val="1"/>
        <scheme val="minor"/>
      </font>
    </dxf>
    <dxf>
      <font>
        <strike val="0"/>
        <outline val="0"/>
        <shadow val="0"/>
        <u val="none"/>
        <vertAlign val="baseline"/>
        <name val="Cambria"/>
        <family val="1"/>
        <scheme val="minor"/>
      </font>
    </dxf>
    <dxf>
      <font>
        <strike val="0"/>
        <outline val="0"/>
        <shadow val="0"/>
        <u val="none"/>
        <vertAlign val="baseline"/>
        <name val="Cambria"/>
        <family val="1"/>
        <scheme val="minor"/>
      </font>
    </dxf>
    <dxf>
      <font>
        <b val="0"/>
        <i val="0"/>
        <strike val="0"/>
        <condense val="0"/>
        <extend val="0"/>
        <outline val="0"/>
        <shadow val="0"/>
        <u val="none"/>
        <vertAlign val="baseline"/>
        <sz val="10"/>
        <color theme="1"/>
        <name val="Cambria"/>
        <family val="1"/>
        <scheme val="min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SỐ GIỜ THEO KẾ HOẠCH SO VỚI THỰC TẾ</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vi-VN"/>
        </a:p>
      </c:txPr>
    </c:title>
    <c:autoTitleDeleted val="0"/>
    <c:plotArea>
      <c:layout/>
      <c:barChart>
        <c:barDir val="col"/>
        <c:grouping val="clustered"/>
        <c:varyColors val="0"/>
        <c:ser>
          <c:idx val="0"/>
          <c:order val="0"/>
          <c:tx>
            <c:strRef>
              <c:f>'THAM SỐ DỰ ÁN'!$B$16</c:f>
              <c:strCache>
                <c:ptCount val="1"/>
                <c:pt idx="0">
                  <c:v>CHI PHÍ THEO KẾ HOẠCH</c:v>
                </c:pt>
              </c:strCache>
            </c:strRef>
          </c:tx>
          <c:spPr>
            <a:solidFill>
              <a:schemeClr val="accent1"/>
            </a:solidFill>
            <a:ln>
              <a:noFill/>
            </a:ln>
            <a:effectLst/>
          </c:spPr>
          <c:invertIfNegative val="0"/>
          <c:cat>
            <c:strRef>
              <c:f>'THAM SỐ DỰ ÁN'!$C$15:$H$15</c:f>
              <c:strCache>
                <c:ptCount val="6"/>
                <c:pt idx="0">
                  <c:v>NGƯỜI QUẢN LÝ TÀI KHOẢN</c:v>
                </c:pt>
                <c:pt idx="1">
                  <c:v>NGƯỜI QUẢN LÝ DỰ ÁN</c:v>
                </c:pt>
                <c:pt idx="2">
                  <c:v>NGƯỜI QUẢN LÝ CHIẾN LƯỢC</c:v>
                </c:pt>
                <c:pt idx="3">
                  <c:v>CHUYÊN GIA THIẾT KẾ</c:v>
                </c:pt>
                <c:pt idx="4">
                  <c:v>NHÂN VIÊN SỰ KIỆN</c:v>
                </c:pt>
                <c:pt idx="5">
                  <c:v>NHÂN VIÊN QUẢN TRỊ</c:v>
                </c:pt>
              </c:strCache>
            </c:strRef>
          </c:cat>
          <c:val>
            <c:numRef>
              <c:f>'THAM SỐ DỰ ÁN'!$C$16:$H$16</c:f>
              <c:numCache>
                <c:formatCode>#,##0.00\ "₫"</c:formatCode>
                <c:ptCount val="6"/>
                <c:pt idx="0">
                  <c:v>54000</c:v>
                </c:pt>
                <c:pt idx="1">
                  <c:v>52200</c:v>
                </c:pt>
                <c:pt idx="2">
                  <c:v>24000</c:v>
                </c:pt>
                <c:pt idx="3">
                  <c:v>29000</c:v>
                </c:pt>
                <c:pt idx="4">
                  <c:v>13200</c:v>
                </c:pt>
                <c:pt idx="5">
                  <c:v>9000</c:v>
                </c:pt>
              </c:numCache>
            </c:numRef>
          </c:val>
          <c:extLst>
            <c:ext xmlns:c16="http://schemas.microsoft.com/office/drawing/2014/chart" uri="{C3380CC4-5D6E-409C-BE32-E72D297353CC}">
              <c16:uniqueId val="{00000000-AAD0-4845-B60A-67B25D8A3957}"/>
            </c:ext>
          </c:extLst>
        </c:ser>
        <c:ser>
          <c:idx val="1"/>
          <c:order val="1"/>
          <c:tx>
            <c:strRef>
              <c:f>'THAM SỐ DỰ ÁN'!$B$17</c:f>
              <c:strCache>
                <c:ptCount val="1"/>
                <c:pt idx="0">
                  <c:v>CHI PHÍ THỰC TẾ</c:v>
                </c:pt>
              </c:strCache>
            </c:strRef>
          </c:tx>
          <c:spPr>
            <a:solidFill>
              <a:schemeClr val="accent2"/>
            </a:solidFill>
            <a:ln>
              <a:noFill/>
            </a:ln>
            <a:effectLst/>
          </c:spPr>
          <c:invertIfNegative val="0"/>
          <c:cat>
            <c:strRef>
              <c:f>'THAM SỐ DỰ ÁN'!$C$15:$H$15</c:f>
              <c:strCache>
                <c:ptCount val="6"/>
                <c:pt idx="0">
                  <c:v>NGƯỜI QUẢN LÝ TÀI KHOẢN</c:v>
                </c:pt>
                <c:pt idx="1">
                  <c:v>NGƯỜI QUẢN LÝ DỰ ÁN</c:v>
                </c:pt>
                <c:pt idx="2">
                  <c:v>NGƯỜI QUẢN LÝ CHIẾN LƯỢC</c:v>
                </c:pt>
                <c:pt idx="3">
                  <c:v>CHUYÊN GIA THIẾT KẾ</c:v>
                </c:pt>
                <c:pt idx="4">
                  <c:v>NHÂN VIÊN SỰ KIỆN</c:v>
                </c:pt>
                <c:pt idx="5">
                  <c:v>NHÂN VIÊN QUẢN TRỊ</c:v>
                </c:pt>
              </c:strCache>
            </c:strRef>
          </c:cat>
          <c:val>
            <c:numRef>
              <c:f>'THAM SỐ DỰ ÁN'!$C$17:$H$17</c:f>
              <c:numCache>
                <c:formatCode>#,##0.00\ "₫"</c:formatCode>
                <c:ptCount val="6"/>
                <c:pt idx="0">
                  <c:v>54360</c:v>
                </c:pt>
                <c:pt idx="1">
                  <c:v>51540</c:v>
                </c:pt>
                <c:pt idx="2">
                  <c:v>25650</c:v>
                </c:pt>
                <c:pt idx="3">
                  <c:v>28900</c:v>
                </c:pt>
                <c:pt idx="4">
                  <c:v>13400</c:v>
                </c:pt>
                <c:pt idx="5">
                  <c:v>9060</c:v>
                </c:pt>
              </c:numCache>
            </c:numRef>
          </c:val>
          <c:extLst>
            <c:ext xmlns:c16="http://schemas.microsoft.com/office/drawing/2014/chart" uri="{C3380CC4-5D6E-409C-BE32-E72D297353CC}">
              <c16:uniqueId val="{00000001-AAD0-4845-B60A-67B25D8A3957}"/>
            </c:ext>
          </c:extLst>
        </c:ser>
        <c:dLbls>
          <c:showLegendKey val="0"/>
          <c:showVal val="0"/>
          <c:showCatName val="0"/>
          <c:showSerName val="0"/>
          <c:showPercent val="0"/>
          <c:showBubbleSize val="0"/>
        </c:dLbls>
        <c:gapWidth val="199"/>
        <c:axId val="235542680"/>
        <c:axId val="235555352"/>
      </c:barChart>
      <c:catAx>
        <c:axId val="235542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vi-VN"/>
          </a:p>
        </c:txPr>
        <c:crossAx val="235555352"/>
        <c:crosses val="autoZero"/>
        <c:auto val="1"/>
        <c:lblAlgn val="ctr"/>
        <c:lblOffset val="100"/>
        <c:noMultiLvlLbl val="0"/>
      </c:catAx>
      <c:valAx>
        <c:axId val="2355553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vi-VN"/>
          </a:p>
        </c:txPr>
        <c:crossAx val="235542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a:ea typeface="Times New Roman"/>
              <a:cs typeface="Times New Roman"/>
            </a:defRPr>
          </a:pPr>
          <a:endParaRPr lang="vi-V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vi-VN"/>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SỐ GIỜ THEO KẾ HOẠCH SO VỚI THỰC TẾ</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vi-VN"/>
        </a:p>
      </c:txPr>
    </c:title>
    <c:autoTitleDeleted val="0"/>
    <c:plotArea>
      <c:layout/>
      <c:barChart>
        <c:barDir val="col"/>
        <c:grouping val="clustered"/>
        <c:varyColors val="0"/>
        <c:ser>
          <c:idx val="0"/>
          <c:order val="0"/>
          <c:tx>
            <c:strRef>
              <c:f>'THAM SỐ DỰ ÁN'!$B$18</c:f>
              <c:strCache>
                <c:ptCount val="1"/>
                <c:pt idx="0">
                  <c:v>SỐ GIỜ THEO KẾ HOẠCH</c:v>
                </c:pt>
              </c:strCache>
            </c:strRef>
          </c:tx>
          <c:spPr>
            <a:solidFill>
              <a:schemeClr val="accent1"/>
            </a:solidFill>
            <a:ln>
              <a:noFill/>
            </a:ln>
            <a:effectLst/>
          </c:spPr>
          <c:invertIfNegative val="0"/>
          <c:cat>
            <c:strRef>
              <c:f>'THAM SỐ DỰ ÁN'!$C$15:$H$15</c:f>
              <c:strCache>
                <c:ptCount val="6"/>
                <c:pt idx="0">
                  <c:v>NGƯỜI QUẢN LÝ TÀI KHOẢN</c:v>
                </c:pt>
                <c:pt idx="1">
                  <c:v>NGƯỜI QUẢN LÝ DỰ ÁN</c:v>
                </c:pt>
                <c:pt idx="2">
                  <c:v>NGƯỜI QUẢN LÝ CHIẾN LƯỢC</c:v>
                </c:pt>
                <c:pt idx="3">
                  <c:v>CHUYÊN GIA THIẾT KẾ</c:v>
                </c:pt>
                <c:pt idx="4">
                  <c:v>NHÂN VIÊN SỰ KIỆN</c:v>
                </c:pt>
                <c:pt idx="5">
                  <c:v>NHÂN VIÊN QUẢN TRỊ</c:v>
                </c:pt>
              </c:strCache>
            </c:strRef>
          </c:cat>
          <c:val>
            <c:numRef>
              <c:f>'THAM SỐ DỰ ÁN'!$C$18:$H$18</c:f>
              <c:numCache>
                <c:formatCode>#,##0.00</c:formatCode>
                <c:ptCount val="6"/>
                <c:pt idx="0">
                  <c:v>300</c:v>
                </c:pt>
                <c:pt idx="1">
                  <c:v>290</c:v>
                </c:pt>
                <c:pt idx="2">
                  <c:v>133.33333333333334</c:v>
                </c:pt>
                <c:pt idx="3">
                  <c:v>161.11111111111111</c:v>
                </c:pt>
                <c:pt idx="4">
                  <c:v>73.333333333333329</c:v>
                </c:pt>
                <c:pt idx="5">
                  <c:v>50</c:v>
                </c:pt>
              </c:numCache>
            </c:numRef>
          </c:val>
          <c:extLst>
            <c:ext xmlns:c16="http://schemas.microsoft.com/office/drawing/2014/chart" uri="{C3380CC4-5D6E-409C-BE32-E72D297353CC}">
              <c16:uniqueId val="{00000000-A86A-44EC-9CDF-5C3EB0A17C14}"/>
            </c:ext>
          </c:extLst>
        </c:ser>
        <c:ser>
          <c:idx val="1"/>
          <c:order val="1"/>
          <c:tx>
            <c:strRef>
              <c:f>'THAM SỐ DỰ ÁN'!$B$19</c:f>
              <c:strCache>
                <c:ptCount val="1"/>
                <c:pt idx="0">
                  <c:v>SỐ GIỜ THỰC TẾ</c:v>
                </c:pt>
              </c:strCache>
            </c:strRef>
          </c:tx>
          <c:spPr>
            <a:solidFill>
              <a:schemeClr val="accent2"/>
            </a:solidFill>
            <a:ln>
              <a:noFill/>
            </a:ln>
            <a:effectLst/>
          </c:spPr>
          <c:invertIfNegative val="0"/>
          <c:cat>
            <c:strRef>
              <c:f>'THAM SỐ DỰ ÁN'!$C$15:$H$15</c:f>
              <c:strCache>
                <c:ptCount val="6"/>
                <c:pt idx="0">
                  <c:v>NGƯỜI QUẢN LÝ TÀI KHOẢN</c:v>
                </c:pt>
                <c:pt idx="1">
                  <c:v>NGƯỜI QUẢN LÝ DỰ ÁN</c:v>
                </c:pt>
                <c:pt idx="2">
                  <c:v>NGƯỜI QUẢN LÝ CHIẾN LƯỢC</c:v>
                </c:pt>
                <c:pt idx="3">
                  <c:v>CHUYÊN GIA THIẾT KẾ</c:v>
                </c:pt>
                <c:pt idx="4">
                  <c:v>NHÂN VIÊN SỰ KIỆN</c:v>
                </c:pt>
                <c:pt idx="5">
                  <c:v>NHÂN VIÊN QUẢN TRỊ</c:v>
                </c:pt>
              </c:strCache>
            </c:strRef>
          </c:cat>
          <c:val>
            <c:numRef>
              <c:f>'THAM SỐ DỰ ÁN'!$C$19:$H$19</c:f>
              <c:numCache>
                <c:formatCode>#,##0.00</c:formatCode>
                <c:ptCount val="6"/>
                <c:pt idx="0">
                  <c:v>302</c:v>
                </c:pt>
                <c:pt idx="1">
                  <c:v>286.33333333333331</c:v>
                </c:pt>
                <c:pt idx="2">
                  <c:v>142.5</c:v>
                </c:pt>
                <c:pt idx="3">
                  <c:v>160.55555555555554</c:v>
                </c:pt>
                <c:pt idx="4">
                  <c:v>74.444444444444443</c:v>
                </c:pt>
                <c:pt idx="5">
                  <c:v>50.333333333333336</c:v>
                </c:pt>
              </c:numCache>
            </c:numRef>
          </c:val>
          <c:extLst>
            <c:ext xmlns:c16="http://schemas.microsoft.com/office/drawing/2014/chart" uri="{C3380CC4-5D6E-409C-BE32-E72D297353CC}">
              <c16:uniqueId val="{00000001-A86A-44EC-9CDF-5C3EB0A17C14}"/>
            </c:ext>
          </c:extLst>
        </c:ser>
        <c:dLbls>
          <c:showLegendKey val="0"/>
          <c:showVal val="0"/>
          <c:showCatName val="0"/>
          <c:showSerName val="0"/>
          <c:showPercent val="0"/>
          <c:showBubbleSize val="0"/>
        </c:dLbls>
        <c:gapWidth val="199"/>
        <c:axId val="235519648"/>
        <c:axId val="235697816"/>
      </c:barChart>
      <c:catAx>
        <c:axId val="23551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vi-VN"/>
          </a:p>
        </c:txPr>
        <c:crossAx val="235697816"/>
        <c:crosses val="autoZero"/>
        <c:auto val="1"/>
        <c:lblAlgn val="ctr"/>
        <c:lblOffset val="100"/>
        <c:noMultiLvlLbl val="0"/>
      </c:catAx>
      <c:valAx>
        <c:axId val="23569781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vi-VN"/>
          </a:p>
        </c:txPr>
        <c:crossAx val="235519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a:ea typeface="Times New Roman"/>
              <a:cs typeface="Times New Roman"/>
            </a:defRPr>
          </a:pPr>
          <a:endParaRPr lang="vi-V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vi-V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180974</xdr:rowOff>
    </xdr:from>
    <xdr:to>
      <xdr:col>4</xdr:col>
      <xdr:colOff>600375</xdr:colOff>
      <xdr:row>42</xdr:row>
      <xdr:rowOff>76200</xdr:rowOff>
    </xdr:to>
    <xdr:graphicFrame macro="">
      <xdr:nvGraphicFramePr>
        <xdr:cNvPr id="7" name="Biểu đồ 6" descr="Biểu đồ cột thể hiện chi phí theo kế hoạch so với thực tế">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752475</xdr:colOff>
      <xdr:row>12</xdr:row>
      <xdr:rowOff>180974</xdr:rowOff>
    </xdr:from>
    <xdr:to>
      <xdr:col>8</xdr:col>
      <xdr:colOff>514650</xdr:colOff>
      <xdr:row>42</xdr:row>
      <xdr:rowOff>76200</xdr:rowOff>
    </xdr:to>
    <xdr:graphicFrame macro="">
      <xdr:nvGraphicFramePr>
        <xdr:cNvPr id="8" name="Biểu đồ 7" descr="Biểu đồ cột thể hiện số giờ theo kế hoạch so với thực tế">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3</xdr:row>
      <xdr:rowOff>0</xdr:rowOff>
    </xdr:from>
    <xdr:to>
      <xdr:col>29</xdr:col>
      <xdr:colOff>361950</xdr:colOff>
      <xdr:row>17</xdr:row>
      <xdr:rowOff>85725</xdr:rowOff>
    </xdr:to>
    <xdr:sp macro="" textlink="">
      <xdr:nvSpPr>
        <xdr:cNvPr id="2" name="Hình chữ nhật 1" descr="INFO:&#10;&#10;To add a row, select the bottom-right most cell in the body of the table (not the totals row) and press Tab, or press SHIFT+F10 key where you want the row inserted and select Insert | Table Rows Above/Below.&#10;&#10;Be sure all unused rows are deleted, as the PROJECT TOTALS PivotTable will use all of the tables cells, and otherwise would give erroneous results.&#10;&#10;To delete this info tip, select any edge and press Delete">
          <a:extLst>
            <a:ext uri="{FF2B5EF4-FFF2-40B4-BE49-F238E27FC236}">
              <a16:creationId xmlns:a16="http://schemas.microsoft.com/office/drawing/2014/main" id="{00000000-0008-0000-0100-000002000000}"/>
            </a:ext>
          </a:extLst>
        </xdr:cNvPr>
        <xdr:cNvSpPr/>
      </xdr:nvSpPr>
      <xdr:spPr>
        <a:xfrm>
          <a:off x="9620250" y="1066800"/>
          <a:ext cx="3028950" cy="2762250"/>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vi" sz="1800">
              <a:solidFill>
                <a:schemeClr val="tx1">
                  <a:lumMod val="65000"/>
                  <a:lumOff val="35000"/>
                </a:schemeClr>
              </a:solidFill>
              <a:latin typeface="+mj-lt"/>
            </a:rPr>
            <a:t>THÔNG TIN</a:t>
          </a:r>
        </a:p>
        <a:p>
          <a:pPr algn="l" rtl="0"/>
          <a:endParaRPr lang="en-US" sz="1100">
            <a:solidFill>
              <a:schemeClr val="tx1">
                <a:lumMod val="65000"/>
                <a:lumOff val="35000"/>
              </a:schemeClr>
            </a:solidFill>
          </a:endParaRPr>
        </a:p>
        <a:p>
          <a:pPr algn="l" rtl="0"/>
          <a:r>
            <a:rPr lang="vi" sz="1100">
              <a:solidFill>
                <a:schemeClr val="tx1">
                  <a:lumMod val="65000"/>
                  <a:lumOff val="35000"/>
                </a:schemeClr>
              </a:solidFill>
            </a:rPr>
            <a:t>Để thêm hàng, chọn</a:t>
          </a:r>
          <a:r>
            <a:rPr lang="vi" sz="1100" baseline="0">
              <a:solidFill>
                <a:schemeClr val="tx1">
                  <a:lumMod val="65000"/>
                  <a:lumOff val="35000"/>
                </a:schemeClr>
              </a:solidFill>
            </a:rPr>
            <a:t> ô dưới cùng bên phải trong nội dung bảng (không phải hàng tổng) và nhấn Tab hoặc bấm chuột phải vào nơi bạn muốn chèn hàng, rồi chọn Chèn | Hàng bảng bên trên/bên dưới.</a:t>
          </a:r>
        </a:p>
        <a:p>
          <a:pPr algn="l" rtl="0"/>
          <a:endParaRPr lang="en-US" sz="1100" baseline="0">
            <a:solidFill>
              <a:schemeClr val="tx1">
                <a:lumMod val="65000"/>
                <a:lumOff val="35000"/>
              </a:schemeClr>
            </a:solidFill>
          </a:endParaRPr>
        </a:p>
        <a:p>
          <a:pPr algn="l" rtl="0"/>
          <a:r>
            <a:rPr lang="vi" sz="1100" baseline="0">
              <a:solidFill>
                <a:schemeClr val="tx1">
                  <a:lumMod val="65000"/>
                  <a:lumOff val="35000"/>
                </a:schemeClr>
              </a:solidFill>
            </a:rPr>
            <a:t>Nhớ xóa hết các hàng không dùng vì PivotTable TỔNG CỦA DỰ ÁN sẽ sử dụng tất cả các ô trong bảng, nếu bạn không xóa, kết quả sẽ bị sai.</a:t>
          </a:r>
        </a:p>
        <a:p>
          <a:pPr algn="l" rtl="0"/>
          <a:endParaRPr lang="en-US" sz="1100" baseline="0">
            <a:solidFill>
              <a:schemeClr val="tx1">
                <a:lumMod val="65000"/>
                <a:lumOff val="35000"/>
              </a:schemeClr>
            </a:solidFill>
          </a:endParaRPr>
        </a:p>
        <a:p>
          <a:pPr algn="l" rtl="0"/>
          <a:r>
            <a:rPr lang="vi" sz="1100" baseline="0">
              <a:solidFill>
                <a:schemeClr val="tx1">
                  <a:lumMod val="65000"/>
                  <a:lumOff val="35000"/>
                </a:schemeClr>
              </a:solidFill>
            </a:rPr>
            <a:t>Để xóa mẹo thông tin này, chọn cạnh bất kỳ, rồi nhấn Delete.</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1</xdr:rowOff>
    </xdr:from>
    <xdr:to>
      <xdr:col>20</xdr:col>
      <xdr:colOff>361950</xdr:colOff>
      <xdr:row>13</xdr:row>
      <xdr:rowOff>142875</xdr:rowOff>
    </xdr:to>
    <xdr:sp macro="" textlink="">
      <xdr:nvSpPr>
        <xdr:cNvPr id="2" name="Hình chữ nhật 1" descr="INFO:&#10;&#10;This PivotTable will not refresh automatically.  To refresh it, select it (any cell within the PivotTable), on the PIVOTTABLE TOOLS | ANALYZE ribbon tab select Refresh.  Or press SHIFT+F10 key in any cell in the PivotTable, and then select Refresh.&#10;&#10;To delete this info tip, select any edge and press Delete.">
          <a:extLst>
            <a:ext uri="{FF2B5EF4-FFF2-40B4-BE49-F238E27FC236}">
              <a16:creationId xmlns:a16="http://schemas.microsoft.com/office/drawing/2014/main" id="{00000000-0008-0000-0200-000002000000}"/>
            </a:ext>
          </a:extLst>
        </xdr:cNvPr>
        <xdr:cNvSpPr/>
      </xdr:nvSpPr>
      <xdr:spPr>
        <a:xfrm>
          <a:off x="13554075" y="1066801"/>
          <a:ext cx="3028950" cy="2257424"/>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vi" sz="1800">
              <a:solidFill>
                <a:schemeClr val="tx1">
                  <a:lumMod val="65000"/>
                  <a:lumOff val="35000"/>
                </a:schemeClr>
              </a:solidFill>
              <a:latin typeface="+mj-lt"/>
            </a:rPr>
            <a:t>THÔNG TIN</a:t>
          </a:r>
        </a:p>
        <a:p>
          <a:pPr algn="l" rtl="0"/>
          <a:endParaRPr lang="en-US" sz="1100">
            <a:solidFill>
              <a:schemeClr val="tx1">
                <a:lumMod val="65000"/>
                <a:lumOff val="35000"/>
              </a:schemeClr>
            </a:solidFill>
          </a:endParaRPr>
        </a:p>
        <a:p>
          <a:pPr algn="l" rtl="0"/>
          <a:r>
            <a:rPr lang="vi" sz="1100">
              <a:solidFill>
                <a:schemeClr val="tx1">
                  <a:lumMod val="65000"/>
                  <a:lumOff val="35000"/>
                </a:schemeClr>
              </a:solidFill>
            </a:rPr>
            <a:t>PivotTable này sẽ không tự động làm mới.  Để làm mới PivotTable này, hãy chọn</a:t>
          </a:r>
          <a:r>
            <a:rPr lang="vi" sz="1100" baseline="0">
              <a:solidFill>
                <a:schemeClr val="tx1">
                  <a:lumMod val="65000"/>
                  <a:lumOff val="35000"/>
                </a:schemeClr>
              </a:solidFill>
            </a:rPr>
            <a:t> PivotTable (ô bất kỳ trong PivotTable), trên tab dải băng CÔNG CỤ PIVOTTABLE | PHÂN TÍCH, chọn Làm mới.  Hoặc bấm chuột phải vào ô bất kỳ trong PivotTable, rồi chọn Làm mới.</a:t>
          </a:r>
        </a:p>
        <a:p>
          <a:pPr algn="l" rtl="0"/>
          <a:endParaRPr lang="en-US" sz="1100" baseline="0">
            <a:solidFill>
              <a:schemeClr val="tx1">
                <a:lumMod val="65000"/>
                <a:lumOff val="35000"/>
              </a:schemeClr>
            </a:solidFill>
          </a:endParaRPr>
        </a:p>
        <a:p>
          <a:pPr algn="l" rtl="0"/>
          <a:r>
            <a:rPr lang="vi" sz="1100" baseline="0">
              <a:solidFill>
                <a:schemeClr val="tx1">
                  <a:lumMod val="65000"/>
                  <a:lumOff val="35000"/>
                </a:schemeClr>
              </a:solidFill>
            </a:rPr>
            <a:t>Để xóa mẹo thông tin này, chọn cạnh bất kỳ, rồi nhấn Delete.</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6.644279976848" createdVersion="5" refreshedVersion="6" minRefreshableVersion="3" recordCount="5" xr:uid="{00000000-000A-0000-FFFF-FFFF00000000}">
  <cacheSource type="worksheet">
    <worksheetSource name="Chi_tiết_về_dự_án"/>
  </cacheSource>
  <cacheFields count="22">
    <cacheField name="TÊN DỰ ÁN" numFmtId="0">
      <sharedItems count="5">
        <s v="Dự án 1"/>
        <s v="Dự án 2"/>
        <s v="Dự án 3"/>
        <s v="Dự án 4"/>
        <s v="Dự án 5"/>
      </sharedItems>
    </cacheField>
    <cacheField name="LOẠI DỰ ÁN" numFmtId="0">
      <sharedItems/>
    </cacheField>
    <cacheField name="NGÀY BẮT ĐẦU ƯỚC TÍNH" numFmtId="14">
      <sharedItems containsSemiMixedTypes="0" containsNonDate="0" containsDate="1" containsString="0" minDate="2019-06-09T00:00:00" maxDate="2023-08-12T00:00:00"/>
    </cacheField>
    <cacheField name="NGÀY KẾT THÚC ƯỚC TÍNH" numFmtId="14">
      <sharedItems containsSemiMixedTypes="0" containsNonDate="0" containsDate="1" containsString="0" minDate="2019-08-07T00:00:00" maxDate="2023-08-22T00:00:00"/>
    </cacheField>
    <cacheField name="NGÀY BẮT ĐẦU THỰC TẾ" numFmtId="14">
      <sharedItems containsSemiMixedTypes="0" containsNonDate="0" containsDate="1" containsString="0" minDate="2019-06-29T00:00:00" maxDate="2025-08-08T00:00:00"/>
    </cacheField>
    <cacheField name="NGÀY KẾT THÚC THỰC TẾ" numFmtId="14">
      <sharedItems containsSemiMixedTypes="0" containsNonDate="0" containsDate="1" containsString="0" minDate="2019-09-03T00:00:00" maxDate="2025-10-11T00:00:00"/>
    </cacheField>
    <cacheField name="CÔNG VIỆC ƯỚC TÍNH" numFmtId="0">
      <sharedItems containsSemiMixedTypes="0" containsString="0" containsNumber="1" containsInteger="1" minValue="150" maxValue="500"/>
    </cacheField>
    <cacheField name="CÔNG VIỆC THỰC TẾ" numFmtId="0">
      <sharedItems containsSemiMixedTypes="0" containsString="0" containsNumber="1" containsInteger="1" minValue="145" maxValue="500"/>
    </cacheField>
    <cacheField name="LƯỢNG THỜI GIAN ƯỚC TÍNH" numFmtId="0">
      <sharedItems containsSemiMixedTypes="0" containsString="0" containsNumber="1" containsInteger="1" minValue="10" maxValue="67"/>
    </cacheField>
    <cacheField name="LƯỢNG THỜI GIAN THỰC TẾ" numFmtId="0">
      <sharedItems containsSemiMixedTypes="0" containsString="0" containsNumber="1" containsInteger="1" minValue="11" maxValue="400"/>
    </cacheField>
    <cacheField name="NGƯỜI QUẢN LÝ TÀI KHOẢN" numFmtId="166">
      <sharedItems containsSemiMixedTypes="0" containsString="0" containsNumber="1" containsInteger="1" minValue="5400" maxValue="18000"/>
    </cacheField>
    <cacheField name="NGƯỜI QUẢN LÝ DỰ ÁN" numFmtId="166">
      <sharedItems containsSemiMixedTypes="0" containsString="0" containsNumber="1" containsInteger="1" minValue="2400" maxValue="24000"/>
    </cacheField>
    <cacheField name="NGƯỜI QUẢN LÝ CHIẾN LƯỢC" numFmtId="166">
      <sharedItems containsSemiMixedTypes="0" containsString="0" containsNumber="1" containsInteger="1" minValue="0" maxValue="18000"/>
    </cacheField>
    <cacheField name="CHUYÊN GIA THIẾT KẾ" numFmtId="166">
      <sharedItems containsSemiMixedTypes="0" containsString="0" containsNumber="1" containsInteger="1" minValue="0" maxValue="25000"/>
    </cacheField>
    <cacheField name="NHÂN VIÊN SỰ KIỆN" numFmtId="166">
      <sharedItems containsSemiMixedTypes="0" containsString="0" containsNumber="1" containsInteger="1" minValue="0" maxValue="12000"/>
    </cacheField>
    <cacheField name="NHÂN VIÊN QUẢN TRỊ" numFmtId="166">
      <sharedItems containsSemiMixedTypes="0" containsString="0" containsNumber="1" containsInteger="1" minValue="900" maxValue="3000"/>
    </cacheField>
    <cacheField name="NGƯỜI QUẢN LÝ TÀI KHOẢN " numFmtId="166">
      <sharedItems containsSemiMixedTypes="0" containsString="0" containsNumber="1" containsInteger="1" minValue="5220" maxValue="18000"/>
    </cacheField>
    <cacheField name="NGƯỜI QUẢN LÝ DỰ ÁN " numFmtId="166">
      <sharedItems containsSemiMixedTypes="0" containsString="0" containsNumber="1" containsInteger="1" minValue="2640" maxValue="23400"/>
    </cacheField>
    <cacheField name="NGƯỜI QUẢN LÝ CHIẾN LƯỢC " numFmtId="166">
      <sharedItems containsSemiMixedTypes="0" containsString="0" containsNumber="1" containsInteger="1" minValue="0" maxValue="19800"/>
    </cacheField>
    <cacheField name="CHUYÊN GIA THIẾT KẾ " numFmtId="166">
      <sharedItems containsSemiMixedTypes="0" containsString="0" containsNumber="1" containsInteger="1" minValue="0" maxValue="25000"/>
    </cacheField>
    <cacheField name="NHÂN VIÊN SỰ KIỆN " numFmtId="166">
      <sharedItems containsSemiMixedTypes="0" containsString="0" containsNumber="1" containsInteger="1" minValue="0" maxValue="12240"/>
    </cacheField>
    <cacheField name="NHÂN VIÊN QUẢN TRỊ " numFmtId="166">
      <sharedItems containsSemiMixedTypes="0" containsString="0" containsNumber="1" containsInteger="1" minValue="870" maxValue="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Phát triển chiến lược sự kiện"/>
    <d v="2019-06-09T00:00:00"/>
    <d v="2019-08-07T00:00:00"/>
    <d v="2019-06-29T00:00:00"/>
    <d v="2019-09-03T00:00:00"/>
    <n v="200"/>
    <n v="220"/>
    <n v="58"/>
    <n v="64"/>
    <n v="7200"/>
    <n v="2400"/>
    <n v="18000"/>
    <n v="0"/>
    <n v="0"/>
    <n v="1200"/>
    <n v="7920"/>
    <n v="2640"/>
    <n v="19800"/>
    <n v="0"/>
    <n v="0"/>
    <n v="1320"/>
  </r>
  <r>
    <x v="1"/>
    <s v="Lập kế hoạch sự kiện"/>
    <d v="2020-06-25T00:00:00"/>
    <d v="2020-07-27T00:00:00"/>
    <d v="2019-07-15T00:00:00"/>
    <d v="2020-08-25T00:00:00"/>
    <n v="400"/>
    <n v="390"/>
    <n v="32"/>
    <n v="400"/>
    <n v="14400"/>
    <n v="24000"/>
    <n v="6000"/>
    <n v="4000"/>
    <n v="0"/>
    <n v="2400"/>
    <n v="14040"/>
    <n v="23400"/>
    <n v="5850"/>
    <n v="3900"/>
    <n v="0"/>
    <n v="2340"/>
  </r>
  <r>
    <x v="2"/>
    <s v="Thiết kế sự kiện"/>
    <d v="2021-07-12T00:00:00"/>
    <d v="2021-09-19T00:00:00"/>
    <d v="2025-08-07T00:00:00"/>
    <d v="2025-10-10T00:00:00"/>
    <n v="500"/>
    <n v="500"/>
    <n v="67"/>
    <n v="63"/>
    <n v="18000"/>
    <n v="12000"/>
    <n v="0"/>
    <n v="25000"/>
    <n v="0"/>
    <n v="3000"/>
    <n v="18000"/>
    <n v="12000"/>
    <n v="0"/>
    <n v="25000"/>
    <n v="0"/>
    <n v="3000"/>
  </r>
  <r>
    <x v="3"/>
    <s v="Dịch vụ hậu cần cho sự kiện"/>
    <d v="2022-07-30T00:00:00"/>
    <d v="2022-09-28T00:00:00"/>
    <d v="2022-09-14T00:00:00"/>
    <d v="2022-11-13T00:00:00"/>
    <n v="150"/>
    <n v="145"/>
    <n v="58"/>
    <n v="59"/>
    <n v="5400"/>
    <n v="10800"/>
    <n v="0"/>
    <n v="0"/>
    <n v="1200"/>
    <n v="900"/>
    <n v="5220"/>
    <n v="10440"/>
    <n v="0"/>
    <n v="0"/>
    <n v="1160"/>
    <n v="870"/>
  </r>
  <r>
    <x v="4"/>
    <s v="Cung cấp nhân viên cho sự kiện"/>
    <d v="2023-08-11T00:00:00"/>
    <d v="2023-08-21T00:00:00"/>
    <d v="2023-09-14T00:00:00"/>
    <d v="2023-09-25T00:00:00"/>
    <n v="250"/>
    <n v="255"/>
    <n v="10"/>
    <n v="11"/>
    <n v="9000"/>
    <n v="3000"/>
    <n v="0"/>
    <n v="0"/>
    <n v="12000"/>
    <n v="1500"/>
    <n v="9180"/>
    <n v="3060"/>
    <n v="0"/>
    <n v="0"/>
    <n v="12240"/>
    <n v="15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ổng" cacheId="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4:N10"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SỐ LIỆU ƯỚC TÍNH CỦA NGƯỜI QUẢN LÝ TÀI KHOẢN" fld="10" baseField="0" baseItem="0" numFmtId="167"/>
    <dataField name="SỐ LIỆU ƯỚC TÍNH CỦA NGƯỜI QUẢN LÝ DỰ ÁN" fld="11" baseField="0" baseItem="0" numFmtId="167"/>
    <dataField name="SỐ LIỆU ƯỚC TÍNH CỦA NGƯỜI QUẢN LÝ CHIẾN LƯỢC" fld="12" baseField="0" baseItem="0" numFmtId="167"/>
    <dataField name="SỐ LIỆU ƯỚC TÍNH CỦA CHUYÊN GIA THIẾT KẾ" fld="13" baseField="0" baseItem="0" numFmtId="167"/>
    <dataField name="SỐ LIỆU ƯỚC TÍNH CỦA NHÂN VIÊN SỰ KIỆN" fld="14" baseField="0" baseItem="0" numFmtId="167"/>
    <dataField name="SỐ LIỆU ƯỚC TÍNH CỦA NHÂN VIÊN QUẢN TRỊ" fld="15" baseField="0" baseItem="0" numFmtId="167"/>
    <dataField name="SỐ LIỆU THỰC TẾ CỦA NGƯỜI QUẢN LÝ TÀI KHOẢN" fld="16" baseField="0" baseItem="0" numFmtId="167"/>
    <dataField name="PROJECT MANAGER ACTUAL" fld="17" baseField="0" baseItem="0" numFmtId="167"/>
    <dataField name="STRATEGY MANAGER ACTUAL" fld="18" baseField="0" baseItem="0" numFmtId="167"/>
    <dataField name="SỐ LIỆU THỰC TẾ CỦA CHUYÊN GIA THIẾT KẾ" fld="19" baseField="0" baseItem="0" numFmtId="167"/>
    <dataField name="SỐ LIỆU THỰC TẾ CỦA NHÂN VIÊN SỰ KIỆN" fld="20" baseField="0" baseItem="0" numFmtId="167"/>
    <dataField name="SỐ LIỆU THỰC TẾ CỦA NHÂN VIÊN QUẢN TRỊ" fld="21" baseField="0" baseItem="0" numFmtId="167"/>
  </dataFields>
  <formats count="57">
    <format dxfId="113">
      <pivotArea dataOnly="0" labelOnly="1" outline="0" fieldPosition="0">
        <references count="1">
          <reference field="4294967294" count="6">
            <x v="0"/>
            <x v="1"/>
            <x v="2"/>
            <x v="3"/>
            <x v="4"/>
            <x v="5"/>
          </reference>
        </references>
      </pivotArea>
    </format>
    <format dxfId="112">
      <pivotArea outline="0" fieldPosition="0">
        <references count="2">
          <reference field="4294967294" count="1" selected="0">
            <x v="0"/>
          </reference>
          <reference field="0" count="1" selected="0">
            <x v="0"/>
          </reference>
        </references>
      </pivotArea>
    </format>
    <format dxfId="111">
      <pivotArea outline="0" fieldPosition="0">
        <references count="2">
          <reference field="4294967294" count="1" selected="0">
            <x v="1"/>
          </reference>
          <reference field="0" count="1" selected="0">
            <x v="0"/>
          </reference>
        </references>
      </pivotArea>
    </format>
    <format dxfId="110">
      <pivotArea outline="0" fieldPosition="0">
        <references count="2">
          <reference field="4294967294" count="1" selected="0">
            <x v="2"/>
          </reference>
          <reference field="0" count="1" selected="0">
            <x v="0"/>
          </reference>
        </references>
      </pivotArea>
    </format>
    <format dxfId="109">
      <pivotArea outline="0" fieldPosition="0">
        <references count="2">
          <reference field="4294967294" count="1" selected="0">
            <x v="3"/>
          </reference>
          <reference field="0" count="1" selected="0">
            <x v="0"/>
          </reference>
        </references>
      </pivotArea>
    </format>
    <format dxfId="108">
      <pivotArea outline="0" fieldPosition="0">
        <references count="2">
          <reference field="4294967294" count="1" selected="0">
            <x v="4"/>
          </reference>
          <reference field="0" count="1" selected="0">
            <x v="0"/>
          </reference>
        </references>
      </pivotArea>
    </format>
    <format dxfId="107">
      <pivotArea outline="0" fieldPosition="0">
        <references count="2">
          <reference field="4294967294" count="1" selected="0">
            <x v="5"/>
          </reference>
          <reference field="0" count="1" selected="0">
            <x v="0"/>
          </reference>
        </references>
      </pivotArea>
    </format>
    <format dxfId="106">
      <pivotArea outline="0" fieldPosition="0">
        <references count="2">
          <reference field="4294967294" count="1" selected="0">
            <x v="0"/>
          </reference>
          <reference field="0" count="1" selected="0">
            <x v="1"/>
          </reference>
        </references>
      </pivotArea>
    </format>
    <format dxfId="105">
      <pivotArea outline="0" fieldPosition="0">
        <references count="2">
          <reference field="4294967294" count="1" selected="0">
            <x v="1"/>
          </reference>
          <reference field="0" count="1" selected="0">
            <x v="1"/>
          </reference>
        </references>
      </pivotArea>
    </format>
    <format dxfId="104">
      <pivotArea outline="0" fieldPosition="0">
        <references count="2">
          <reference field="4294967294" count="1" selected="0">
            <x v="2"/>
          </reference>
          <reference field="0" count="1" selected="0">
            <x v="1"/>
          </reference>
        </references>
      </pivotArea>
    </format>
    <format dxfId="103">
      <pivotArea outline="0" fieldPosition="0">
        <references count="2">
          <reference field="4294967294" count="1" selected="0">
            <x v="3"/>
          </reference>
          <reference field="0" count="1" selected="0">
            <x v="1"/>
          </reference>
        </references>
      </pivotArea>
    </format>
    <format dxfId="102">
      <pivotArea outline="0" fieldPosition="0">
        <references count="2">
          <reference field="4294967294" count="1" selected="0">
            <x v="4"/>
          </reference>
          <reference field="0" count="1" selected="0">
            <x v="1"/>
          </reference>
        </references>
      </pivotArea>
    </format>
    <format dxfId="101">
      <pivotArea outline="0" fieldPosition="0">
        <references count="2">
          <reference field="4294967294" count="1" selected="0">
            <x v="5"/>
          </reference>
          <reference field="0" count="1" selected="0">
            <x v="1"/>
          </reference>
        </references>
      </pivotArea>
    </format>
    <format dxfId="100">
      <pivotArea outline="0" fieldPosition="0">
        <references count="2">
          <reference field="4294967294" count="1" selected="0">
            <x v="0"/>
          </reference>
          <reference field="0" count="1" selected="0">
            <x v="2"/>
          </reference>
        </references>
      </pivotArea>
    </format>
    <format dxfId="99">
      <pivotArea outline="0" fieldPosition="0">
        <references count="2">
          <reference field="4294967294" count="1" selected="0">
            <x v="1"/>
          </reference>
          <reference field="0" count="1" selected="0">
            <x v="2"/>
          </reference>
        </references>
      </pivotArea>
    </format>
    <format dxfId="98">
      <pivotArea outline="0" fieldPosition="0">
        <references count="2">
          <reference field="4294967294" count="1" selected="0">
            <x v="2"/>
          </reference>
          <reference field="0" count="1" selected="0">
            <x v="2"/>
          </reference>
        </references>
      </pivotArea>
    </format>
    <format dxfId="97">
      <pivotArea outline="0" fieldPosition="0">
        <references count="2">
          <reference field="4294967294" count="1" selected="0">
            <x v="3"/>
          </reference>
          <reference field="0" count="1" selected="0">
            <x v="2"/>
          </reference>
        </references>
      </pivotArea>
    </format>
    <format dxfId="96">
      <pivotArea outline="0" fieldPosition="0">
        <references count="2">
          <reference field="4294967294" count="1" selected="0">
            <x v="4"/>
          </reference>
          <reference field="0" count="1" selected="0">
            <x v="2"/>
          </reference>
        </references>
      </pivotArea>
    </format>
    <format dxfId="95">
      <pivotArea outline="0" fieldPosition="0">
        <references count="2">
          <reference field="4294967294" count="1" selected="0">
            <x v="5"/>
          </reference>
          <reference field="0" count="1" selected="0">
            <x v="2"/>
          </reference>
        </references>
      </pivotArea>
    </format>
    <format dxfId="94">
      <pivotArea outline="0" fieldPosition="0">
        <references count="2">
          <reference field="4294967294" count="1" selected="0">
            <x v="0"/>
          </reference>
          <reference field="0" count="1" selected="0">
            <x v="3"/>
          </reference>
        </references>
      </pivotArea>
    </format>
    <format dxfId="93">
      <pivotArea outline="0" fieldPosition="0">
        <references count="2">
          <reference field="4294967294" count="1" selected="0">
            <x v="1"/>
          </reference>
          <reference field="0" count="1" selected="0">
            <x v="3"/>
          </reference>
        </references>
      </pivotArea>
    </format>
    <format dxfId="92">
      <pivotArea outline="0" fieldPosition="0">
        <references count="2">
          <reference field="4294967294" count="1" selected="0">
            <x v="2"/>
          </reference>
          <reference field="0" count="1" selected="0">
            <x v="3"/>
          </reference>
        </references>
      </pivotArea>
    </format>
    <format dxfId="91">
      <pivotArea outline="0" fieldPosition="0">
        <references count="2">
          <reference field="4294967294" count="1" selected="0">
            <x v="3"/>
          </reference>
          <reference field="0" count="1" selected="0">
            <x v="3"/>
          </reference>
        </references>
      </pivotArea>
    </format>
    <format dxfId="90">
      <pivotArea outline="0" fieldPosition="0">
        <references count="2">
          <reference field="4294967294" count="1" selected="0">
            <x v="4"/>
          </reference>
          <reference field="0" count="1" selected="0">
            <x v="3"/>
          </reference>
        </references>
      </pivotArea>
    </format>
    <format dxfId="89">
      <pivotArea outline="0" fieldPosition="0">
        <references count="2">
          <reference field="4294967294" count="1" selected="0">
            <x v="5"/>
          </reference>
          <reference field="0" count="1" selected="0">
            <x v="3"/>
          </reference>
        </references>
      </pivotArea>
    </format>
    <format dxfId="88">
      <pivotArea outline="0" fieldPosition="0">
        <references count="2">
          <reference field="4294967294" count="1" selected="0">
            <x v="0"/>
          </reference>
          <reference field="0" count="1" selected="0">
            <x v="4"/>
          </reference>
        </references>
      </pivotArea>
    </format>
    <format dxfId="87">
      <pivotArea outline="0" fieldPosition="0">
        <references count="2">
          <reference field="4294967294" count="1" selected="0">
            <x v="1"/>
          </reference>
          <reference field="0" count="1" selected="0">
            <x v="4"/>
          </reference>
        </references>
      </pivotArea>
    </format>
    <format dxfId="86">
      <pivotArea outline="0" fieldPosition="0">
        <references count="2">
          <reference field="4294967294" count="1" selected="0">
            <x v="2"/>
          </reference>
          <reference field="0" count="1" selected="0">
            <x v="4"/>
          </reference>
        </references>
      </pivotArea>
    </format>
    <format dxfId="85">
      <pivotArea outline="0" fieldPosition="0">
        <references count="2">
          <reference field="4294967294" count="1" selected="0">
            <x v="3"/>
          </reference>
          <reference field="0" count="1" selected="0">
            <x v="4"/>
          </reference>
        </references>
      </pivotArea>
    </format>
    <format dxfId="84">
      <pivotArea outline="0" fieldPosition="0">
        <references count="2">
          <reference field="4294967294" count="1" selected="0">
            <x v="4"/>
          </reference>
          <reference field="0" count="1" selected="0">
            <x v="4"/>
          </reference>
        </references>
      </pivotArea>
    </format>
    <format dxfId="83">
      <pivotArea outline="0" fieldPosition="0">
        <references count="2">
          <reference field="4294967294" count="1" selected="0">
            <x v="5"/>
          </reference>
          <reference field="0" count="1" selected="0">
            <x v="4"/>
          </reference>
        </references>
      </pivotArea>
    </format>
    <format dxfId="82">
      <pivotArea field="0" grandRow="1" outline="0" axis="axisRow" fieldPosition="0">
        <references count="1">
          <reference field="4294967294" count="1" selected="0">
            <x v="0"/>
          </reference>
        </references>
      </pivotArea>
    </format>
    <format dxfId="81">
      <pivotArea field="0" grandRow="1" outline="0" axis="axisRow" fieldPosition="0">
        <references count="1">
          <reference field="4294967294" count="1" selected="0">
            <x v="1"/>
          </reference>
        </references>
      </pivotArea>
    </format>
    <format dxfId="80">
      <pivotArea field="0" grandRow="1" outline="0" axis="axisRow" fieldPosition="0">
        <references count="1">
          <reference field="4294967294" count="1" selected="0">
            <x v="2"/>
          </reference>
        </references>
      </pivotArea>
    </format>
    <format dxfId="79">
      <pivotArea field="0" grandRow="1" outline="0" axis="axisRow" fieldPosition="0">
        <references count="1">
          <reference field="4294967294" count="1" selected="0">
            <x v="3"/>
          </reference>
        </references>
      </pivotArea>
    </format>
    <format dxfId="78">
      <pivotArea field="0" grandRow="1" outline="0" axis="axisRow" fieldPosition="0">
        <references count="1">
          <reference field="4294967294" count="1" selected="0">
            <x v="4"/>
          </reference>
        </references>
      </pivotArea>
    </format>
    <format dxfId="77">
      <pivotArea field="0" grandRow="1" outline="0" axis="axisRow" fieldPosition="0">
        <references count="1">
          <reference field="4294967294" count="1" selected="0">
            <x v="5"/>
          </reference>
        </references>
      </pivotArea>
    </format>
    <format dxfId="76">
      <pivotArea type="all" dataOnly="0" outline="0" fieldPosition="0"/>
    </format>
    <format dxfId="75">
      <pivotArea outline="0" collapsedLevelsAreSubtotals="1" fieldPosition="0"/>
    </format>
    <format dxfId="74">
      <pivotArea field="0" type="button" dataOnly="0" labelOnly="1" outline="0" axis="axisRow" fieldPosition="0"/>
    </format>
    <format dxfId="73">
      <pivotArea dataOnly="0" labelOnly="1" outline="0" fieldPosition="0">
        <references count="1">
          <reference field="0" count="0"/>
        </references>
      </pivotArea>
    </format>
    <format dxfId="72">
      <pivotArea dataOnly="0" labelOnly="1" grandRow="1" outline="0" fieldPosition="0"/>
    </format>
    <format dxfId="71">
      <pivotArea dataOnly="0" labelOnly="1" outline="0" fieldPosition="0">
        <references count="1">
          <reference field="4294967294" count="6">
            <x v="0"/>
            <x v="1"/>
            <x v="2"/>
            <x v="3"/>
            <x v="4"/>
            <x v="5"/>
          </reference>
        </references>
      </pivotArea>
    </format>
    <format dxfId="70">
      <pivotArea dataOnly="0" labelOnly="1" outline="0" fieldPosition="0">
        <references count="1">
          <reference field="4294967294" count="6">
            <x v="0"/>
            <x v="1"/>
            <x v="2"/>
            <x v="3"/>
            <x v="4"/>
            <x v="5"/>
          </reference>
        </references>
      </pivotArea>
    </format>
    <format dxfId="69">
      <pivotArea outline="0" fieldPosition="0">
        <references count="1">
          <reference field="4294967294" count="1">
            <x v="0"/>
          </reference>
        </references>
      </pivotArea>
    </format>
    <format dxfId="68">
      <pivotArea outline="0" fieldPosition="0">
        <references count="1">
          <reference field="4294967294" count="1">
            <x v="1"/>
          </reference>
        </references>
      </pivotArea>
    </format>
    <format dxfId="67">
      <pivotArea outline="0" fieldPosition="0">
        <references count="1">
          <reference field="4294967294" count="1">
            <x v="2"/>
          </reference>
        </references>
      </pivotArea>
    </format>
    <format dxfId="66">
      <pivotArea outline="0" fieldPosition="0">
        <references count="1">
          <reference field="4294967294" count="1">
            <x v="3"/>
          </reference>
        </references>
      </pivotArea>
    </format>
    <format dxfId="65">
      <pivotArea outline="0" fieldPosition="0">
        <references count="1">
          <reference field="4294967294" count="1">
            <x v="4"/>
          </reference>
        </references>
      </pivotArea>
    </format>
    <format dxfId="64">
      <pivotArea outline="0" fieldPosition="0">
        <references count="1">
          <reference field="4294967294" count="1">
            <x v="5"/>
          </reference>
        </references>
      </pivotArea>
    </format>
    <format dxfId="63">
      <pivotArea dataOnly="0" labelOnly="1" outline="0" fieldPosition="0">
        <references count="1">
          <reference field="4294967294" count="6">
            <x v="6"/>
            <x v="7"/>
            <x v="8"/>
            <x v="9"/>
            <x v="10"/>
            <x v="11"/>
          </reference>
        </references>
      </pivotArea>
    </format>
    <format dxfId="62">
      <pivotArea outline="0" fieldPosition="0">
        <references count="1">
          <reference field="4294967294" count="1">
            <x v="6"/>
          </reference>
        </references>
      </pivotArea>
    </format>
    <format dxfId="61">
      <pivotArea outline="0" fieldPosition="0">
        <references count="1">
          <reference field="4294967294" count="1">
            <x v="7"/>
          </reference>
        </references>
      </pivotArea>
    </format>
    <format dxfId="60">
      <pivotArea outline="0" fieldPosition="0">
        <references count="1">
          <reference field="4294967294" count="1">
            <x v="8"/>
          </reference>
        </references>
      </pivotArea>
    </format>
    <format dxfId="59">
      <pivotArea outline="0" fieldPosition="0">
        <references count="1">
          <reference field="4294967294" count="1">
            <x v="9"/>
          </reference>
        </references>
      </pivotArea>
    </format>
    <format dxfId="58">
      <pivotArea outline="0" fieldPosition="0">
        <references count="1">
          <reference field="4294967294" count="1">
            <x v="10"/>
          </reference>
        </references>
      </pivotArea>
    </format>
    <format dxfId="57">
      <pivotArea outline="0" fieldPosition="0">
        <references count="1">
          <reference field="4294967294" count="1">
            <x v="11"/>
          </reference>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này liệt kê Tên dự án và các giá trị được tính cho mọi mục trên trang tính THAM SỐ CỦA DỰ ÁN, được tính toán bằng cách nhân với thời lượng giờ trên trang tính CHI TIẾT VỀ DỰ Á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ham_số" displayName="Tham_số" ref="B5:I11" headerRowDxfId="178" dataDxfId="177">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LOẠI DỰ ÁN" totalsRowLabel="Tổng" dataDxfId="176" totalsRowDxfId="175"/>
    <tableColumn id="2" xr3:uid="{00000000-0010-0000-0000-000002000000}" name="NGƯỜI QUẢN LÝ TÀI KHOẢN" dataDxfId="174" totalsRowDxfId="173"/>
    <tableColumn id="3" xr3:uid="{00000000-0010-0000-0000-000003000000}" name="NGƯỜI QUẢN LÝ DỰ ÁN" dataDxfId="172" totalsRowDxfId="171"/>
    <tableColumn id="4" xr3:uid="{00000000-0010-0000-0000-000004000000}" name="NGƯỜI QUẢN LÝ CHIẾN LƯỢC" dataDxfId="170" totalsRowDxfId="169"/>
    <tableColumn id="5" xr3:uid="{00000000-0010-0000-0000-000005000000}" name="CHUYÊN GIA THIẾT KẾ" dataDxfId="168" totalsRowDxfId="167"/>
    <tableColumn id="6" xr3:uid="{00000000-0010-0000-0000-000006000000}" name="NHÂN VIÊN SỰ KIỆN" dataDxfId="166" totalsRowDxfId="165"/>
    <tableColumn id="7" xr3:uid="{00000000-0010-0000-0000-000007000000}" name="NHÂN VIÊN QUẢN TRỊ" dataDxfId="164" totalsRowDxfId="163"/>
    <tableColumn id="8" xr3:uid="{00000000-0010-0000-0000-000008000000}" name="Tổng" totalsRowFunction="sum" dataDxfId="162" totalsRowDxfId="161">
      <calculatedColumnFormula>SUM(Tham_số[[#This Row],[NGƯỜI QUẢN LÝ TÀI KHOẢN]:[NHÂN VIÊN QUẢN TRỊ]])</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Nhập Loại dự án, tỷ lệ phần trăm cho Người quản lý tài khoản, Người quản lý dự án, Người quản lý chiến lược, Chuyên gia thiết kế, Nhân viên sự kiện và Nhân viên quản trị. Tổng được tính toán tự độn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hi_tiết_về_dự_án" displayName="Chi_tiết_về_dự_án" ref="B4:W10" totalsRowCount="1" headerRowDxfId="160" dataDxfId="159" totalsRowDxfId="158">
  <tableColumns count="22">
    <tableColumn id="1" xr3:uid="{00000000-0010-0000-0100-000001000000}" name="TÊN DỰ ÁN" totalsRowLabel="TỔNG" dataDxfId="157" totalsRowDxfId="156"/>
    <tableColumn id="2" xr3:uid="{00000000-0010-0000-0100-000002000000}" name="LOẠI DỰ ÁN" dataDxfId="155" totalsRowDxfId="154"/>
    <tableColumn id="3" xr3:uid="{00000000-0010-0000-0100-000003000000}" name="NGÀY BẮT ĐẦU ƯỚC TÍNH" dataDxfId="153" totalsRowDxfId="152"/>
    <tableColumn id="4" xr3:uid="{00000000-0010-0000-0100-000004000000}" name="NGÀY KẾT THÚC ƯỚC TÍNH" dataDxfId="151" totalsRowDxfId="150"/>
    <tableColumn id="7" xr3:uid="{00000000-0010-0000-0100-000007000000}" name="NGÀY BẮT ĐẦU THỰC TẾ" dataDxfId="149" totalsRowDxfId="148"/>
    <tableColumn id="8" xr3:uid="{00000000-0010-0000-0100-000008000000}" name="NGÀY KẾT THÚC THỰC TẾ" dataDxfId="147" totalsRowDxfId="146"/>
    <tableColumn id="5" xr3:uid="{00000000-0010-0000-0100-000005000000}" name="CÔNG VIỆC ƯỚC TÍNH" totalsRowFunction="sum" dataDxfId="145" totalsRowDxfId="144"/>
    <tableColumn id="9" xr3:uid="{00000000-0010-0000-0100-000009000000}" name="CÔNG VIỆC THỰC TẾ" totalsRowFunction="sum" dataDxfId="143" totalsRowDxfId="142"/>
    <tableColumn id="6" xr3:uid="{00000000-0010-0000-0100-000006000000}" name="LƯỢNG THỜI GIAN ƯỚC TÍNH" totalsRowFunction="sum" dataDxfId="141" totalsRowDxfId="140">
      <calculatedColumnFormula>DAYS360(Chi_tiết_về_dự_án[[#This Row],[NGÀY BẮT ĐẦU ƯỚC TÍNH]],Chi_tiết_về_dự_án[[#This Row],[NGÀY KẾT THÚC ƯỚC TÍNH]],FALSE)</calculatedColumnFormula>
    </tableColumn>
    <tableColumn id="10" xr3:uid="{00000000-0010-0000-0100-00000A000000}" name="LƯỢNG THỜI GIAN THỰC TẾ" totalsRowFunction="sum" dataDxfId="139" totalsRowDxfId="138">
      <calculatedColumnFormula>DAYS360(Chi_tiết_về_dự_án[[#This Row],[NGÀY BẮT ĐẦU THỰC TẾ]],Chi_tiết_về_dự_án[[#This Row],[NGÀY KẾT THÚC THỰC TẾ]],FALSE)</calculatedColumnFormula>
    </tableColumn>
    <tableColumn id="11" xr3:uid="{00000000-0010-0000-0100-00000B000000}" name="NGƯỜI QUẢN LÝ TÀI KHOẢN" dataDxfId="137" totalsRowDxfId="136">
      <calculatedColumnFormula>INDEX(Tham_số[],MATCH(Chi_tiết_về_dự_án[[#This Row],[LOẠI DỰ ÁN]],Tham_số[LOẠI DỰ ÁN],0),MATCH(Chi_tiết_về_dự_án[[#Headers],[NGƯỜI QUẢN LÝ TÀI KHOẢN]],Tham_số[#Headers],0))*INDEX('THAM SỐ DỰ ÁN'!$B$12:$H$12,1,MATCH(Chi_tiết_về_dự_án[[#Headers],[NGƯỜI QUẢN LÝ TÀI KHOẢN]],Tham_số[#Headers],0))*Chi_tiết_về_dự_án[[#This Row],[CÔNG VIỆC ƯỚC TÍNH]]</calculatedColumnFormula>
    </tableColumn>
    <tableColumn id="12" xr3:uid="{00000000-0010-0000-0100-00000C000000}" name="NGƯỜI QUẢN LÝ DỰ ÁN" dataDxfId="135" totalsRowDxfId="134">
      <calculatedColumnFormula>INDEX(Tham_số[],MATCH(Chi_tiết_về_dự_án[[#This Row],[LOẠI DỰ ÁN]],Tham_số[LOẠI DỰ ÁN],0),MATCH(Chi_tiết_về_dự_án[[#Headers],[NGƯỜI QUẢN LÝ DỰ ÁN]],Tham_số[#Headers],0))*INDEX('THAM SỐ DỰ ÁN'!$B$12:$H$12,1,MATCH(Chi_tiết_về_dự_án[[#Headers],[NGƯỜI QUẢN LÝ DỰ ÁN]],Tham_số[#Headers],0))*Chi_tiết_về_dự_án[[#This Row],[CÔNG VIỆC ƯỚC TÍNH]]</calculatedColumnFormula>
    </tableColumn>
    <tableColumn id="13" xr3:uid="{00000000-0010-0000-0100-00000D000000}" name="NGƯỜI QUẢN LÝ CHIẾN LƯỢC" dataDxfId="133" totalsRowDxfId="132">
      <calculatedColumnFormula>INDEX(Tham_số[],MATCH(Chi_tiết_về_dự_án[[#This Row],[LOẠI DỰ ÁN]],Tham_số[LOẠI DỰ ÁN],0),MATCH(Chi_tiết_về_dự_án[[#Headers],[NGƯỜI QUẢN LÝ CHIẾN LƯỢC]],Tham_số[#Headers],0))*INDEX('THAM SỐ DỰ ÁN'!$B$12:$H$12,1,MATCH(Chi_tiết_về_dự_án[[#Headers],[NGƯỜI QUẢN LÝ CHIẾN LƯỢC]],Tham_số[#Headers],0))*Chi_tiết_về_dự_án[[#This Row],[CÔNG VIỆC ƯỚC TÍNH]]</calculatedColumnFormula>
    </tableColumn>
    <tableColumn id="14" xr3:uid="{00000000-0010-0000-0100-00000E000000}" name="CHUYÊN GIA THIẾT KẾ" dataDxfId="131" totalsRowDxfId="130">
      <calculatedColumnFormula>INDEX(Tham_số[],MATCH(Chi_tiết_về_dự_án[[#This Row],[LOẠI DỰ ÁN]],Tham_số[LOẠI DỰ ÁN],0),MATCH(Chi_tiết_về_dự_án[[#Headers],[CHUYÊN GIA THIẾT KẾ]],Tham_số[#Headers],0))*INDEX('THAM SỐ DỰ ÁN'!$B$12:$H$12,1,MATCH(Chi_tiết_về_dự_án[[#Headers],[CHUYÊN GIA THIẾT KẾ]],Tham_số[#Headers],0))*Chi_tiết_về_dự_án[[#This Row],[CÔNG VIỆC ƯỚC TÍNH]]</calculatedColumnFormula>
    </tableColumn>
    <tableColumn id="15" xr3:uid="{00000000-0010-0000-0100-00000F000000}" name="NHÂN VIÊN SỰ KIỆN" dataDxfId="129" totalsRowDxfId="128">
      <calculatedColumnFormula>INDEX(Tham_số[],MATCH(Chi_tiết_về_dự_án[[#This Row],[LOẠI DỰ ÁN]],Tham_số[LOẠI DỰ ÁN],0),MATCH(Chi_tiết_về_dự_án[[#Headers],[NHÂN VIÊN SỰ KIỆN]],Tham_số[#Headers],0))*INDEX('THAM SỐ DỰ ÁN'!$B$12:$H$12,1,MATCH(Chi_tiết_về_dự_án[[#Headers],[NHÂN VIÊN SỰ KIỆN]],Tham_số[#Headers],0))*Chi_tiết_về_dự_án[[#This Row],[CÔNG VIỆC ƯỚC TÍNH]]</calculatedColumnFormula>
    </tableColumn>
    <tableColumn id="16" xr3:uid="{00000000-0010-0000-0100-000010000000}" name="NHÂN VIÊN QUẢN TRỊ" dataDxfId="127" totalsRowDxfId="126">
      <calculatedColumnFormula>INDEX(Tham_số[],MATCH(Chi_tiết_về_dự_án[[#This Row],[LOẠI DỰ ÁN]],Tham_số[LOẠI DỰ ÁN],0),MATCH(Chi_tiết_về_dự_án[[#Headers],[NHÂN VIÊN QUẢN TRỊ]],Tham_số[#Headers],0))*INDEX('THAM SỐ DỰ ÁN'!$B$12:$H$12,1,MATCH(Chi_tiết_về_dự_án[[#Headers],[NHÂN VIÊN QUẢN TRỊ]],Tham_số[#Headers],0))*Chi_tiết_về_dự_án[[#This Row],[CÔNG VIỆC ƯỚC TÍNH]]</calculatedColumnFormula>
    </tableColumn>
    <tableColumn id="17" xr3:uid="{00000000-0010-0000-0100-000011000000}" name="NGƯỜI QUẢN LÝ TÀI KHOẢN " dataDxfId="125" totalsRowDxfId="124">
      <calculatedColumnFormula>INDEX(Tham_số[],MATCH(Chi_tiết_về_dự_án[[#This Row],[LOẠI DỰ ÁN]],Tham_số[LOẠI DỰ ÁN],0),MATCH(Chi_tiết_về_dự_án[[#Headers],[NGƯỜI QUẢN LÝ TÀI KHOẢN]],Tham_số[#Headers],0))*INDEX('THAM SỐ DỰ ÁN'!$B$12:$H$12,1,MATCH(Chi_tiết_về_dự_án[[#Headers],[NGƯỜI QUẢN LÝ TÀI KHOẢN]],Tham_số[#Headers],0))*Chi_tiết_về_dự_án[[#This Row],[CÔNG VIỆC THỰC TẾ]]</calculatedColumnFormula>
    </tableColumn>
    <tableColumn id="18" xr3:uid="{00000000-0010-0000-0100-000012000000}" name="NGƯỜI QUẢN LÝ DỰ ÁN " dataDxfId="123" totalsRowDxfId="122">
      <calculatedColumnFormula>INDEX(Tham_số[],MATCH(Chi_tiết_về_dự_án[[#This Row],[LOẠI DỰ ÁN]],Tham_số[LOẠI DỰ ÁN],0),MATCH(Chi_tiết_về_dự_án[[#Headers],[NGƯỜI QUẢN LÝ DỰ ÁN]],Tham_số[#Headers],0))*INDEX('THAM SỐ DỰ ÁN'!$B$12:$H$12,1,MATCH(Chi_tiết_về_dự_án[[#Headers],[NGƯỜI QUẢN LÝ DỰ ÁN]],Tham_số[#Headers],0))*Chi_tiết_về_dự_án[[#This Row],[CÔNG VIỆC THỰC TẾ]]</calculatedColumnFormula>
    </tableColumn>
    <tableColumn id="19" xr3:uid="{00000000-0010-0000-0100-000013000000}" name="NGƯỜI QUẢN LÝ CHIẾN LƯỢC " dataDxfId="121" totalsRowDxfId="120">
      <calculatedColumnFormula>INDEX(Tham_số[],MATCH(Chi_tiết_về_dự_án[[#This Row],[LOẠI DỰ ÁN]],Tham_số[LOẠI DỰ ÁN],0),MATCH(Chi_tiết_về_dự_án[[#Headers],[NGƯỜI QUẢN LÝ CHIẾN LƯỢC]],Tham_số[#Headers],0))*INDEX('THAM SỐ DỰ ÁN'!$B$12:$H$12,1,MATCH(Chi_tiết_về_dự_án[[#Headers],[NGƯỜI QUẢN LÝ CHIẾN LƯỢC]],Tham_số[#Headers],0))*Chi_tiết_về_dự_án[[#This Row],[CÔNG VIỆC THỰC TẾ]]</calculatedColumnFormula>
    </tableColumn>
    <tableColumn id="20" xr3:uid="{00000000-0010-0000-0100-000014000000}" name="CHUYÊN GIA THIẾT KẾ " dataDxfId="119" totalsRowDxfId="118">
      <calculatedColumnFormula>INDEX(Tham_số[],MATCH(Chi_tiết_về_dự_án[[#This Row],[LOẠI DỰ ÁN]],Tham_số[LOẠI DỰ ÁN],0),MATCH(Chi_tiết_về_dự_án[[#Headers],[CHUYÊN GIA THIẾT KẾ]],Tham_số[#Headers],0))*INDEX('THAM SỐ DỰ ÁN'!$B$12:$H$12,1,MATCH(Chi_tiết_về_dự_án[[#Headers],[CHUYÊN GIA THIẾT KẾ]],Tham_số[#Headers],0))*Chi_tiết_về_dự_án[[#This Row],[CÔNG VIỆC THỰC TẾ]]</calculatedColumnFormula>
    </tableColumn>
    <tableColumn id="21" xr3:uid="{00000000-0010-0000-0100-000015000000}" name="NHÂN VIÊN SỰ KIỆN " dataDxfId="117" totalsRowDxfId="116">
      <calculatedColumnFormula>INDEX(Tham_số[],MATCH(Chi_tiết_về_dự_án[[#This Row],[LOẠI DỰ ÁN]],Tham_số[LOẠI DỰ ÁN],0),MATCH(Chi_tiết_về_dự_án[[#Headers],[NHÂN VIÊN SỰ KIỆN]],Tham_số[#Headers],0))*INDEX('THAM SỐ DỰ ÁN'!$B$12:$H$12,1,MATCH(Chi_tiết_về_dự_án[[#Headers],[NHÂN VIÊN SỰ KIỆN]],Tham_số[#Headers],0))*Chi_tiết_về_dự_án[[#This Row],[CÔNG VIỆC THỰC TẾ]]</calculatedColumnFormula>
    </tableColumn>
    <tableColumn id="22" xr3:uid="{00000000-0010-0000-0100-000016000000}" name="NHÂN VIÊN QUẢN TRỊ " dataDxfId="115" totalsRowDxfId="114">
      <calculatedColumnFormula>INDEX(Tham_số[],MATCH(Chi_tiết_về_dự_án[[#This Row],[LOẠI DỰ ÁN]],Tham_số[LOẠI DỰ ÁN],0),MATCH(Chi_tiết_về_dự_án[[#Headers],[NHÂN VIÊN QUẢN TRỊ]],Tham_số[#Headers],0))*INDEX('THAM SỐ DỰ ÁN'!$B$12:$H$12,1,MATCH(Chi_tiết_về_dự_án[[#Headers],[NHÂN VIÊN QUẢN TRỊ]],Tham_số[#Headers],0))*Chi_tiết_về_dự_án[[#This Row],[CÔNG VIỆC THỰC TẾ]]</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Nhập Tên dự án, Ngày bắt đầu &amp; kết thúc theo ước tính, Ngày bắt đầu &amp; kết thúc thực tế, Công việc ước tính &amp; thực tế &amp; chọn Loại dự án. Thời lượng ước tính &amp; thực tế được tính toán tự động"/>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2267-7996-4DFE-B69E-896B28477E48}">
  <sheetPr>
    <tabColor theme="9"/>
  </sheetPr>
  <dimension ref="B1:B7"/>
  <sheetViews>
    <sheetView showGridLines="0" tabSelected="1" workbookViewId="0"/>
  </sheetViews>
  <sheetFormatPr defaultRowHeight="12.75" x14ac:dyDescent="0.2"/>
  <cols>
    <col min="1" max="1" width="3.1640625" customWidth="1"/>
    <col min="2" max="2" width="93.33203125" customWidth="1"/>
    <col min="3" max="3" width="2.83203125" customWidth="1"/>
  </cols>
  <sheetData>
    <row r="1" spans="2:2" ht="19.5" x14ac:dyDescent="0.25">
      <c r="B1" s="15" t="s">
        <v>0</v>
      </c>
    </row>
    <row r="2" spans="2:2" ht="42" customHeight="1" x14ac:dyDescent="0.2">
      <c r="B2" s="17" t="s">
        <v>1</v>
      </c>
    </row>
    <row r="3" spans="2:2" ht="49.5" customHeight="1" x14ac:dyDescent="0.2">
      <c r="B3" s="17" t="s">
        <v>2</v>
      </c>
    </row>
    <row r="4" spans="2:2" ht="40.5" customHeight="1" x14ac:dyDescent="0.2">
      <c r="B4" s="17" t="s">
        <v>3</v>
      </c>
    </row>
    <row r="5" spans="2:2" ht="21" customHeight="1" x14ac:dyDescent="0.2">
      <c r="B5" s="19" t="s">
        <v>4</v>
      </c>
    </row>
    <row r="6" spans="2:2" ht="64.5" customHeight="1" x14ac:dyDescent="0.2">
      <c r="B6" s="18" t="s">
        <v>5</v>
      </c>
    </row>
    <row r="7" spans="2:2" ht="38.25" customHeight="1" x14ac:dyDescent="0.2">
      <c r="B7" s="18"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43"/>
  <sheetViews>
    <sheetView showGridLines="0" workbookViewId="0"/>
  </sheetViews>
  <sheetFormatPr defaultColWidth="9.33203125" defaultRowHeight="14.25" x14ac:dyDescent="0.2"/>
  <cols>
    <col min="1" max="1" width="1.83203125" style="11" customWidth="1"/>
    <col min="2" max="2" width="35.33203125" style="5" customWidth="1"/>
    <col min="3" max="3" width="23.1640625" style="5" customWidth="1"/>
    <col min="4" max="4" width="22.33203125" style="5" customWidth="1"/>
    <col min="5" max="5" width="22.5" style="5" customWidth="1"/>
    <col min="6" max="6" width="24.6640625" style="5" customWidth="1"/>
    <col min="7" max="7" width="23.5" style="5" customWidth="1"/>
    <col min="8" max="8" width="24.83203125" style="5" customWidth="1"/>
    <col min="9" max="9" width="9.33203125" style="5" customWidth="1"/>
    <col min="10" max="10" width="2.83203125" style="5" customWidth="1"/>
    <col min="11" max="16384" width="9.33203125" style="5"/>
  </cols>
  <sheetData>
    <row r="1" spans="1:9" ht="35.450000000000003" customHeight="1" x14ac:dyDescent="0.35">
      <c r="A1" s="11" t="s">
        <v>7</v>
      </c>
      <c r="B1" s="2" t="s">
        <v>14</v>
      </c>
      <c r="C1" s="2"/>
      <c r="D1" s="2"/>
      <c r="E1" s="2"/>
      <c r="F1" s="2"/>
      <c r="G1" s="2"/>
      <c r="H1" s="2"/>
      <c r="I1" s="2"/>
    </row>
    <row r="2" spans="1:9" ht="19.5" x14ac:dyDescent="0.25">
      <c r="A2" s="11" t="s">
        <v>8</v>
      </c>
      <c r="B2" s="3" t="s">
        <v>15</v>
      </c>
      <c r="C2" s="3"/>
      <c r="D2" s="3"/>
      <c r="E2" s="3"/>
      <c r="F2" s="3"/>
      <c r="G2" s="3"/>
      <c r="H2" s="3"/>
      <c r="I2" s="3"/>
    </row>
    <row r="3" spans="1:9" ht="15" x14ac:dyDescent="0.2">
      <c r="A3" s="11" t="s">
        <v>9</v>
      </c>
      <c r="B3" s="4" t="str">
        <f>B1&amp;" Thông tin mật"</f>
        <v>Tên công ty Thông tin mật</v>
      </c>
      <c r="C3" s="4"/>
      <c r="D3" s="4"/>
      <c r="E3" s="4"/>
      <c r="F3" s="4"/>
      <c r="G3" s="4"/>
      <c r="H3" s="4"/>
      <c r="I3" s="4"/>
    </row>
    <row r="4" spans="1:9" ht="28.5" customHeight="1" x14ac:dyDescent="0.2">
      <c r="A4" s="11" t="s">
        <v>10</v>
      </c>
      <c r="B4" s="8" t="s">
        <v>16</v>
      </c>
    </row>
    <row r="5" spans="1:9" ht="25.5" x14ac:dyDescent="0.2">
      <c r="A5" s="11" t="s">
        <v>11</v>
      </c>
      <c r="B5" s="9" t="s">
        <v>17</v>
      </c>
      <c r="C5" s="9" t="s">
        <v>30</v>
      </c>
      <c r="D5" s="9" t="s">
        <v>31</v>
      </c>
      <c r="E5" s="9" t="s">
        <v>32</v>
      </c>
      <c r="F5" s="9" t="s">
        <v>33</v>
      </c>
      <c r="G5" s="9" t="s">
        <v>35</v>
      </c>
      <c r="H5" s="9" t="s">
        <v>36</v>
      </c>
      <c r="I5" s="9" t="s">
        <v>37</v>
      </c>
    </row>
    <row r="6" spans="1:9" x14ac:dyDescent="0.2">
      <c r="B6" s="5" t="s">
        <v>18</v>
      </c>
      <c r="C6" s="6">
        <v>0.2</v>
      </c>
      <c r="D6" s="6">
        <v>0.1</v>
      </c>
      <c r="E6" s="6">
        <v>0.6</v>
      </c>
      <c r="F6" s="6">
        <v>0</v>
      </c>
      <c r="G6" s="6">
        <v>0</v>
      </c>
      <c r="H6" s="6">
        <v>0.1</v>
      </c>
      <c r="I6" s="7">
        <f>SUM(Tham_số[[#This Row],[NGƯỜI QUẢN LÝ TÀI KHOẢN]:[NHÂN VIÊN QUẢN TRỊ]])</f>
        <v>1</v>
      </c>
    </row>
    <row r="7" spans="1:9" x14ac:dyDescent="0.2">
      <c r="B7" s="5" t="s">
        <v>19</v>
      </c>
      <c r="C7" s="6">
        <v>0.2</v>
      </c>
      <c r="D7" s="6">
        <v>0.5</v>
      </c>
      <c r="E7" s="6">
        <v>0.1</v>
      </c>
      <c r="F7" s="6">
        <v>0.1</v>
      </c>
      <c r="G7" s="6">
        <v>0</v>
      </c>
      <c r="H7" s="6">
        <v>0.1</v>
      </c>
      <c r="I7" s="7">
        <f>SUM(Tham_số[[#This Row],[NGƯỜI QUẢN LÝ TÀI KHOẢN]:[NHÂN VIÊN QUẢN TRỊ]])</f>
        <v>0.99999999999999989</v>
      </c>
    </row>
    <row r="8" spans="1:9" x14ac:dyDescent="0.2">
      <c r="B8" s="5" t="s">
        <v>20</v>
      </c>
      <c r="C8" s="6">
        <v>0.2</v>
      </c>
      <c r="D8" s="6">
        <v>0.2</v>
      </c>
      <c r="E8" s="6">
        <v>0</v>
      </c>
      <c r="F8" s="6">
        <v>0.5</v>
      </c>
      <c r="G8" s="6">
        <v>0</v>
      </c>
      <c r="H8" s="6">
        <v>0.1</v>
      </c>
      <c r="I8" s="7">
        <f>SUM(Tham_số[[#This Row],[NGƯỜI QUẢN LÝ TÀI KHOẢN]:[NHÂN VIÊN QUẢN TRỊ]])</f>
        <v>1</v>
      </c>
    </row>
    <row r="9" spans="1:9" x14ac:dyDescent="0.2">
      <c r="B9" s="5" t="s">
        <v>21</v>
      </c>
      <c r="C9" s="6">
        <v>0.2</v>
      </c>
      <c r="D9" s="6">
        <v>0.6</v>
      </c>
      <c r="E9" s="6">
        <v>0</v>
      </c>
      <c r="F9" s="6">
        <v>0</v>
      </c>
      <c r="G9" s="6">
        <v>0.1</v>
      </c>
      <c r="H9" s="6">
        <v>0.1</v>
      </c>
      <c r="I9" s="7">
        <f>SUM(Tham_số[[#This Row],[NGƯỜI QUẢN LÝ TÀI KHOẢN]:[NHÂN VIÊN QUẢN TRỊ]])</f>
        <v>1</v>
      </c>
    </row>
    <row r="10" spans="1:9" x14ac:dyDescent="0.2">
      <c r="B10" s="5" t="s">
        <v>22</v>
      </c>
      <c r="C10" s="6">
        <v>0.2</v>
      </c>
      <c r="D10" s="6">
        <v>0.1</v>
      </c>
      <c r="E10" s="6">
        <v>0</v>
      </c>
      <c r="F10" s="6">
        <v>0</v>
      </c>
      <c r="G10" s="6">
        <v>0.6</v>
      </c>
      <c r="H10" s="6">
        <v>0.1</v>
      </c>
      <c r="I10" s="7">
        <f>SUM(Tham_số[[#This Row],[NGƯỜI QUẢN LÝ TÀI KHOẢN]:[NHÂN VIÊN QUẢN TRỊ]])</f>
        <v>1</v>
      </c>
    </row>
    <row r="11" spans="1:9" x14ac:dyDescent="0.2">
      <c r="B11" s="5" t="s">
        <v>23</v>
      </c>
      <c r="C11" s="6">
        <v>0.2</v>
      </c>
      <c r="D11" s="6">
        <v>0.2</v>
      </c>
      <c r="E11" s="6">
        <v>0.2</v>
      </c>
      <c r="F11" s="6">
        <v>0.2</v>
      </c>
      <c r="G11" s="6">
        <v>0</v>
      </c>
      <c r="H11" s="6">
        <v>0.2</v>
      </c>
      <c r="I11" s="7">
        <f>SUM(Tham_số[[#This Row],[NGƯỜI QUẢN LÝ TÀI KHOẢN]:[NHÂN VIÊN QUẢN TRỊ]])</f>
        <v>1</v>
      </c>
    </row>
    <row r="12" spans="1:9" x14ac:dyDescent="0.2">
      <c r="A12" s="11" t="s">
        <v>12</v>
      </c>
      <c r="B12" s="5" t="s">
        <v>24</v>
      </c>
      <c r="C12" s="21">
        <v>180</v>
      </c>
      <c r="D12" s="21">
        <v>120</v>
      </c>
      <c r="E12" s="21">
        <v>150</v>
      </c>
      <c r="F12" s="21">
        <v>100</v>
      </c>
      <c r="G12" s="21">
        <v>80</v>
      </c>
      <c r="H12" s="21">
        <v>60</v>
      </c>
      <c r="I12" s="6"/>
    </row>
    <row r="14" spans="1:9" x14ac:dyDescent="0.2">
      <c r="A14" s="11" t="s">
        <v>13</v>
      </c>
      <c r="F14" s="1" t="s">
        <v>34</v>
      </c>
    </row>
    <row r="15" spans="1:9" x14ac:dyDescent="0.2">
      <c r="B15" s="11"/>
      <c r="C15" s="11" t="s">
        <v>30</v>
      </c>
      <c r="D15" s="11" t="s">
        <v>31</v>
      </c>
      <c r="E15" s="11" t="s">
        <v>32</v>
      </c>
      <c r="F15" s="11" t="s">
        <v>33</v>
      </c>
      <c r="G15" s="11" t="s">
        <v>35</v>
      </c>
      <c r="H15" s="11" t="s">
        <v>36</v>
      </c>
    </row>
    <row r="16" spans="1:9" x14ac:dyDescent="0.2">
      <c r="B16" s="11" t="s">
        <v>25</v>
      </c>
      <c r="C16" s="22">
        <f>SUBTOTAL(109,Chi_tiết_về_dự_án[NGƯỜI QUẢN LÝ TÀI KHOẢN])</f>
        <v>54000</v>
      </c>
      <c r="D16" s="22">
        <f>SUBTOTAL(109,Chi_tiết_về_dự_án[NGƯỜI QUẢN LÝ DỰ ÁN])</f>
        <v>52200</v>
      </c>
      <c r="E16" s="22">
        <f>SUBTOTAL(109,Chi_tiết_về_dự_án[NGƯỜI QUẢN LÝ CHIẾN LƯỢC])</f>
        <v>24000</v>
      </c>
      <c r="F16" s="22">
        <f>SUBTOTAL(109,Chi_tiết_về_dự_án[CHUYÊN GIA THIẾT KẾ])</f>
        <v>29000</v>
      </c>
      <c r="G16" s="22">
        <f>SUBTOTAL(109,Chi_tiết_về_dự_án[NHÂN VIÊN SỰ KIỆN])</f>
        <v>13200</v>
      </c>
      <c r="H16" s="22">
        <f>SUBTOTAL(109,Chi_tiết_về_dự_án[NHÂN VIÊN QUẢN TRỊ])</f>
        <v>9000</v>
      </c>
    </row>
    <row r="17" spans="2:9" x14ac:dyDescent="0.2">
      <c r="B17" s="11" t="s">
        <v>26</v>
      </c>
      <c r="C17" s="22">
        <f>SUBTOTAL(109,Chi_tiết_về_dự_án[[NGƯỜI QUẢN LÝ TÀI KHOẢN ]])</f>
        <v>54360</v>
      </c>
      <c r="D17" s="22">
        <f>SUBTOTAL(109,Chi_tiết_về_dự_án[[NGƯỜI QUẢN LÝ DỰ ÁN ]])</f>
        <v>51540</v>
      </c>
      <c r="E17" s="22">
        <f>SUBTOTAL(109,Chi_tiết_về_dự_án[[NGƯỜI QUẢN LÝ CHIẾN LƯỢC ]])</f>
        <v>25650</v>
      </c>
      <c r="F17" s="22">
        <f>SUBTOTAL(109,Chi_tiết_về_dự_án[[CHUYÊN GIA THIẾT KẾ ]])</f>
        <v>28900</v>
      </c>
      <c r="G17" s="22">
        <f>SUBTOTAL(109,Chi_tiết_về_dự_án[[NHÂN VIÊN SỰ KIỆN ]])</f>
        <v>13400</v>
      </c>
      <c r="H17" s="22">
        <f>SUBTOTAL(109,Chi_tiết_về_dự_án[[NHÂN VIÊN QUẢN TRỊ ]])</f>
        <v>9060</v>
      </c>
    </row>
    <row r="18" spans="2:9" x14ac:dyDescent="0.2">
      <c r="B18" s="11" t="s">
        <v>27</v>
      </c>
      <c r="C18" s="12">
        <f>C16/$C$12</f>
        <v>300</v>
      </c>
      <c r="D18" s="12">
        <f t="shared" ref="D18:H18" si="0">D16/$C$12</f>
        <v>290</v>
      </c>
      <c r="E18" s="12">
        <f t="shared" si="0"/>
        <v>133.33333333333334</v>
      </c>
      <c r="F18" s="12">
        <f t="shared" si="0"/>
        <v>161.11111111111111</v>
      </c>
      <c r="G18" s="12">
        <f t="shared" si="0"/>
        <v>73.333333333333329</v>
      </c>
      <c r="H18" s="12">
        <f t="shared" si="0"/>
        <v>50</v>
      </c>
    </row>
    <row r="19" spans="2:9" x14ac:dyDescent="0.2">
      <c r="B19" s="11" t="s">
        <v>28</v>
      </c>
      <c r="C19" s="12">
        <f>C17/$C$12</f>
        <v>302</v>
      </c>
      <c r="D19" s="12">
        <f>D17/$C$12</f>
        <v>286.33333333333331</v>
      </c>
      <c r="E19" s="12">
        <f>E17/$C$12</f>
        <v>142.5</v>
      </c>
      <c r="F19" s="12">
        <f>F17/$C$12</f>
        <v>160.55555555555554</v>
      </c>
      <c r="G19" s="12">
        <f>G17/$C$12</f>
        <v>74.444444444444443</v>
      </c>
      <c r="H19" s="12">
        <f>H17/$C$12</f>
        <v>50.333333333333336</v>
      </c>
    </row>
    <row r="20" spans="2:9" x14ac:dyDescent="0.2">
      <c r="F20" s="11"/>
      <c r="G20" s="11"/>
      <c r="H20" s="11"/>
      <c r="I20" s="11"/>
    </row>
    <row r="21" spans="2:9" x14ac:dyDescent="0.2">
      <c r="F21" s="11"/>
      <c r="G21" s="11"/>
      <c r="H21" s="11"/>
      <c r="I21" s="11"/>
    </row>
    <row r="22" spans="2:9" x14ac:dyDescent="0.2">
      <c r="F22" s="11"/>
      <c r="G22" s="11"/>
      <c r="H22" s="11"/>
      <c r="I22" s="11"/>
    </row>
    <row r="23" spans="2:9" x14ac:dyDescent="0.2">
      <c r="F23" s="11"/>
      <c r="G23" s="11"/>
      <c r="H23" s="11"/>
      <c r="I23" s="11"/>
    </row>
    <row r="24" spans="2:9" x14ac:dyDescent="0.2">
      <c r="B24" s="27" t="s">
        <v>29</v>
      </c>
      <c r="C24" s="27"/>
      <c r="D24" s="27"/>
      <c r="F24" s="11"/>
      <c r="G24" s="11"/>
      <c r="H24" s="11"/>
      <c r="I24" s="11"/>
    </row>
    <row r="25" spans="2:9" x14ac:dyDescent="0.2">
      <c r="B25" s="27"/>
      <c r="C25" s="27"/>
      <c r="D25" s="27"/>
      <c r="F25" s="11"/>
      <c r="G25" s="11"/>
      <c r="H25" s="11"/>
      <c r="I25" s="11"/>
    </row>
    <row r="26" spans="2:9" x14ac:dyDescent="0.2">
      <c r="B26" s="27"/>
      <c r="C26" s="27"/>
      <c r="D26" s="27"/>
      <c r="F26" s="11"/>
      <c r="G26" s="11"/>
      <c r="H26" s="11"/>
      <c r="I26" s="11"/>
    </row>
    <row r="27" spans="2:9" x14ac:dyDescent="0.2">
      <c r="B27" s="27"/>
      <c r="C27" s="27"/>
      <c r="D27" s="27"/>
      <c r="F27" s="11"/>
      <c r="G27" s="11"/>
      <c r="H27" s="11"/>
      <c r="I27" s="11"/>
    </row>
    <row r="28" spans="2:9" x14ac:dyDescent="0.2">
      <c r="B28" s="27"/>
      <c r="C28" s="27"/>
      <c r="D28" s="27"/>
      <c r="F28" s="11"/>
      <c r="G28" s="11"/>
      <c r="H28" s="11"/>
      <c r="I28" s="11"/>
    </row>
    <row r="29" spans="2:9" x14ac:dyDescent="0.2">
      <c r="B29" s="27"/>
      <c r="C29" s="27"/>
      <c r="D29" s="27"/>
      <c r="F29" s="11"/>
      <c r="G29" s="11"/>
      <c r="H29" s="11"/>
      <c r="I29" s="11"/>
    </row>
    <row r="30" spans="2:9" x14ac:dyDescent="0.2">
      <c r="B30" s="27"/>
      <c r="C30" s="27"/>
      <c r="D30" s="27"/>
      <c r="F30" s="11"/>
      <c r="G30" s="11"/>
      <c r="H30" s="11"/>
      <c r="I30" s="11"/>
    </row>
    <row r="31" spans="2:9" x14ac:dyDescent="0.2">
      <c r="B31" s="27"/>
      <c r="C31" s="27"/>
      <c r="D31" s="27"/>
      <c r="F31" s="11"/>
      <c r="G31" s="11"/>
      <c r="H31" s="11"/>
      <c r="I31" s="11"/>
    </row>
    <row r="32" spans="2:9" x14ac:dyDescent="0.2">
      <c r="B32" s="27"/>
      <c r="C32" s="27"/>
      <c r="D32" s="27"/>
      <c r="F32" s="11"/>
      <c r="G32" s="11"/>
      <c r="H32" s="11"/>
      <c r="I32" s="11"/>
    </row>
    <row r="33" spans="2:9" x14ac:dyDescent="0.2">
      <c r="B33" s="27"/>
      <c r="C33" s="27"/>
      <c r="D33" s="27"/>
      <c r="F33" s="11"/>
      <c r="G33" s="11"/>
      <c r="H33" s="11"/>
      <c r="I33" s="11"/>
    </row>
    <row r="34" spans="2:9" x14ac:dyDescent="0.2">
      <c r="B34" s="27"/>
      <c r="C34" s="27"/>
      <c r="D34" s="27"/>
      <c r="F34" s="11"/>
      <c r="G34" s="11"/>
      <c r="H34" s="11"/>
      <c r="I34" s="11"/>
    </row>
    <row r="35" spans="2:9" x14ac:dyDescent="0.2">
      <c r="B35" s="27"/>
      <c r="C35" s="27"/>
      <c r="D35" s="27"/>
      <c r="F35" s="11"/>
      <c r="G35" s="11"/>
      <c r="H35" s="11"/>
      <c r="I35" s="11"/>
    </row>
    <row r="36" spans="2:9" x14ac:dyDescent="0.2">
      <c r="B36" s="27"/>
      <c r="C36" s="27"/>
      <c r="D36" s="27"/>
      <c r="F36" s="11"/>
      <c r="G36" s="11"/>
      <c r="H36" s="11"/>
      <c r="I36" s="11"/>
    </row>
    <row r="37" spans="2:9" x14ac:dyDescent="0.2">
      <c r="B37" s="27"/>
      <c r="C37" s="27"/>
      <c r="D37" s="27"/>
      <c r="F37" s="11"/>
      <c r="G37" s="11"/>
      <c r="H37" s="11"/>
      <c r="I37" s="11"/>
    </row>
    <row r="38" spans="2:9" x14ac:dyDescent="0.2">
      <c r="B38" s="27"/>
      <c r="C38" s="27"/>
      <c r="D38" s="27"/>
      <c r="F38" s="11"/>
      <c r="G38" s="11"/>
      <c r="H38" s="11"/>
      <c r="I38" s="11"/>
    </row>
    <row r="39" spans="2:9" x14ac:dyDescent="0.2">
      <c r="B39" s="27"/>
      <c r="C39" s="27"/>
      <c r="D39" s="27"/>
      <c r="F39" s="11"/>
      <c r="G39" s="11"/>
      <c r="H39" s="11"/>
      <c r="I39" s="11"/>
    </row>
    <row r="40" spans="2:9" x14ac:dyDescent="0.2">
      <c r="B40" s="27"/>
      <c r="C40" s="27"/>
      <c r="D40" s="27"/>
      <c r="F40" s="11"/>
      <c r="G40" s="11"/>
      <c r="H40" s="11"/>
      <c r="I40" s="11"/>
    </row>
    <row r="41" spans="2:9" x14ac:dyDescent="0.2">
      <c r="B41" s="27"/>
      <c r="C41" s="27"/>
      <c r="D41" s="27"/>
      <c r="F41" s="11"/>
      <c r="G41" s="11"/>
      <c r="H41" s="11"/>
      <c r="I41" s="11"/>
    </row>
    <row r="42" spans="2:9" x14ac:dyDescent="0.2">
      <c r="B42" s="27"/>
      <c r="C42" s="27"/>
      <c r="D42" s="27"/>
      <c r="F42" s="11"/>
      <c r="G42" s="11"/>
      <c r="H42" s="11"/>
      <c r="I42" s="11"/>
    </row>
    <row r="43" spans="2:9" x14ac:dyDescent="0.2">
      <c r="B43" s="27"/>
      <c r="C43" s="27"/>
      <c r="D43" s="27"/>
      <c r="F43" s="11"/>
      <c r="G43" s="11"/>
      <c r="H43" s="11"/>
      <c r="I43" s="11"/>
    </row>
  </sheetData>
  <mergeCells count="1">
    <mergeCell ref="B24:D43"/>
  </mergeCells>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fitToPage="1"/>
  </sheetPr>
  <dimension ref="A1:W10"/>
  <sheetViews>
    <sheetView showGridLines="0" workbookViewId="0"/>
  </sheetViews>
  <sheetFormatPr defaultColWidth="9.33203125" defaultRowHeight="14.25" x14ac:dyDescent="0.2"/>
  <cols>
    <col min="1" max="1" width="1.83203125" style="11" customWidth="1"/>
    <col min="2" max="2" width="25.6640625" style="1" customWidth="1"/>
    <col min="3" max="3" width="30.83203125" style="1" bestFit="1" customWidth="1"/>
    <col min="4" max="4" width="16.5" style="1" bestFit="1" customWidth="1"/>
    <col min="5" max="5" width="17.83203125" style="1" bestFit="1" customWidth="1"/>
    <col min="6" max="6" width="15.1640625" style="1" bestFit="1" customWidth="1"/>
    <col min="7" max="7" width="16.33203125" style="1" bestFit="1" customWidth="1"/>
    <col min="8" max="8" width="11.33203125" style="1" customWidth="1"/>
    <col min="9" max="9" width="8.33203125" style="1" customWidth="1"/>
    <col min="10" max="10" width="11.33203125" style="1" customWidth="1"/>
    <col min="11" max="11" width="10.33203125" style="1" customWidth="1"/>
    <col min="12" max="12" width="17.33203125" style="1" hidden="1" customWidth="1"/>
    <col min="13" max="13" width="15.33203125" style="1" hidden="1" customWidth="1"/>
    <col min="14" max="14" width="17.5" style="1" hidden="1" customWidth="1"/>
    <col min="15" max="15" width="14.83203125" style="1" hidden="1" customWidth="1"/>
    <col min="16" max="16" width="14.33203125" style="1" hidden="1" customWidth="1"/>
    <col min="17" max="17" width="15" style="1" hidden="1" customWidth="1"/>
    <col min="18" max="18" width="17.5" style="1" hidden="1" customWidth="1"/>
    <col min="19" max="19" width="16.1640625" style="1" hidden="1" customWidth="1"/>
    <col min="20" max="20" width="17.5" style="1" hidden="1" customWidth="1"/>
    <col min="21" max="21" width="13.83203125" style="1" hidden="1" customWidth="1"/>
    <col min="22" max="22" width="14.5" style="1" hidden="1" customWidth="1"/>
    <col min="23" max="23" width="14.33203125" style="1" hidden="1" customWidth="1"/>
    <col min="24" max="24" width="2.83203125" style="1" customWidth="1"/>
    <col min="25" max="16384" width="9.33203125" style="1"/>
  </cols>
  <sheetData>
    <row r="1" spans="1:23" ht="35.450000000000003" customHeight="1" x14ac:dyDescent="0.35">
      <c r="A1" s="11" t="s">
        <v>38</v>
      </c>
      <c r="B1" s="2" t="str">
        <f>'THAM SỐ DỰ ÁN'!B1</f>
        <v>Tên công ty</v>
      </c>
      <c r="C1" s="2"/>
      <c r="D1" s="2"/>
      <c r="E1" s="2"/>
      <c r="F1" s="2"/>
      <c r="G1" s="2"/>
      <c r="H1" s="2"/>
      <c r="I1" s="2"/>
      <c r="J1" s="2"/>
      <c r="K1" s="2"/>
    </row>
    <row r="2" spans="1:23" ht="19.5" x14ac:dyDescent="0.25">
      <c r="A2" s="11" t="s">
        <v>8</v>
      </c>
      <c r="B2" s="3" t="s">
        <v>15</v>
      </c>
      <c r="C2" s="3"/>
      <c r="D2" s="3"/>
      <c r="E2" s="3"/>
      <c r="F2" s="3"/>
      <c r="G2" s="3"/>
      <c r="H2" s="3"/>
      <c r="I2" s="3"/>
      <c r="J2" s="3"/>
      <c r="K2" s="3"/>
    </row>
    <row r="3" spans="1:23" s="13" customFormat="1" ht="29.25" customHeight="1" x14ac:dyDescent="0.2">
      <c r="A3" s="16" t="s">
        <v>9</v>
      </c>
      <c r="B3" s="14" t="str">
        <f>'THAM SỐ DỰ ÁN'!B3</f>
        <v>Tên công ty Thông tin mật</v>
      </c>
      <c r="C3" s="14"/>
      <c r="D3" s="14"/>
      <c r="E3" s="14"/>
      <c r="F3" s="14"/>
      <c r="G3" s="14"/>
      <c r="H3" s="14"/>
      <c r="I3" s="14"/>
      <c r="J3" s="14"/>
      <c r="K3" s="14"/>
    </row>
    <row r="4" spans="1:23" ht="25.5" customHeight="1" x14ac:dyDescent="0.2">
      <c r="A4" s="20" t="s">
        <v>39</v>
      </c>
      <c r="B4" s="23" t="s">
        <v>40</v>
      </c>
      <c r="C4" s="23" t="s">
        <v>17</v>
      </c>
      <c r="D4" s="23" t="s">
        <v>47</v>
      </c>
      <c r="E4" s="23" t="s">
        <v>48</v>
      </c>
      <c r="F4" s="23" t="s">
        <v>49</v>
      </c>
      <c r="G4" s="23" t="s">
        <v>50</v>
      </c>
      <c r="H4" s="23" t="s">
        <v>51</v>
      </c>
      <c r="I4" s="23" t="s">
        <v>52</v>
      </c>
      <c r="J4" s="23" t="s">
        <v>53</v>
      </c>
      <c r="K4" s="23" t="s">
        <v>54</v>
      </c>
      <c r="L4" s="23" t="s">
        <v>30</v>
      </c>
      <c r="M4" s="23" t="s">
        <v>31</v>
      </c>
      <c r="N4" s="23" t="s">
        <v>32</v>
      </c>
      <c r="O4" s="23" t="s">
        <v>33</v>
      </c>
      <c r="P4" s="23" t="s">
        <v>35</v>
      </c>
      <c r="Q4" s="23" t="s">
        <v>36</v>
      </c>
      <c r="R4" s="23" t="s">
        <v>55</v>
      </c>
      <c r="S4" s="23" t="s">
        <v>56</v>
      </c>
      <c r="T4" s="23" t="s">
        <v>57</v>
      </c>
      <c r="U4" s="23" t="s">
        <v>58</v>
      </c>
      <c r="V4" s="23" t="s">
        <v>59</v>
      </c>
      <c r="W4" s="23" t="s">
        <v>60</v>
      </c>
    </row>
    <row r="5" spans="1:23" x14ac:dyDescent="0.2">
      <c r="B5" s="24" t="s">
        <v>41</v>
      </c>
      <c r="C5" s="24" t="s">
        <v>18</v>
      </c>
      <c r="D5" s="25">
        <f ca="1">DATE(YEAR(TODAY()),6,9)</f>
        <v>43625</v>
      </c>
      <c r="E5" s="25">
        <f ca="1">DATE(YEAR(TODAY()),8,7)</f>
        <v>43684</v>
      </c>
      <c r="F5" s="25">
        <f ca="1">DATE(YEAR(TODAY()),6,29)</f>
        <v>43645</v>
      </c>
      <c r="G5" s="25">
        <f ca="1">DATE(YEAR(TODAY()),9,3)</f>
        <v>43711</v>
      </c>
      <c r="H5" s="24">
        <v>200</v>
      </c>
      <c r="I5" s="24">
        <v>220</v>
      </c>
      <c r="J5" s="24">
        <f ca="1">DAYS360(Chi_tiết_về_dự_án[[#This Row],[NGÀY BẮT ĐẦU ƯỚC TÍNH]],Chi_tiết_về_dự_án[[#This Row],[NGÀY KẾT THÚC ƯỚC TÍNH]],FALSE)</f>
        <v>58</v>
      </c>
      <c r="K5" s="24">
        <f ca="1">DAYS360(Chi_tiết_về_dự_án[[#This Row],[NGÀY BẮT ĐẦU THỰC TẾ]],Chi_tiết_về_dự_án[[#This Row],[NGÀY KẾT THÚC THỰC TẾ]],FALSE)</f>
        <v>64</v>
      </c>
      <c r="L5" s="26">
        <f>INDEX(Tham_số[],MATCH(Chi_tiết_về_dự_án[[#This Row],[LOẠI DỰ ÁN]],Tham_số[LOẠI DỰ ÁN],0),MATCH(Chi_tiết_về_dự_án[[#Headers],[NGƯỜI QUẢN LÝ TÀI KHOẢN]],Tham_số[#Headers],0))*INDEX('THAM SỐ DỰ ÁN'!$B$12:$H$12,1,MATCH(Chi_tiết_về_dự_án[[#Headers],[NGƯỜI QUẢN LÝ TÀI KHOẢN]],Tham_số[#Headers],0))*Chi_tiết_về_dự_án[[#This Row],[CÔNG VIỆC ƯỚC TÍNH]]</f>
        <v>7200</v>
      </c>
      <c r="M5" s="26">
        <f>INDEX(Tham_số[],MATCH(Chi_tiết_về_dự_án[[#This Row],[LOẠI DỰ ÁN]],Tham_số[LOẠI DỰ ÁN],0),MATCH(Chi_tiết_về_dự_án[[#Headers],[NGƯỜI QUẢN LÝ DỰ ÁN]],Tham_số[#Headers],0))*INDEX('THAM SỐ DỰ ÁN'!$B$12:$H$12,1,MATCH(Chi_tiết_về_dự_án[[#Headers],[NGƯỜI QUẢN LÝ DỰ ÁN]],Tham_số[#Headers],0))*Chi_tiết_về_dự_án[[#This Row],[CÔNG VIỆC ƯỚC TÍNH]]</f>
        <v>2400</v>
      </c>
      <c r="N5" s="26">
        <f>INDEX(Tham_số[],MATCH(Chi_tiết_về_dự_án[[#This Row],[LOẠI DỰ ÁN]],Tham_số[LOẠI DỰ ÁN],0),MATCH(Chi_tiết_về_dự_án[[#Headers],[NGƯỜI QUẢN LÝ CHIẾN LƯỢC]],Tham_số[#Headers],0))*INDEX('THAM SỐ DỰ ÁN'!$B$12:$H$12,1,MATCH(Chi_tiết_về_dự_án[[#Headers],[NGƯỜI QUẢN LÝ CHIẾN LƯỢC]],Tham_số[#Headers],0))*Chi_tiết_về_dự_án[[#This Row],[CÔNG VIỆC ƯỚC TÍNH]]</f>
        <v>18000</v>
      </c>
      <c r="O5" s="26">
        <f>INDEX(Tham_số[],MATCH(Chi_tiết_về_dự_án[[#This Row],[LOẠI DỰ ÁN]],Tham_số[LOẠI DỰ ÁN],0),MATCH(Chi_tiết_về_dự_án[[#Headers],[CHUYÊN GIA THIẾT KẾ]],Tham_số[#Headers],0))*INDEX('THAM SỐ DỰ ÁN'!$B$12:$H$12,1,MATCH(Chi_tiết_về_dự_án[[#Headers],[CHUYÊN GIA THIẾT KẾ]],Tham_số[#Headers],0))*Chi_tiết_về_dự_án[[#This Row],[CÔNG VIỆC ƯỚC TÍNH]]</f>
        <v>0</v>
      </c>
      <c r="P5" s="26">
        <f>INDEX(Tham_số[],MATCH(Chi_tiết_về_dự_án[[#This Row],[LOẠI DỰ ÁN]],Tham_số[LOẠI DỰ ÁN],0),MATCH(Chi_tiết_về_dự_án[[#Headers],[NHÂN VIÊN SỰ KIỆN]],Tham_số[#Headers],0))*INDEX('THAM SỐ DỰ ÁN'!$B$12:$H$12,1,MATCH(Chi_tiết_về_dự_án[[#Headers],[NHÂN VIÊN SỰ KIỆN]],Tham_số[#Headers],0))*Chi_tiết_về_dự_án[[#This Row],[CÔNG VIỆC ƯỚC TÍNH]]</f>
        <v>0</v>
      </c>
      <c r="Q5" s="26">
        <f>INDEX(Tham_số[],MATCH(Chi_tiết_về_dự_án[[#This Row],[LOẠI DỰ ÁN]],Tham_số[LOẠI DỰ ÁN],0),MATCH(Chi_tiết_về_dự_án[[#Headers],[NHÂN VIÊN QUẢN TRỊ]],Tham_số[#Headers],0))*INDEX('THAM SỐ DỰ ÁN'!$B$12:$H$12,1,MATCH(Chi_tiết_về_dự_án[[#Headers],[NHÂN VIÊN QUẢN TRỊ]],Tham_số[#Headers],0))*Chi_tiết_về_dự_án[[#This Row],[CÔNG VIỆC ƯỚC TÍNH]]</f>
        <v>1200</v>
      </c>
      <c r="R5" s="26">
        <f>INDEX(Tham_số[],MATCH(Chi_tiết_về_dự_án[[#This Row],[LOẠI DỰ ÁN]],Tham_số[LOẠI DỰ ÁN],0),MATCH(Chi_tiết_về_dự_án[[#Headers],[NGƯỜI QUẢN LÝ TÀI KHOẢN]],Tham_số[#Headers],0))*INDEX('THAM SỐ DỰ ÁN'!$B$12:$H$12,1,MATCH(Chi_tiết_về_dự_án[[#Headers],[NGƯỜI QUẢN LÝ TÀI KHOẢN]],Tham_số[#Headers],0))*Chi_tiết_về_dự_án[[#This Row],[CÔNG VIỆC THỰC TẾ]]</f>
        <v>7920</v>
      </c>
      <c r="S5" s="26">
        <f>INDEX(Tham_số[],MATCH(Chi_tiết_về_dự_án[[#This Row],[LOẠI DỰ ÁN]],Tham_số[LOẠI DỰ ÁN],0),MATCH(Chi_tiết_về_dự_án[[#Headers],[NGƯỜI QUẢN LÝ DỰ ÁN]],Tham_số[#Headers],0))*INDEX('THAM SỐ DỰ ÁN'!$B$12:$H$12,1,MATCH(Chi_tiết_về_dự_án[[#Headers],[NGƯỜI QUẢN LÝ DỰ ÁN]],Tham_số[#Headers],0))*Chi_tiết_về_dự_án[[#This Row],[CÔNG VIỆC THỰC TẾ]]</f>
        <v>2640</v>
      </c>
      <c r="T5" s="26">
        <f>INDEX(Tham_số[],MATCH(Chi_tiết_về_dự_án[[#This Row],[LOẠI DỰ ÁN]],Tham_số[LOẠI DỰ ÁN],0),MATCH(Chi_tiết_về_dự_án[[#Headers],[NGƯỜI QUẢN LÝ CHIẾN LƯỢC]],Tham_số[#Headers],0))*INDEX('THAM SỐ DỰ ÁN'!$B$12:$H$12,1,MATCH(Chi_tiết_về_dự_án[[#Headers],[NGƯỜI QUẢN LÝ CHIẾN LƯỢC]],Tham_số[#Headers],0))*Chi_tiết_về_dự_án[[#This Row],[CÔNG VIỆC THỰC TẾ]]</f>
        <v>19800</v>
      </c>
      <c r="U5" s="26">
        <f>INDEX(Tham_số[],MATCH(Chi_tiết_về_dự_án[[#This Row],[LOẠI DỰ ÁN]],Tham_số[LOẠI DỰ ÁN],0),MATCH(Chi_tiết_về_dự_án[[#Headers],[CHUYÊN GIA THIẾT KẾ]],Tham_số[#Headers],0))*INDEX('THAM SỐ DỰ ÁN'!$B$12:$H$12,1,MATCH(Chi_tiết_về_dự_án[[#Headers],[CHUYÊN GIA THIẾT KẾ]],Tham_số[#Headers],0))*Chi_tiết_về_dự_án[[#This Row],[CÔNG VIỆC THỰC TẾ]]</f>
        <v>0</v>
      </c>
      <c r="V5" s="26">
        <f>INDEX(Tham_số[],MATCH(Chi_tiết_về_dự_án[[#This Row],[LOẠI DỰ ÁN]],Tham_số[LOẠI DỰ ÁN],0),MATCH(Chi_tiết_về_dự_án[[#Headers],[NHÂN VIÊN SỰ KIỆN]],Tham_số[#Headers],0))*INDEX('THAM SỐ DỰ ÁN'!$B$12:$H$12,1,MATCH(Chi_tiết_về_dự_án[[#Headers],[NHÂN VIÊN SỰ KIỆN]],Tham_số[#Headers],0))*Chi_tiết_về_dự_án[[#This Row],[CÔNG VIỆC THỰC TẾ]]</f>
        <v>0</v>
      </c>
      <c r="W5" s="26">
        <f>INDEX(Tham_số[],MATCH(Chi_tiết_về_dự_án[[#This Row],[LOẠI DỰ ÁN]],Tham_số[LOẠI DỰ ÁN],0),MATCH(Chi_tiết_về_dự_án[[#Headers],[NHÂN VIÊN QUẢN TRỊ]],Tham_số[#Headers],0))*INDEX('THAM SỐ DỰ ÁN'!$B$12:$H$12,1,MATCH(Chi_tiết_về_dự_án[[#Headers],[NHÂN VIÊN QUẢN TRỊ]],Tham_số[#Headers],0))*Chi_tiết_về_dự_án[[#This Row],[CÔNG VIỆC THỰC TẾ]]</f>
        <v>1320</v>
      </c>
    </row>
    <row r="6" spans="1:23" x14ac:dyDescent="0.2">
      <c r="B6" s="24" t="s">
        <v>42</v>
      </c>
      <c r="C6" s="24" t="s">
        <v>19</v>
      </c>
      <c r="D6" s="25">
        <f ca="1">DATE(YEAR(TODAY())+1,6,25)</f>
        <v>44007</v>
      </c>
      <c r="E6" s="25">
        <f ca="1">DATE(YEAR(TODAY())+1,7,27)</f>
        <v>44039</v>
      </c>
      <c r="F6" s="25">
        <f ca="1">DATE(YEAR(TODAY()),7,15)</f>
        <v>43661</v>
      </c>
      <c r="G6" s="25">
        <f ca="1">DATE(YEAR(TODAY())+1,8,25)</f>
        <v>44068</v>
      </c>
      <c r="H6" s="24">
        <v>400</v>
      </c>
      <c r="I6" s="24">
        <v>390</v>
      </c>
      <c r="J6" s="24">
        <f ca="1">DAYS360(Chi_tiết_về_dự_án[[#This Row],[NGÀY BẮT ĐẦU ƯỚC TÍNH]],Chi_tiết_về_dự_án[[#This Row],[NGÀY KẾT THÚC ƯỚC TÍNH]],FALSE)</f>
        <v>32</v>
      </c>
      <c r="K6" s="24">
        <f ca="1">DAYS360(Chi_tiết_về_dự_án[[#This Row],[NGÀY BẮT ĐẦU THỰC TẾ]],Chi_tiết_về_dự_án[[#This Row],[NGÀY KẾT THÚC THỰC TẾ]],FALSE)</f>
        <v>400</v>
      </c>
      <c r="L6" s="26">
        <f>INDEX(Tham_số[],MATCH(Chi_tiết_về_dự_án[[#This Row],[LOẠI DỰ ÁN]],Tham_số[LOẠI DỰ ÁN],0),MATCH(Chi_tiết_về_dự_án[[#Headers],[NGƯỜI QUẢN LÝ TÀI KHOẢN]],Tham_số[#Headers],0))*INDEX('THAM SỐ DỰ ÁN'!$B$12:$H$12,1,MATCH(Chi_tiết_về_dự_án[[#Headers],[NGƯỜI QUẢN LÝ TÀI KHOẢN]],Tham_số[#Headers],0))*Chi_tiết_về_dự_án[[#This Row],[CÔNG VIỆC ƯỚC TÍNH]]</f>
        <v>14400</v>
      </c>
      <c r="M6" s="26">
        <f>INDEX(Tham_số[],MATCH(Chi_tiết_về_dự_án[[#This Row],[LOẠI DỰ ÁN]],Tham_số[LOẠI DỰ ÁN],0),MATCH(Chi_tiết_về_dự_án[[#Headers],[NGƯỜI QUẢN LÝ DỰ ÁN]],Tham_số[#Headers],0))*INDEX('THAM SỐ DỰ ÁN'!$B$12:$H$12,1,MATCH(Chi_tiết_về_dự_án[[#Headers],[NGƯỜI QUẢN LÝ DỰ ÁN]],Tham_số[#Headers],0))*Chi_tiết_về_dự_án[[#This Row],[CÔNG VIỆC ƯỚC TÍNH]]</f>
        <v>24000</v>
      </c>
      <c r="N6" s="26">
        <f>INDEX(Tham_số[],MATCH(Chi_tiết_về_dự_án[[#This Row],[LOẠI DỰ ÁN]],Tham_số[LOẠI DỰ ÁN],0),MATCH(Chi_tiết_về_dự_án[[#Headers],[NGƯỜI QUẢN LÝ CHIẾN LƯỢC]],Tham_số[#Headers],0))*INDEX('THAM SỐ DỰ ÁN'!$B$12:$H$12,1,MATCH(Chi_tiết_về_dự_án[[#Headers],[NGƯỜI QUẢN LÝ CHIẾN LƯỢC]],Tham_số[#Headers],0))*Chi_tiết_về_dự_án[[#This Row],[CÔNG VIỆC ƯỚC TÍNH]]</f>
        <v>6000</v>
      </c>
      <c r="O6" s="26">
        <f>INDEX(Tham_số[],MATCH(Chi_tiết_về_dự_án[[#This Row],[LOẠI DỰ ÁN]],Tham_số[LOẠI DỰ ÁN],0),MATCH(Chi_tiết_về_dự_án[[#Headers],[CHUYÊN GIA THIẾT KẾ]],Tham_số[#Headers],0))*INDEX('THAM SỐ DỰ ÁN'!$B$12:$H$12,1,MATCH(Chi_tiết_về_dự_án[[#Headers],[CHUYÊN GIA THIẾT KẾ]],Tham_số[#Headers],0))*Chi_tiết_về_dự_án[[#This Row],[CÔNG VIỆC ƯỚC TÍNH]]</f>
        <v>4000</v>
      </c>
      <c r="P6" s="26">
        <f>INDEX(Tham_số[],MATCH(Chi_tiết_về_dự_án[[#This Row],[LOẠI DỰ ÁN]],Tham_số[LOẠI DỰ ÁN],0),MATCH(Chi_tiết_về_dự_án[[#Headers],[NHÂN VIÊN SỰ KIỆN]],Tham_số[#Headers],0))*INDEX('THAM SỐ DỰ ÁN'!$B$12:$H$12,1,MATCH(Chi_tiết_về_dự_án[[#Headers],[NHÂN VIÊN SỰ KIỆN]],Tham_số[#Headers],0))*Chi_tiết_về_dự_án[[#This Row],[CÔNG VIỆC ƯỚC TÍNH]]</f>
        <v>0</v>
      </c>
      <c r="Q6" s="26">
        <f>INDEX(Tham_số[],MATCH(Chi_tiết_về_dự_án[[#This Row],[LOẠI DỰ ÁN]],Tham_số[LOẠI DỰ ÁN],0),MATCH(Chi_tiết_về_dự_án[[#Headers],[NHÂN VIÊN QUẢN TRỊ]],Tham_số[#Headers],0))*INDEX('THAM SỐ DỰ ÁN'!$B$12:$H$12,1,MATCH(Chi_tiết_về_dự_án[[#Headers],[NHÂN VIÊN QUẢN TRỊ]],Tham_số[#Headers],0))*Chi_tiết_về_dự_án[[#This Row],[CÔNG VIỆC ƯỚC TÍNH]]</f>
        <v>2400</v>
      </c>
      <c r="R6" s="26">
        <f>INDEX(Tham_số[],MATCH(Chi_tiết_về_dự_án[[#This Row],[LOẠI DỰ ÁN]],Tham_số[LOẠI DỰ ÁN],0),MATCH(Chi_tiết_về_dự_án[[#Headers],[NGƯỜI QUẢN LÝ TÀI KHOẢN]],Tham_số[#Headers],0))*INDEX('THAM SỐ DỰ ÁN'!$B$12:$H$12,1,MATCH(Chi_tiết_về_dự_án[[#Headers],[NGƯỜI QUẢN LÝ TÀI KHOẢN]],Tham_số[#Headers],0))*Chi_tiết_về_dự_án[[#This Row],[CÔNG VIỆC THỰC TẾ]]</f>
        <v>14040</v>
      </c>
      <c r="S6" s="26">
        <f>INDEX(Tham_số[],MATCH(Chi_tiết_về_dự_án[[#This Row],[LOẠI DỰ ÁN]],Tham_số[LOẠI DỰ ÁN],0),MATCH(Chi_tiết_về_dự_án[[#Headers],[NGƯỜI QUẢN LÝ DỰ ÁN]],Tham_số[#Headers],0))*INDEX('THAM SỐ DỰ ÁN'!$B$12:$H$12,1,MATCH(Chi_tiết_về_dự_án[[#Headers],[NGƯỜI QUẢN LÝ DỰ ÁN]],Tham_số[#Headers],0))*Chi_tiết_về_dự_án[[#This Row],[CÔNG VIỆC THỰC TẾ]]</f>
        <v>23400</v>
      </c>
      <c r="T6" s="26">
        <f>INDEX(Tham_số[],MATCH(Chi_tiết_về_dự_án[[#This Row],[LOẠI DỰ ÁN]],Tham_số[LOẠI DỰ ÁN],0),MATCH(Chi_tiết_về_dự_án[[#Headers],[NGƯỜI QUẢN LÝ CHIẾN LƯỢC]],Tham_số[#Headers],0))*INDEX('THAM SỐ DỰ ÁN'!$B$12:$H$12,1,MATCH(Chi_tiết_về_dự_án[[#Headers],[NGƯỜI QUẢN LÝ CHIẾN LƯỢC]],Tham_số[#Headers],0))*Chi_tiết_về_dự_án[[#This Row],[CÔNG VIỆC THỰC TẾ]]</f>
        <v>5850</v>
      </c>
      <c r="U6" s="26">
        <f>INDEX(Tham_số[],MATCH(Chi_tiết_về_dự_án[[#This Row],[LOẠI DỰ ÁN]],Tham_số[LOẠI DỰ ÁN],0),MATCH(Chi_tiết_về_dự_án[[#Headers],[CHUYÊN GIA THIẾT KẾ]],Tham_số[#Headers],0))*INDEX('THAM SỐ DỰ ÁN'!$B$12:$H$12,1,MATCH(Chi_tiết_về_dự_án[[#Headers],[CHUYÊN GIA THIẾT KẾ]],Tham_số[#Headers],0))*Chi_tiết_về_dự_án[[#This Row],[CÔNG VIỆC THỰC TẾ]]</f>
        <v>3900</v>
      </c>
      <c r="V6" s="26">
        <f>INDEX(Tham_số[],MATCH(Chi_tiết_về_dự_án[[#This Row],[LOẠI DỰ ÁN]],Tham_số[LOẠI DỰ ÁN],0),MATCH(Chi_tiết_về_dự_án[[#Headers],[NHÂN VIÊN SỰ KIỆN]],Tham_số[#Headers],0))*INDEX('THAM SỐ DỰ ÁN'!$B$12:$H$12,1,MATCH(Chi_tiết_về_dự_án[[#Headers],[NHÂN VIÊN SỰ KIỆN]],Tham_số[#Headers],0))*Chi_tiết_về_dự_án[[#This Row],[CÔNG VIỆC THỰC TẾ]]</f>
        <v>0</v>
      </c>
      <c r="W6" s="26">
        <f>INDEX(Tham_số[],MATCH(Chi_tiết_về_dự_án[[#This Row],[LOẠI DỰ ÁN]],Tham_số[LOẠI DỰ ÁN],0),MATCH(Chi_tiết_về_dự_án[[#Headers],[NHÂN VIÊN QUẢN TRỊ]],Tham_số[#Headers],0))*INDEX('THAM SỐ DỰ ÁN'!$B$12:$H$12,1,MATCH(Chi_tiết_về_dự_án[[#Headers],[NHÂN VIÊN QUẢN TRỊ]],Tham_số[#Headers],0))*Chi_tiết_về_dự_án[[#This Row],[CÔNG VIỆC THỰC TẾ]]</f>
        <v>2340</v>
      </c>
    </row>
    <row r="7" spans="1:23" x14ac:dyDescent="0.2">
      <c r="B7" s="24" t="s">
        <v>43</v>
      </c>
      <c r="C7" s="24" t="s">
        <v>20</v>
      </c>
      <c r="D7" s="25">
        <f ca="1">DATE(YEAR(TODAY())+2,7,12)</f>
        <v>44389</v>
      </c>
      <c r="E7" s="25">
        <f ca="1">DATE(YEAR(TODAY())+2,9,19)</f>
        <v>44458</v>
      </c>
      <c r="F7" s="25">
        <f ca="1">DATE(YEAR(TODAY())+6,8,7)</f>
        <v>45876</v>
      </c>
      <c r="G7" s="25">
        <f ca="1">DATE(YEAR(TODAY())+6,10,10)</f>
        <v>45940</v>
      </c>
      <c r="H7" s="24">
        <v>500</v>
      </c>
      <c r="I7" s="24">
        <v>500</v>
      </c>
      <c r="J7" s="24">
        <f ca="1">DAYS360(Chi_tiết_về_dự_án[[#This Row],[NGÀY BẮT ĐẦU ƯỚC TÍNH]],Chi_tiết_về_dự_án[[#This Row],[NGÀY KẾT THÚC ƯỚC TÍNH]],FALSE)</f>
        <v>67</v>
      </c>
      <c r="K7" s="24">
        <f ca="1">DAYS360(Chi_tiết_về_dự_án[[#This Row],[NGÀY BẮT ĐẦU THỰC TẾ]],Chi_tiết_về_dự_án[[#This Row],[NGÀY KẾT THÚC THỰC TẾ]],FALSE)</f>
        <v>63</v>
      </c>
      <c r="L7" s="26">
        <f>INDEX(Tham_số[],MATCH(Chi_tiết_về_dự_án[[#This Row],[LOẠI DỰ ÁN]],Tham_số[LOẠI DỰ ÁN],0),MATCH(Chi_tiết_về_dự_án[[#Headers],[NGƯỜI QUẢN LÝ TÀI KHOẢN]],Tham_số[#Headers],0))*INDEX('THAM SỐ DỰ ÁN'!$B$12:$H$12,1,MATCH(Chi_tiết_về_dự_án[[#Headers],[NGƯỜI QUẢN LÝ TÀI KHOẢN]],Tham_số[#Headers],0))*Chi_tiết_về_dự_án[[#This Row],[CÔNG VIỆC ƯỚC TÍNH]]</f>
        <v>18000</v>
      </c>
      <c r="M7" s="26">
        <f>INDEX(Tham_số[],MATCH(Chi_tiết_về_dự_án[[#This Row],[LOẠI DỰ ÁN]],Tham_số[LOẠI DỰ ÁN],0),MATCH(Chi_tiết_về_dự_án[[#Headers],[NGƯỜI QUẢN LÝ DỰ ÁN]],Tham_số[#Headers],0))*INDEX('THAM SỐ DỰ ÁN'!$B$12:$H$12,1,MATCH(Chi_tiết_về_dự_án[[#Headers],[NGƯỜI QUẢN LÝ DỰ ÁN]],Tham_số[#Headers],0))*Chi_tiết_về_dự_án[[#This Row],[CÔNG VIỆC ƯỚC TÍNH]]</f>
        <v>12000</v>
      </c>
      <c r="N7" s="26">
        <f>INDEX(Tham_số[],MATCH(Chi_tiết_về_dự_án[[#This Row],[LOẠI DỰ ÁN]],Tham_số[LOẠI DỰ ÁN],0),MATCH(Chi_tiết_về_dự_án[[#Headers],[NGƯỜI QUẢN LÝ CHIẾN LƯỢC]],Tham_số[#Headers],0))*INDEX('THAM SỐ DỰ ÁN'!$B$12:$H$12,1,MATCH(Chi_tiết_về_dự_án[[#Headers],[NGƯỜI QUẢN LÝ CHIẾN LƯỢC]],Tham_số[#Headers],0))*Chi_tiết_về_dự_án[[#This Row],[CÔNG VIỆC ƯỚC TÍNH]]</f>
        <v>0</v>
      </c>
      <c r="O7" s="26">
        <f>INDEX(Tham_số[],MATCH(Chi_tiết_về_dự_án[[#This Row],[LOẠI DỰ ÁN]],Tham_số[LOẠI DỰ ÁN],0),MATCH(Chi_tiết_về_dự_án[[#Headers],[CHUYÊN GIA THIẾT KẾ]],Tham_số[#Headers],0))*INDEX('THAM SỐ DỰ ÁN'!$B$12:$H$12,1,MATCH(Chi_tiết_về_dự_án[[#Headers],[CHUYÊN GIA THIẾT KẾ]],Tham_số[#Headers],0))*Chi_tiết_về_dự_án[[#This Row],[CÔNG VIỆC ƯỚC TÍNH]]</f>
        <v>25000</v>
      </c>
      <c r="P7" s="26">
        <f>INDEX(Tham_số[],MATCH(Chi_tiết_về_dự_án[[#This Row],[LOẠI DỰ ÁN]],Tham_số[LOẠI DỰ ÁN],0),MATCH(Chi_tiết_về_dự_án[[#Headers],[NHÂN VIÊN SỰ KIỆN]],Tham_số[#Headers],0))*INDEX('THAM SỐ DỰ ÁN'!$B$12:$H$12,1,MATCH(Chi_tiết_về_dự_án[[#Headers],[NHÂN VIÊN SỰ KIỆN]],Tham_số[#Headers],0))*Chi_tiết_về_dự_án[[#This Row],[CÔNG VIỆC ƯỚC TÍNH]]</f>
        <v>0</v>
      </c>
      <c r="Q7" s="26">
        <f>INDEX(Tham_số[],MATCH(Chi_tiết_về_dự_án[[#This Row],[LOẠI DỰ ÁN]],Tham_số[LOẠI DỰ ÁN],0),MATCH(Chi_tiết_về_dự_án[[#Headers],[NHÂN VIÊN QUẢN TRỊ]],Tham_số[#Headers],0))*INDEX('THAM SỐ DỰ ÁN'!$B$12:$H$12,1,MATCH(Chi_tiết_về_dự_án[[#Headers],[NHÂN VIÊN QUẢN TRỊ]],Tham_số[#Headers],0))*Chi_tiết_về_dự_án[[#This Row],[CÔNG VIỆC ƯỚC TÍNH]]</f>
        <v>3000</v>
      </c>
      <c r="R7" s="26">
        <f>INDEX(Tham_số[],MATCH(Chi_tiết_về_dự_án[[#This Row],[LOẠI DỰ ÁN]],Tham_số[LOẠI DỰ ÁN],0),MATCH(Chi_tiết_về_dự_án[[#Headers],[NGƯỜI QUẢN LÝ TÀI KHOẢN]],Tham_số[#Headers],0))*INDEX('THAM SỐ DỰ ÁN'!$B$12:$H$12,1,MATCH(Chi_tiết_về_dự_án[[#Headers],[NGƯỜI QUẢN LÝ TÀI KHOẢN]],Tham_số[#Headers],0))*Chi_tiết_về_dự_án[[#This Row],[CÔNG VIỆC THỰC TẾ]]</f>
        <v>18000</v>
      </c>
      <c r="S7" s="26">
        <f>INDEX(Tham_số[],MATCH(Chi_tiết_về_dự_án[[#This Row],[LOẠI DỰ ÁN]],Tham_số[LOẠI DỰ ÁN],0),MATCH(Chi_tiết_về_dự_án[[#Headers],[NGƯỜI QUẢN LÝ DỰ ÁN]],Tham_số[#Headers],0))*INDEX('THAM SỐ DỰ ÁN'!$B$12:$H$12,1,MATCH(Chi_tiết_về_dự_án[[#Headers],[NGƯỜI QUẢN LÝ DỰ ÁN]],Tham_số[#Headers],0))*Chi_tiết_về_dự_án[[#This Row],[CÔNG VIỆC THỰC TẾ]]</f>
        <v>12000</v>
      </c>
      <c r="T7" s="26">
        <f>INDEX(Tham_số[],MATCH(Chi_tiết_về_dự_án[[#This Row],[LOẠI DỰ ÁN]],Tham_số[LOẠI DỰ ÁN],0),MATCH(Chi_tiết_về_dự_án[[#Headers],[NGƯỜI QUẢN LÝ CHIẾN LƯỢC]],Tham_số[#Headers],0))*INDEX('THAM SỐ DỰ ÁN'!$B$12:$H$12,1,MATCH(Chi_tiết_về_dự_án[[#Headers],[NGƯỜI QUẢN LÝ CHIẾN LƯỢC]],Tham_số[#Headers],0))*Chi_tiết_về_dự_án[[#This Row],[CÔNG VIỆC THỰC TẾ]]</f>
        <v>0</v>
      </c>
      <c r="U7" s="26">
        <f>INDEX(Tham_số[],MATCH(Chi_tiết_về_dự_án[[#This Row],[LOẠI DỰ ÁN]],Tham_số[LOẠI DỰ ÁN],0),MATCH(Chi_tiết_về_dự_án[[#Headers],[CHUYÊN GIA THIẾT KẾ]],Tham_số[#Headers],0))*INDEX('THAM SỐ DỰ ÁN'!$B$12:$H$12,1,MATCH(Chi_tiết_về_dự_án[[#Headers],[CHUYÊN GIA THIẾT KẾ]],Tham_số[#Headers],0))*Chi_tiết_về_dự_án[[#This Row],[CÔNG VIỆC THỰC TẾ]]</f>
        <v>25000</v>
      </c>
      <c r="V7" s="26">
        <f>INDEX(Tham_số[],MATCH(Chi_tiết_về_dự_án[[#This Row],[LOẠI DỰ ÁN]],Tham_số[LOẠI DỰ ÁN],0),MATCH(Chi_tiết_về_dự_án[[#Headers],[NHÂN VIÊN SỰ KIỆN]],Tham_số[#Headers],0))*INDEX('THAM SỐ DỰ ÁN'!$B$12:$H$12,1,MATCH(Chi_tiết_về_dự_án[[#Headers],[NHÂN VIÊN SỰ KIỆN]],Tham_số[#Headers],0))*Chi_tiết_về_dự_án[[#This Row],[CÔNG VIỆC THỰC TẾ]]</f>
        <v>0</v>
      </c>
      <c r="W7" s="26">
        <f>INDEX(Tham_số[],MATCH(Chi_tiết_về_dự_án[[#This Row],[LOẠI DỰ ÁN]],Tham_số[LOẠI DỰ ÁN],0),MATCH(Chi_tiết_về_dự_án[[#Headers],[NHÂN VIÊN QUẢN TRỊ]],Tham_số[#Headers],0))*INDEX('THAM SỐ DỰ ÁN'!$B$12:$H$12,1,MATCH(Chi_tiết_về_dự_án[[#Headers],[NHÂN VIÊN QUẢN TRỊ]],Tham_số[#Headers],0))*Chi_tiết_về_dự_án[[#This Row],[CÔNG VIỆC THỰC TẾ]]</f>
        <v>3000</v>
      </c>
    </row>
    <row r="8" spans="1:23" x14ac:dyDescent="0.2">
      <c r="B8" s="24" t="s">
        <v>44</v>
      </c>
      <c r="C8" s="24" t="s">
        <v>21</v>
      </c>
      <c r="D8" s="25">
        <f ca="1">DATE(YEAR(TODAY())+3,7,30)</f>
        <v>44772</v>
      </c>
      <c r="E8" s="25">
        <f ca="1">DATE(YEAR(TODAY())+3,9,28)</f>
        <v>44832</v>
      </c>
      <c r="F8" s="25">
        <f ca="1">DATE(YEAR(TODAY())+3,9,14)</f>
        <v>44818</v>
      </c>
      <c r="G8" s="25">
        <f ca="1">DATE(YEAR(TODAY())+3,11,13)</f>
        <v>44878</v>
      </c>
      <c r="H8" s="24">
        <v>150</v>
      </c>
      <c r="I8" s="24">
        <v>145</v>
      </c>
      <c r="J8" s="24">
        <f ca="1">DAYS360(Chi_tiết_về_dự_án[[#This Row],[NGÀY BẮT ĐẦU ƯỚC TÍNH]],Chi_tiết_về_dự_án[[#This Row],[NGÀY KẾT THÚC ƯỚC TÍNH]],FALSE)</f>
        <v>58</v>
      </c>
      <c r="K8" s="24">
        <f ca="1">DAYS360(Chi_tiết_về_dự_án[[#This Row],[NGÀY BẮT ĐẦU THỰC TẾ]],Chi_tiết_về_dự_án[[#This Row],[NGÀY KẾT THÚC THỰC TẾ]],FALSE)</f>
        <v>59</v>
      </c>
      <c r="L8" s="26">
        <f>INDEX(Tham_số[],MATCH(Chi_tiết_về_dự_án[[#This Row],[LOẠI DỰ ÁN]],Tham_số[LOẠI DỰ ÁN],0),MATCH(Chi_tiết_về_dự_án[[#Headers],[NGƯỜI QUẢN LÝ TÀI KHOẢN]],Tham_số[#Headers],0))*INDEX('THAM SỐ DỰ ÁN'!$B$12:$H$12,1,MATCH(Chi_tiết_về_dự_án[[#Headers],[NGƯỜI QUẢN LÝ TÀI KHOẢN]],Tham_số[#Headers],0))*Chi_tiết_về_dự_án[[#This Row],[CÔNG VIỆC ƯỚC TÍNH]]</f>
        <v>5400</v>
      </c>
      <c r="M8" s="26">
        <f>INDEX(Tham_số[],MATCH(Chi_tiết_về_dự_án[[#This Row],[LOẠI DỰ ÁN]],Tham_số[LOẠI DỰ ÁN],0),MATCH(Chi_tiết_về_dự_án[[#Headers],[NGƯỜI QUẢN LÝ DỰ ÁN]],Tham_số[#Headers],0))*INDEX('THAM SỐ DỰ ÁN'!$B$12:$H$12,1,MATCH(Chi_tiết_về_dự_án[[#Headers],[NGƯỜI QUẢN LÝ DỰ ÁN]],Tham_số[#Headers],0))*Chi_tiết_về_dự_án[[#This Row],[CÔNG VIỆC ƯỚC TÍNH]]</f>
        <v>10800</v>
      </c>
      <c r="N8" s="26">
        <f>INDEX(Tham_số[],MATCH(Chi_tiết_về_dự_án[[#This Row],[LOẠI DỰ ÁN]],Tham_số[LOẠI DỰ ÁN],0),MATCH(Chi_tiết_về_dự_án[[#Headers],[NGƯỜI QUẢN LÝ CHIẾN LƯỢC]],Tham_số[#Headers],0))*INDEX('THAM SỐ DỰ ÁN'!$B$12:$H$12,1,MATCH(Chi_tiết_về_dự_án[[#Headers],[NGƯỜI QUẢN LÝ CHIẾN LƯỢC]],Tham_số[#Headers],0))*Chi_tiết_về_dự_án[[#This Row],[CÔNG VIỆC ƯỚC TÍNH]]</f>
        <v>0</v>
      </c>
      <c r="O8" s="26">
        <f>INDEX(Tham_số[],MATCH(Chi_tiết_về_dự_án[[#This Row],[LOẠI DỰ ÁN]],Tham_số[LOẠI DỰ ÁN],0),MATCH(Chi_tiết_về_dự_án[[#Headers],[CHUYÊN GIA THIẾT KẾ]],Tham_số[#Headers],0))*INDEX('THAM SỐ DỰ ÁN'!$B$12:$H$12,1,MATCH(Chi_tiết_về_dự_án[[#Headers],[CHUYÊN GIA THIẾT KẾ]],Tham_số[#Headers],0))*Chi_tiết_về_dự_án[[#This Row],[CÔNG VIỆC ƯỚC TÍNH]]</f>
        <v>0</v>
      </c>
      <c r="P8" s="26">
        <f>INDEX(Tham_số[],MATCH(Chi_tiết_về_dự_án[[#This Row],[LOẠI DỰ ÁN]],Tham_số[LOẠI DỰ ÁN],0),MATCH(Chi_tiết_về_dự_án[[#Headers],[NHÂN VIÊN SỰ KIỆN]],Tham_số[#Headers],0))*INDEX('THAM SỐ DỰ ÁN'!$B$12:$H$12,1,MATCH(Chi_tiết_về_dự_án[[#Headers],[NHÂN VIÊN SỰ KIỆN]],Tham_số[#Headers],0))*Chi_tiết_về_dự_án[[#This Row],[CÔNG VIỆC ƯỚC TÍNH]]</f>
        <v>1200</v>
      </c>
      <c r="Q8" s="26">
        <f>INDEX(Tham_số[],MATCH(Chi_tiết_về_dự_án[[#This Row],[LOẠI DỰ ÁN]],Tham_số[LOẠI DỰ ÁN],0),MATCH(Chi_tiết_về_dự_án[[#Headers],[NHÂN VIÊN QUẢN TRỊ]],Tham_số[#Headers],0))*INDEX('THAM SỐ DỰ ÁN'!$B$12:$H$12,1,MATCH(Chi_tiết_về_dự_án[[#Headers],[NHÂN VIÊN QUẢN TRỊ]],Tham_số[#Headers],0))*Chi_tiết_về_dự_án[[#This Row],[CÔNG VIỆC ƯỚC TÍNH]]</f>
        <v>900</v>
      </c>
      <c r="R8" s="26">
        <f>INDEX(Tham_số[],MATCH(Chi_tiết_về_dự_án[[#This Row],[LOẠI DỰ ÁN]],Tham_số[LOẠI DỰ ÁN],0),MATCH(Chi_tiết_về_dự_án[[#Headers],[NGƯỜI QUẢN LÝ TÀI KHOẢN]],Tham_số[#Headers],0))*INDEX('THAM SỐ DỰ ÁN'!$B$12:$H$12,1,MATCH(Chi_tiết_về_dự_án[[#Headers],[NGƯỜI QUẢN LÝ TÀI KHOẢN]],Tham_số[#Headers],0))*Chi_tiết_về_dự_án[[#This Row],[CÔNG VIỆC THỰC TẾ]]</f>
        <v>5220</v>
      </c>
      <c r="S8" s="26">
        <f>INDEX(Tham_số[],MATCH(Chi_tiết_về_dự_án[[#This Row],[LOẠI DỰ ÁN]],Tham_số[LOẠI DỰ ÁN],0),MATCH(Chi_tiết_về_dự_án[[#Headers],[NGƯỜI QUẢN LÝ DỰ ÁN]],Tham_số[#Headers],0))*INDEX('THAM SỐ DỰ ÁN'!$B$12:$H$12,1,MATCH(Chi_tiết_về_dự_án[[#Headers],[NGƯỜI QUẢN LÝ DỰ ÁN]],Tham_số[#Headers],0))*Chi_tiết_về_dự_án[[#This Row],[CÔNG VIỆC THỰC TẾ]]</f>
        <v>10440</v>
      </c>
      <c r="T8" s="26">
        <f>INDEX(Tham_số[],MATCH(Chi_tiết_về_dự_án[[#This Row],[LOẠI DỰ ÁN]],Tham_số[LOẠI DỰ ÁN],0),MATCH(Chi_tiết_về_dự_án[[#Headers],[NGƯỜI QUẢN LÝ CHIẾN LƯỢC]],Tham_số[#Headers],0))*INDEX('THAM SỐ DỰ ÁN'!$B$12:$H$12,1,MATCH(Chi_tiết_về_dự_án[[#Headers],[NGƯỜI QUẢN LÝ CHIẾN LƯỢC]],Tham_số[#Headers],0))*Chi_tiết_về_dự_án[[#This Row],[CÔNG VIỆC THỰC TẾ]]</f>
        <v>0</v>
      </c>
      <c r="U8" s="26">
        <f>INDEX(Tham_số[],MATCH(Chi_tiết_về_dự_án[[#This Row],[LOẠI DỰ ÁN]],Tham_số[LOẠI DỰ ÁN],0),MATCH(Chi_tiết_về_dự_án[[#Headers],[CHUYÊN GIA THIẾT KẾ]],Tham_số[#Headers],0))*INDEX('THAM SỐ DỰ ÁN'!$B$12:$H$12,1,MATCH(Chi_tiết_về_dự_án[[#Headers],[CHUYÊN GIA THIẾT KẾ]],Tham_số[#Headers],0))*Chi_tiết_về_dự_án[[#This Row],[CÔNG VIỆC THỰC TẾ]]</f>
        <v>0</v>
      </c>
      <c r="V8" s="26">
        <f>INDEX(Tham_số[],MATCH(Chi_tiết_về_dự_án[[#This Row],[LOẠI DỰ ÁN]],Tham_số[LOẠI DỰ ÁN],0),MATCH(Chi_tiết_về_dự_án[[#Headers],[NHÂN VIÊN SỰ KIỆN]],Tham_số[#Headers],0))*INDEX('THAM SỐ DỰ ÁN'!$B$12:$H$12,1,MATCH(Chi_tiết_về_dự_án[[#Headers],[NHÂN VIÊN SỰ KIỆN]],Tham_số[#Headers],0))*Chi_tiết_về_dự_án[[#This Row],[CÔNG VIỆC THỰC TẾ]]</f>
        <v>1160</v>
      </c>
      <c r="W8" s="26">
        <f>INDEX(Tham_số[],MATCH(Chi_tiết_về_dự_án[[#This Row],[LOẠI DỰ ÁN]],Tham_số[LOẠI DỰ ÁN],0),MATCH(Chi_tiết_về_dự_án[[#Headers],[NHÂN VIÊN QUẢN TRỊ]],Tham_số[#Headers],0))*INDEX('THAM SỐ DỰ ÁN'!$B$12:$H$12,1,MATCH(Chi_tiết_về_dự_án[[#Headers],[NHÂN VIÊN QUẢN TRỊ]],Tham_số[#Headers],0))*Chi_tiết_về_dự_án[[#This Row],[CÔNG VIỆC THỰC TẾ]]</f>
        <v>870</v>
      </c>
    </row>
    <row r="9" spans="1:23" x14ac:dyDescent="0.2">
      <c r="B9" s="24" t="s">
        <v>45</v>
      </c>
      <c r="C9" s="24" t="s">
        <v>22</v>
      </c>
      <c r="D9" s="25">
        <f ca="1">DATE(YEAR(TODAY())+4,8,11)</f>
        <v>45149</v>
      </c>
      <c r="E9" s="25">
        <f ca="1">DATE(YEAR(TODAY())+4,8,21)</f>
        <v>45159</v>
      </c>
      <c r="F9" s="25">
        <f ca="1">DATE(YEAR(TODAY())+4,9,14)</f>
        <v>45183</v>
      </c>
      <c r="G9" s="25">
        <f ca="1">DATE(YEAR(TODAY())+4,9,25)</f>
        <v>45194</v>
      </c>
      <c r="H9" s="24">
        <v>250</v>
      </c>
      <c r="I9" s="24">
        <v>255</v>
      </c>
      <c r="J9" s="24">
        <f ca="1">DAYS360(Chi_tiết_về_dự_án[[#This Row],[NGÀY BẮT ĐẦU ƯỚC TÍNH]],Chi_tiết_về_dự_án[[#This Row],[NGÀY KẾT THÚC ƯỚC TÍNH]],FALSE)</f>
        <v>10</v>
      </c>
      <c r="K9" s="24">
        <f ca="1">DAYS360(Chi_tiết_về_dự_án[[#This Row],[NGÀY BẮT ĐẦU THỰC TẾ]],Chi_tiết_về_dự_án[[#This Row],[NGÀY KẾT THÚC THỰC TẾ]],FALSE)</f>
        <v>11</v>
      </c>
      <c r="L9" s="26">
        <f>INDEX(Tham_số[],MATCH(Chi_tiết_về_dự_án[[#This Row],[LOẠI DỰ ÁN]],Tham_số[LOẠI DỰ ÁN],0),MATCH(Chi_tiết_về_dự_án[[#Headers],[NGƯỜI QUẢN LÝ TÀI KHOẢN]],Tham_số[#Headers],0))*INDEX('THAM SỐ DỰ ÁN'!$B$12:$H$12,1,MATCH(Chi_tiết_về_dự_án[[#Headers],[NGƯỜI QUẢN LÝ TÀI KHOẢN]],Tham_số[#Headers],0))*Chi_tiết_về_dự_án[[#This Row],[CÔNG VIỆC ƯỚC TÍNH]]</f>
        <v>9000</v>
      </c>
      <c r="M9" s="26">
        <f>INDEX(Tham_số[],MATCH(Chi_tiết_về_dự_án[[#This Row],[LOẠI DỰ ÁN]],Tham_số[LOẠI DỰ ÁN],0),MATCH(Chi_tiết_về_dự_án[[#Headers],[NGƯỜI QUẢN LÝ DỰ ÁN]],Tham_số[#Headers],0))*INDEX('THAM SỐ DỰ ÁN'!$B$12:$H$12,1,MATCH(Chi_tiết_về_dự_án[[#Headers],[NGƯỜI QUẢN LÝ DỰ ÁN]],Tham_số[#Headers],0))*Chi_tiết_về_dự_án[[#This Row],[CÔNG VIỆC ƯỚC TÍNH]]</f>
        <v>3000</v>
      </c>
      <c r="N9" s="26">
        <f>INDEX(Tham_số[],MATCH(Chi_tiết_về_dự_án[[#This Row],[LOẠI DỰ ÁN]],Tham_số[LOẠI DỰ ÁN],0),MATCH(Chi_tiết_về_dự_án[[#Headers],[NGƯỜI QUẢN LÝ CHIẾN LƯỢC]],Tham_số[#Headers],0))*INDEX('THAM SỐ DỰ ÁN'!$B$12:$H$12,1,MATCH(Chi_tiết_về_dự_án[[#Headers],[NGƯỜI QUẢN LÝ CHIẾN LƯỢC]],Tham_số[#Headers],0))*Chi_tiết_về_dự_án[[#This Row],[CÔNG VIỆC ƯỚC TÍNH]]</f>
        <v>0</v>
      </c>
      <c r="O9" s="26">
        <f>INDEX(Tham_số[],MATCH(Chi_tiết_về_dự_án[[#This Row],[LOẠI DỰ ÁN]],Tham_số[LOẠI DỰ ÁN],0),MATCH(Chi_tiết_về_dự_án[[#Headers],[CHUYÊN GIA THIẾT KẾ]],Tham_số[#Headers],0))*INDEX('THAM SỐ DỰ ÁN'!$B$12:$H$12,1,MATCH(Chi_tiết_về_dự_án[[#Headers],[CHUYÊN GIA THIẾT KẾ]],Tham_số[#Headers],0))*Chi_tiết_về_dự_án[[#This Row],[CÔNG VIỆC ƯỚC TÍNH]]</f>
        <v>0</v>
      </c>
      <c r="P9" s="26">
        <f>INDEX(Tham_số[],MATCH(Chi_tiết_về_dự_án[[#This Row],[LOẠI DỰ ÁN]],Tham_số[LOẠI DỰ ÁN],0),MATCH(Chi_tiết_về_dự_án[[#Headers],[NHÂN VIÊN SỰ KIỆN]],Tham_số[#Headers],0))*INDEX('THAM SỐ DỰ ÁN'!$B$12:$H$12,1,MATCH(Chi_tiết_về_dự_án[[#Headers],[NHÂN VIÊN SỰ KIỆN]],Tham_số[#Headers],0))*Chi_tiết_về_dự_án[[#This Row],[CÔNG VIỆC ƯỚC TÍNH]]</f>
        <v>12000</v>
      </c>
      <c r="Q9" s="26">
        <f>INDEX(Tham_số[],MATCH(Chi_tiết_về_dự_án[[#This Row],[LOẠI DỰ ÁN]],Tham_số[LOẠI DỰ ÁN],0),MATCH(Chi_tiết_về_dự_án[[#Headers],[NHÂN VIÊN QUẢN TRỊ]],Tham_số[#Headers],0))*INDEX('THAM SỐ DỰ ÁN'!$B$12:$H$12,1,MATCH(Chi_tiết_về_dự_án[[#Headers],[NHÂN VIÊN QUẢN TRỊ]],Tham_số[#Headers],0))*Chi_tiết_về_dự_án[[#This Row],[CÔNG VIỆC ƯỚC TÍNH]]</f>
        <v>1500</v>
      </c>
      <c r="R9" s="26">
        <f>INDEX(Tham_số[],MATCH(Chi_tiết_về_dự_án[[#This Row],[LOẠI DỰ ÁN]],Tham_số[LOẠI DỰ ÁN],0),MATCH(Chi_tiết_về_dự_án[[#Headers],[NGƯỜI QUẢN LÝ TÀI KHOẢN]],Tham_số[#Headers],0))*INDEX('THAM SỐ DỰ ÁN'!$B$12:$H$12,1,MATCH(Chi_tiết_về_dự_án[[#Headers],[NGƯỜI QUẢN LÝ TÀI KHOẢN]],Tham_số[#Headers],0))*Chi_tiết_về_dự_án[[#This Row],[CÔNG VIỆC THỰC TẾ]]</f>
        <v>9180</v>
      </c>
      <c r="S9" s="26">
        <f>INDEX(Tham_số[],MATCH(Chi_tiết_về_dự_án[[#This Row],[LOẠI DỰ ÁN]],Tham_số[LOẠI DỰ ÁN],0),MATCH(Chi_tiết_về_dự_án[[#Headers],[NGƯỜI QUẢN LÝ DỰ ÁN]],Tham_số[#Headers],0))*INDEX('THAM SỐ DỰ ÁN'!$B$12:$H$12,1,MATCH(Chi_tiết_về_dự_án[[#Headers],[NGƯỜI QUẢN LÝ DỰ ÁN]],Tham_số[#Headers],0))*Chi_tiết_về_dự_án[[#This Row],[CÔNG VIỆC THỰC TẾ]]</f>
        <v>3060</v>
      </c>
      <c r="T9" s="26">
        <f>INDEX(Tham_số[],MATCH(Chi_tiết_về_dự_án[[#This Row],[LOẠI DỰ ÁN]],Tham_số[LOẠI DỰ ÁN],0),MATCH(Chi_tiết_về_dự_án[[#Headers],[NGƯỜI QUẢN LÝ CHIẾN LƯỢC]],Tham_số[#Headers],0))*INDEX('THAM SỐ DỰ ÁN'!$B$12:$H$12,1,MATCH(Chi_tiết_về_dự_án[[#Headers],[NGƯỜI QUẢN LÝ CHIẾN LƯỢC]],Tham_số[#Headers],0))*Chi_tiết_về_dự_án[[#This Row],[CÔNG VIỆC THỰC TẾ]]</f>
        <v>0</v>
      </c>
      <c r="U9" s="26">
        <f>INDEX(Tham_số[],MATCH(Chi_tiết_về_dự_án[[#This Row],[LOẠI DỰ ÁN]],Tham_số[LOẠI DỰ ÁN],0),MATCH(Chi_tiết_về_dự_án[[#Headers],[CHUYÊN GIA THIẾT KẾ]],Tham_số[#Headers],0))*INDEX('THAM SỐ DỰ ÁN'!$B$12:$H$12,1,MATCH(Chi_tiết_về_dự_án[[#Headers],[CHUYÊN GIA THIẾT KẾ]],Tham_số[#Headers],0))*Chi_tiết_về_dự_án[[#This Row],[CÔNG VIỆC THỰC TẾ]]</f>
        <v>0</v>
      </c>
      <c r="V9" s="26">
        <f>INDEX(Tham_số[],MATCH(Chi_tiết_về_dự_án[[#This Row],[LOẠI DỰ ÁN]],Tham_số[LOẠI DỰ ÁN],0),MATCH(Chi_tiết_về_dự_án[[#Headers],[NHÂN VIÊN SỰ KIỆN]],Tham_số[#Headers],0))*INDEX('THAM SỐ DỰ ÁN'!$B$12:$H$12,1,MATCH(Chi_tiết_về_dự_án[[#Headers],[NHÂN VIÊN SỰ KIỆN]],Tham_số[#Headers],0))*Chi_tiết_về_dự_án[[#This Row],[CÔNG VIỆC THỰC TẾ]]</f>
        <v>12240</v>
      </c>
      <c r="W9" s="26">
        <f>INDEX(Tham_số[],MATCH(Chi_tiết_về_dự_án[[#This Row],[LOẠI DỰ ÁN]],Tham_số[LOẠI DỰ ÁN],0),MATCH(Chi_tiết_về_dự_án[[#Headers],[NHÂN VIÊN QUẢN TRỊ]],Tham_số[#Headers],0))*INDEX('THAM SỐ DỰ ÁN'!$B$12:$H$12,1,MATCH(Chi_tiết_về_dự_án[[#Headers],[NHÂN VIÊN QUẢN TRỊ]],Tham_số[#Headers],0))*Chi_tiết_về_dự_án[[#This Row],[CÔNG VIỆC THỰC TẾ]]</f>
        <v>1530</v>
      </c>
    </row>
    <row r="10" spans="1:23" x14ac:dyDescent="0.2">
      <c r="B10" s="1" t="s">
        <v>46</v>
      </c>
      <c r="H10" s="1">
        <f>SUBTOTAL(109,Chi_tiết_về_dự_án[CÔNG VIỆC ƯỚC TÍNH])</f>
        <v>1500</v>
      </c>
      <c r="I10" s="1">
        <f>SUBTOTAL(109,Chi_tiết_về_dự_án[CÔNG VIỆC THỰC TẾ])</f>
        <v>1510</v>
      </c>
      <c r="J10" s="1">
        <f ca="1">SUBTOTAL(109,Chi_tiết_về_dự_án[LƯỢNG THỜI GIAN ƯỚC TÍNH])</f>
        <v>225</v>
      </c>
      <c r="K10" s="1">
        <f ca="1">SUBTOTAL(109,Chi_tiết_về_dự_án[LƯỢNG THỜI GIAN THỰC TẾ])</f>
        <v>597</v>
      </c>
    </row>
  </sheetData>
  <dataValidations count="1">
    <dataValidation type="list" allowBlank="1" showInputMessage="1" showErrorMessage="1" sqref="C5:C9" xr:uid="{00000000-0002-0000-0100-000000000000}">
      <formula1>Loại_dự_án</formula1>
    </dataValidation>
  </dataValidations>
  <printOptions horizontalCentered="1"/>
  <pageMargins left="0.4" right="0.4" top="0.4" bottom="0.4" header="0.3" footer="0.3"/>
  <pageSetup paperSize="9" fitToHeight="0" orientation="landscape" horizontalDpi="4294967293"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N27"/>
  <sheetViews>
    <sheetView showGridLines="0" zoomScaleNormal="100" workbookViewId="0"/>
  </sheetViews>
  <sheetFormatPr defaultColWidth="9.33203125" defaultRowHeight="14.25" x14ac:dyDescent="0.2"/>
  <cols>
    <col min="1" max="1" width="1.83203125" style="11" customWidth="1"/>
    <col min="2" max="2" width="14.83203125" style="1" bestFit="1" customWidth="1"/>
    <col min="3" max="3" width="19.1640625" style="1" bestFit="1" customWidth="1"/>
    <col min="4" max="4" width="18" style="1" bestFit="1" customWidth="1"/>
    <col min="5" max="5" width="19.6640625" style="1" customWidth="1"/>
    <col min="6" max="6" width="19.1640625" style="1" bestFit="1" customWidth="1"/>
    <col min="7" max="7" width="17" style="1" bestFit="1" customWidth="1"/>
    <col min="8" max="8" width="17" style="1" customWidth="1"/>
    <col min="9" max="9" width="18.6640625" style="1" bestFit="1" customWidth="1"/>
    <col min="10" max="11" width="13.5" style="1" bestFit="1" customWidth="1"/>
    <col min="12" max="12" width="18" style="1" bestFit="1" customWidth="1"/>
    <col min="13" max="13" width="14.83203125" style="1" bestFit="1" customWidth="1"/>
    <col min="14" max="14" width="16" style="1" bestFit="1" customWidth="1"/>
    <col min="15" max="15" width="2.83203125" style="1" customWidth="1"/>
    <col min="16" max="16384" width="9.33203125" style="1"/>
  </cols>
  <sheetData>
    <row r="1" spans="1:14" ht="35.450000000000003" customHeight="1" x14ac:dyDescent="0.35">
      <c r="A1" s="11" t="s">
        <v>61</v>
      </c>
      <c r="B1" s="2" t="str">
        <f>'THAM SỐ DỰ ÁN'!B1</f>
        <v>Tên công ty</v>
      </c>
      <c r="C1" s="2"/>
      <c r="D1" s="2"/>
      <c r="E1" s="2"/>
      <c r="F1" s="2"/>
      <c r="G1" s="2"/>
      <c r="H1" s="2"/>
      <c r="I1" s="2"/>
      <c r="J1" s="2"/>
      <c r="K1" s="2"/>
    </row>
    <row r="2" spans="1:14" ht="19.5" x14ac:dyDescent="0.25">
      <c r="A2" s="11" t="s">
        <v>8</v>
      </c>
      <c r="B2" s="3" t="s">
        <v>15</v>
      </c>
      <c r="C2" s="3"/>
      <c r="D2" s="3"/>
      <c r="E2" s="3"/>
      <c r="F2" s="3"/>
      <c r="G2" s="3"/>
      <c r="H2" s="3"/>
      <c r="I2" s="3"/>
      <c r="J2" s="3"/>
      <c r="K2" s="3"/>
    </row>
    <row r="3" spans="1:14" s="13" customFormat="1" ht="29.25" customHeight="1" x14ac:dyDescent="0.2">
      <c r="A3" s="16" t="s">
        <v>9</v>
      </c>
      <c r="B3" s="14" t="str">
        <f>'THAM SỐ DỰ ÁN'!B3</f>
        <v>Tên công ty Thông tin mật</v>
      </c>
      <c r="C3" s="14"/>
      <c r="D3" s="14"/>
      <c r="E3" s="14"/>
      <c r="F3" s="14"/>
      <c r="G3" s="14"/>
      <c r="H3" s="14"/>
      <c r="I3" s="14"/>
      <c r="J3" s="14"/>
      <c r="K3" s="14"/>
    </row>
    <row r="4" spans="1:14" s="10" customFormat="1" ht="38.25" customHeight="1" x14ac:dyDescent="0.2">
      <c r="A4" s="11" t="s">
        <v>62</v>
      </c>
      <c r="B4" s="28" t="s">
        <v>40</v>
      </c>
      <c r="C4" s="29" t="s">
        <v>63</v>
      </c>
      <c r="D4" s="29" t="s">
        <v>64</v>
      </c>
      <c r="E4" s="29" t="s">
        <v>65</v>
      </c>
      <c r="F4" s="29" t="s">
        <v>66</v>
      </c>
      <c r="G4" s="29" t="s">
        <v>67</v>
      </c>
      <c r="H4" s="29" t="s">
        <v>68</v>
      </c>
      <c r="I4" s="29" t="s">
        <v>69</v>
      </c>
      <c r="J4" s="29" t="s">
        <v>73</v>
      </c>
      <c r="K4" s="29" t="s">
        <v>74</v>
      </c>
      <c r="L4" s="29" t="s">
        <v>70</v>
      </c>
      <c r="M4" s="29" t="s">
        <v>75</v>
      </c>
      <c r="N4" s="29" t="s">
        <v>71</v>
      </c>
    </row>
    <row r="5" spans="1:14" x14ac:dyDescent="0.2">
      <c r="B5" s="30" t="s">
        <v>41</v>
      </c>
      <c r="C5" s="31">
        <v>7200</v>
      </c>
      <c r="D5" s="31">
        <v>2400</v>
      </c>
      <c r="E5" s="31">
        <v>18000</v>
      </c>
      <c r="F5" s="31">
        <v>0</v>
      </c>
      <c r="G5" s="31">
        <v>0</v>
      </c>
      <c r="H5" s="31">
        <v>1200</v>
      </c>
      <c r="I5" s="31">
        <v>7920</v>
      </c>
      <c r="J5" s="31">
        <v>2640</v>
      </c>
      <c r="K5" s="31">
        <v>19800</v>
      </c>
      <c r="L5" s="31">
        <v>0</v>
      </c>
      <c r="M5" s="31">
        <v>0</v>
      </c>
      <c r="N5" s="31">
        <v>1320</v>
      </c>
    </row>
    <row r="6" spans="1:14" x14ac:dyDescent="0.2">
      <c r="B6" s="30" t="s">
        <v>42</v>
      </c>
      <c r="C6" s="31">
        <v>14400</v>
      </c>
      <c r="D6" s="31">
        <v>24000</v>
      </c>
      <c r="E6" s="31">
        <v>6000</v>
      </c>
      <c r="F6" s="31">
        <v>4000</v>
      </c>
      <c r="G6" s="31">
        <v>0</v>
      </c>
      <c r="H6" s="31">
        <v>2400</v>
      </c>
      <c r="I6" s="31">
        <v>14040</v>
      </c>
      <c r="J6" s="31">
        <v>23400</v>
      </c>
      <c r="K6" s="31">
        <v>5850</v>
      </c>
      <c r="L6" s="31">
        <v>3900</v>
      </c>
      <c r="M6" s="31">
        <v>0</v>
      </c>
      <c r="N6" s="31">
        <v>2340</v>
      </c>
    </row>
    <row r="7" spans="1:14" x14ac:dyDescent="0.2">
      <c r="B7" s="30" t="s">
        <v>43</v>
      </c>
      <c r="C7" s="31">
        <v>18000</v>
      </c>
      <c r="D7" s="31">
        <v>12000</v>
      </c>
      <c r="E7" s="31">
        <v>0</v>
      </c>
      <c r="F7" s="31">
        <v>25000</v>
      </c>
      <c r="G7" s="31">
        <v>0</v>
      </c>
      <c r="H7" s="31">
        <v>3000</v>
      </c>
      <c r="I7" s="31">
        <v>18000</v>
      </c>
      <c r="J7" s="31">
        <v>12000</v>
      </c>
      <c r="K7" s="31">
        <v>0</v>
      </c>
      <c r="L7" s="31">
        <v>25000</v>
      </c>
      <c r="M7" s="31">
        <v>0</v>
      </c>
      <c r="N7" s="31">
        <v>3000</v>
      </c>
    </row>
    <row r="8" spans="1:14" x14ac:dyDescent="0.2">
      <c r="B8" s="30" t="s">
        <v>44</v>
      </c>
      <c r="C8" s="31">
        <v>5400</v>
      </c>
      <c r="D8" s="31">
        <v>10800</v>
      </c>
      <c r="E8" s="31">
        <v>0</v>
      </c>
      <c r="F8" s="31">
        <v>0</v>
      </c>
      <c r="G8" s="31">
        <v>1200</v>
      </c>
      <c r="H8" s="31">
        <v>900</v>
      </c>
      <c r="I8" s="31">
        <v>5220</v>
      </c>
      <c r="J8" s="31">
        <v>10440</v>
      </c>
      <c r="K8" s="31">
        <v>0</v>
      </c>
      <c r="L8" s="31">
        <v>0</v>
      </c>
      <c r="M8" s="31">
        <v>1160</v>
      </c>
      <c r="N8" s="31">
        <v>870</v>
      </c>
    </row>
    <row r="9" spans="1:14" x14ac:dyDescent="0.2">
      <c r="B9" s="30" t="s">
        <v>45</v>
      </c>
      <c r="C9" s="31">
        <v>9000</v>
      </c>
      <c r="D9" s="31">
        <v>3000</v>
      </c>
      <c r="E9" s="31">
        <v>0</v>
      </c>
      <c r="F9" s="31">
        <v>0</v>
      </c>
      <c r="G9" s="31">
        <v>12000</v>
      </c>
      <c r="H9" s="31">
        <v>1500</v>
      </c>
      <c r="I9" s="31">
        <v>9180</v>
      </c>
      <c r="J9" s="31">
        <v>3060</v>
      </c>
      <c r="K9" s="31">
        <v>0</v>
      </c>
      <c r="L9" s="31">
        <v>0</v>
      </c>
      <c r="M9" s="31">
        <v>12240</v>
      </c>
      <c r="N9" s="31">
        <v>1530</v>
      </c>
    </row>
    <row r="10" spans="1:14" x14ac:dyDescent="0.2">
      <c r="B10" s="30" t="s">
        <v>72</v>
      </c>
      <c r="C10" s="31">
        <v>54000</v>
      </c>
      <c r="D10" s="31">
        <v>52200</v>
      </c>
      <c r="E10" s="31">
        <v>24000</v>
      </c>
      <c r="F10" s="31">
        <v>29000</v>
      </c>
      <c r="G10" s="31">
        <v>13200</v>
      </c>
      <c r="H10" s="31">
        <v>9000</v>
      </c>
      <c r="I10" s="31">
        <v>54360</v>
      </c>
      <c r="J10" s="31">
        <v>51540</v>
      </c>
      <c r="K10" s="31">
        <v>25650</v>
      </c>
      <c r="L10" s="31">
        <v>28900</v>
      </c>
      <c r="M10" s="31">
        <v>13400</v>
      </c>
      <c r="N10" s="31">
        <v>9060</v>
      </c>
    </row>
    <row r="11" spans="1:14" x14ac:dyDescent="0.2">
      <c r="B11"/>
      <c r="C11"/>
      <c r="D11"/>
      <c r="E11"/>
      <c r="F11"/>
      <c r="G11"/>
      <c r="H11"/>
      <c r="I11"/>
      <c r="J11"/>
      <c r="K11"/>
      <c r="L11"/>
      <c r="M11"/>
      <c r="N11"/>
    </row>
    <row r="12" spans="1:14" x14ac:dyDescent="0.2">
      <c r="B12"/>
      <c r="C12"/>
      <c r="D12"/>
      <c r="E12"/>
      <c r="F12"/>
      <c r="G12"/>
      <c r="H12"/>
      <c r="I12"/>
      <c r="J12"/>
      <c r="K12"/>
      <c r="L12"/>
      <c r="M12"/>
      <c r="N12"/>
    </row>
    <row r="13" spans="1:14" x14ac:dyDescent="0.2">
      <c r="B13"/>
      <c r="C13"/>
      <c r="D13"/>
      <c r="E13"/>
      <c r="F13"/>
      <c r="G13"/>
      <c r="H13"/>
      <c r="I13"/>
      <c r="J13"/>
      <c r="K13"/>
      <c r="L13"/>
      <c r="M13"/>
      <c r="N13"/>
    </row>
    <row r="14" spans="1:14" x14ac:dyDescent="0.2">
      <c r="B14"/>
      <c r="C14"/>
      <c r="D14"/>
      <c r="E14"/>
      <c r="F14"/>
      <c r="G14"/>
      <c r="H14"/>
      <c r="I14"/>
      <c r="J14"/>
      <c r="K14"/>
      <c r="L14"/>
      <c r="M14"/>
      <c r="N14"/>
    </row>
    <row r="15" spans="1:14" x14ac:dyDescent="0.2">
      <c r="B15"/>
      <c r="C15"/>
      <c r="D15"/>
      <c r="E15"/>
      <c r="F15"/>
      <c r="G15"/>
      <c r="H15"/>
      <c r="I15"/>
      <c r="J15"/>
      <c r="K15"/>
      <c r="L15"/>
      <c r="M15"/>
      <c r="N15"/>
    </row>
    <row r="16" spans="1:14"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sheetData>
  <printOptions horizontalCentered="1"/>
  <pageMargins left="0.4" right="0.4" top="0.4" bottom="0.4" header="0.3" footer="0.3"/>
  <pageSetup paperSize="9" fitToHeight="0" orientation="landscape" horizontalDpi="4294967293" verticalDpi="4294967295"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4</vt:i4>
      </vt:variant>
      <vt:variant>
        <vt:lpstr>Phạm vi Có tên</vt:lpstr>
      </vt:variant>
      <vt:variant>
        <vt:i4>3</vt:i4>
      </vt:variant>
    </vt:vector>
  </HeadingPairs>
  <TitlesOfParts>
    <vt:vector size="7" baseType="lpstr">
      <vt:lpstr>BẮT ĐẦU</vt:lpstr>
      <vt:lpstr>THAM SỐ DỰ ÁN</vt:lpstr>
      <vt:lpstr>CHI TIẾT DỰ ÁN</vt:lpstr>
      <vt:lpstr>TỔNG CỦA DỰ ÁN</vt:lpstr>
      <vt:lpstr>Loại_dự_án</vt:lpstr>
      <vt:lpstr>'CHI TIẾT DỰ ÁN'!Print_Titles</vt:lpstr>
      <vt:lpstr>'TỔNG CỦA DỰ ÁN'!Print_Titles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2018-05-24T11:34:13Z</dcterms:created>
  <dcterms:modified xsi:type="dcterms:W3CDTF">2019-02-20T07:28:47Z</dcterms:modified>
</cp:coreProperties>
</file>

<file path=docProps/custom.xml><?xml version="1.0" encoding="utf-8"?>
<Properties xmlns="http://schemas.openxmlformats.org/officeDocument/2006/custom-properties" xmlns:vt="http://schemas.openxmlformats.org/officeDocument/2006/docPropsVTypes"/>
</file>