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xr2:uid="{00000000-000D-0000-FFFF-FFFF00000000}"/>
  </bookViews>
  <sheets>
    <sheet name="開始" sheetId="4" r:id="rId1"/>
    <sheet name="專案參數" sheetId="1" r:id="rId2"/>
    <sheet name="專案詳細資料" sheetId="2" r:id="rId3"/>
    <sheet name="專案總計" sheetId="3" r:id="rId4"/>
  </sheets>
  <definedNames>
    <definedName name="_xlnm.Print_Titles" localSheetId="2">專案詳細資料!$4:$4</definedName>
    <definedName name="_xlnm.Print_Titles" localSheetId="3">專案總計!$4:$4</definedName>
    <definedName name="專案類型">參數[專案類型]</definedName>
  </definedName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<sst xmlns="http://schemas.openxmlformats.org/spreadsheetml/2006/main" count="106" uniqueCount="75">
  <si>
    <t>關於此範本</t>
  </si>
  <si>
    <t>這個活動規劃追蹤工具活頁簿可用來追蹤專案參數、專案詳細資料及專案總計。</t>
  </si>
  <si>
    <t>在 [專案參數] 以及 [專案詳細資料] 工作表中輸入資訊，即可更新欄圖表。[專案總計] 工作表中的樞紐分析表會自動更新。</t>
  </si>
  <si>
    <t>在 [參數] 工作表中填入公司名稱後，其他工作表也會自動更新這個名稱。</t>
  </si>
  <si>
    <t xml:space="preserve">附註：  </t>
  </si>
  <si>
    <t>我們已在活動規劃追蹤工具活頁簿中的每個工作表的欄 A 提供額外指示。此文字已刻意隱藏。若要移除文字，請選取欄 A，然後選取 [刪除]。若要取消隱藏文字，請選取欄 A，然後變更字型色彩。</t>
  </si>
  <si>
    <t>若要深入了解此工作表中的表格，請在表格內按 SHIFT 並按 F10、選取 [表格] 選項，然後選取 [替代文字]。</t>
  </si>
  <si>
    <t>在這個工作表中建立專案參數。在右側儲存格中輸入公司名稱。這欄的儲存格中有實用指示。按向下鍵就能開始使用。</t>
  </si>
  <si>
    <t>右側儲存格是這個工作表的標題。</t>
  </si>
  <si>
    <t>右側儲存格是機密訊息。</t>
  </si>
  <si>
    <t>右側儲存格是提示。</t>
  </si>
  <si>
    <t>在從右側儲存格開始的 [參數] 表格中輸入詳細資料。下一個指示在儲存格 A12。</t>
  </si>
  <si>
    <t>在右側的儲存格中輸入混合費率，從儲存格 C12 到 H12。下一個指示在儲存格 A14。</t>
  </si>
  <si>
    <t>右側儲存格會顯示計劃與實際費用的比較直條圖，而儲存格 F14 則會顯示計劃與實際時數的比較直條圖。</t>
  </si>
  <si>
    <t>公司名稱</t>
  </si>
  <si>
    <t>活動管理專案追蹤工具</t>
  </si>
  <si>
    <t>工作表會為您計算有陰影的儲存格。您不需要在其中輸入任何內容。</t>
  </si>
  <si>
    <t>專案類型</t>
  </si>
  <si>
    <t>活動策略發展</t>
  </si>
  <si>
    <t>活動規劃</t>
  </si>
  <si>
    <t>活動設計</t>
  </si>
  <si>
    <t>活動邏輯</t>
  </si>
  <si>
    <t>活動工作人員規劃</t>
  </si>
  <si>
    <t>活動評估</t>
  </si>
  <si>
    <t>混合費率</t>
  </si>
  <si>
    <t>計劃費用</t>
  </si>
  <si>
    <t>實際費用</t>
  </si>
  <si>
    <t>計劃時數</t>
  </si>
  <si>
    <t>實際時數</t>
  </si>
  <si>
    <t>這個儲存格是顯示計劃費用與實際費用的比較直條圖。</t>
  </si>
  <si>
    <t>客戶經理</t>
  </si>
  <si>
    <t>專案經理</t>
  </si>
  <si>
    <t>策略經理</t>
  </si>
  <si>
    <t>設計專家</t>
  </si>
  <si>
    <t>這個儲存格是顯示計劃時數與實際時數的比較直條圖。</t>
  </si>
  <si>
    <t>活動工作人員</t>
  </si>
  <si>
    <t>行政人員</t>
  </si>
  <si>
    <t>總計</t>
  </si>
  <si>
    <t>在這個工作表中建立專案詳細資料。右側儲存格的公司名稱會自動更新。這欄的儲存格中有實用指示。按向下鍵就能開始使用。</t>
  </si>
  <si>
    <t>專案名稱</t>
  </si>
  <si>
    <t>專案 1</t>
  </si>
  <si>
    <t>專案 2</t>
  </si>
  <si>
    <t>專案 3</t>
  </si>
  <si>
    <t>專案 4</t>
  </si>
  <si>
    <t>專案 5</t>
  </si>
  <si>
    <t>預估開始時間</t>
  </si>
  <si>
    <t>預估結束時間</t>
  </si>
  <si>
    <t>實際開始時間</t>
  </si>
  <si>
    <t>實際結束時間</t>
  </si>
  <si>
    <t>預估工時</t>
  </si>
  <si>
    <t>實際工時</t>
  </si>
  <si>
    <t>預估工期</t>
  </si>
  <si>
    <t>實際工期</t>
  </si>
  <si>
    <t xml:space="preserve">客戶經理 </t>
  </si>
  <si>
    <t xml:space="preserve">專案經理 </t>
  </si>
  <si>
    <t xml:space="preserve">策略經理 </t>
  </si>
  <si>
    <t xml:space="preserve">設計專家 </t>
  </si>
  <si>
    <t xml:space="preserve">活動工作人員 </t>
  </si>
  <si>
    <t xml:space="preserve">行政人員 </t>
  </si>
  <si>
    <t>取得這個工作表中的專案總計。右側儲存格的公司名稱會自動更新。這欄的儲存格中有實用指示。按向下鍵就能開始使用。</t>
  </si>
  <si>
    <t>從右側儲存格開始的樞紐分析表會自動更新。
資訊
若要重新整理右側的樞紐分析表，請選取樞紐分析表中的任何儲存格，並在 [樞紐分析表工具] | [分析] 功能區索引標籤上選取 [重新整理]。或者在樞紐分析表中的任何儲存格上按 SHIFT + F10 鍵，再選取 [重新整理]。</t>
  </si>
  <si>
    <t>客戶經理預估值</t>
  </si>
  <si>
    <t>專案經理預估值</t>
  </si>
  <si>
    <t>策略經理預估值</t>
  </si>
  <si>
    <t>設計專家預估值</t>
  </si>
  <si>
    <t>事件工作人員預測值</t>
  </si>
  <si>
    <t>行政人員預測值</t>
  </si>
  <si>
    <t>客戶經理實際值</t>
  </si>
  <si>
    <t>專案經理實際值</t>
  </si>
  <si>
    <t>策略經理實際值</t>
  </si>
  <si>
    <t>設計專家實際值</t>
  </si>
  <si>
    <t>行政人員實際值</t>
  </si>
  <si>
    <t>合計</t>
    <phoneticPr fontId="21" type="noConversion"/>
  </si>
  <si>
    <t>活動工作人員實際值</t>
  </si>
  <si>
    <t>在從右側儲存格開始的 [專案詳細資料] 表格中輸入資訊。
資訊
若要在右側表格中新增一列，請選取表格內最右下方的儲存格 (不是總計列)、在您要插入列的位置按下 Tab 鍵或 SHIFT+F10，然後選取 [插入] | [上方表格列]/[下方表格列]。
請務必刪除所有未使用的列，因為「專案總計」會使用所有表格儲存格，如果未刪除將會產生錯誤結果。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</si>
</sst>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_(* #,##0.00_);_(* \(#,##0.00\);_(* &quot;-&quot;??_);_(@_)"/>
    <numFmt numFmtId="180" formatCode="_-&quot;NT$&quot;* #,##0.00_ ;_-&quot;NT$&quot;* \-#,##0.00\ ;_-&quot;NT$&quot;* &quot;-&quot;??_ ;_-@_ "/>
    <numFmt numFmtId="181" formatCode="_-&quot;NT$&quot;* #,##0_ ;_-&quot;NT$&quot;* \-#,##0\ ;_-&quot;NT$&quot;* &quot;-&quot;_ ;_-@_ "/>
    <numFmt numFmtId="182" formatCode="&quot;NT$&quot;#,##0"/>
    <numFmt numFmtId="183" formatCode="&quot;NT$&quot;#,##0.00"/>
  </numFmts>
  <fonts count="31" x14ac:knownFonts="1">
    <font>
      <sz val="10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0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0"/>
      <color theme="1" tint="0.24994659260841701"/>
      <name val="Microsoft JhengHei UI"/>
      <family val="2"/>
    </font>
    <font>
      <sz val="16"/>
      <color theme="1" tint="0.34998626667073579"/>
      <name val="Microsoft JhengHei UI"/>
      <family val="2"/>
    </font>
    <font>
      <sz val="12"/>
      <color theme="1" tint="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6"/>
      <color theme="0"/>
      <name val="Microsoft JhengHei UI"/>
      <family val="2"/>
    </font>
    <font>
      <sz val="9"/>
      <name val="細明體"/>
      <family val="3"/>
      <charset val="136"/>
    </font>
    <font>
      <sz val="10"/>
      <color theme="1" tint="0.2499465926084170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20"/>
      <color theme="1" tint="0.2499465926084170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6"/>
      <color theme="1" tint="0.34998626667073579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i/>
      <sz val="10"/>
      <color theme="1"/>
      <name val="Microsoft JhengHei UI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1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2" applyNumberFormat="0" applyAlignment="0" applyProtection="0"/>
    <xf numFmtId="0" fontId="16" fillId="9" borderId="3" applyNumberFormat="0" applyAlignment="0" applyProtection="0"/>
    <xf numFmtId="0" fontId="4" fillId="9" borderId="2" applyNumberFormat="0" applyAlignment="0" applyProtection="0"/>
    <xf numFmtId="0" fontId="14" fillId="0" borderId="4" applyNumberFormat="0" applyFill="0" applyAlignment="0" applyProtection="0"/>
    <xf numFmtId="0" fontId="5" fillId="10" borderId="5" applyNumberFormat="0" applyAlignment="0" applyProtection="0"/>
    <xf numFmtId="0" fontId="19" fillId="0" borderId="0" applyNumberFormat="0" applyFill="0" applyBorder="0" applyAlignment="0" applyProtection="0"/>
    <xf numFmtId="0" fontId="6" fillId="11" borderId="6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/>
    <xf numFmtId="0" fontId="20" fillId="4" borderId="0" xfId="2" applyFont="1" applyFill="1" applyAlignment="1">
      <alignment horizontal="center"/>
    </xf>
    <xf numFmtId="0" fontId="22" fillId="0" borderId="0" xfId="0" applyFont="1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/>
    <xf numFmtId="0" fontId="26" fillId="0" borderId="1" xfId="1" applyFont="1"/>
    <xf numFmtId="0" fontId="27" fillId="0" borderId="0" xfId="0" applyFont="1"/>
    <xf numFmtId="0" fontId="28" fillId="0" borderId="0" xfId="2" applyFont="1"/>
    <xf numFmtId="0" fontId="29" fillId="0" borderId="0" xfId="3" applyFont="1"/>
    <xf numFmtId="0" fontId="30" fillId="0" borderId="0" xfId="0" applyFont="1"/>
    <xf numFmtId="0" fontId="22" fillId="0" borderId="0" xfId="0" applyFont="1" applyAlignment="1">
      <alignment wrapText="1"/>
    </xf>
    <xf numFmtId="9" fontId="27" fillId="0" borderId="0" xfId="0" applyNumberFormat="1" applyFont="1"/>
    <xf numFmtId="9" fontId="27" fillId="2" borderId="0" xfId="0" applyNumberFormat="1" applyFont="1" applyFill="1"/>
    <xf numFmtId="182" fontId="27" fillId="0" borderId="0" xfId="0" applyNumberFormat="1" applyFont="1"/>
    <xf numFmtId="183" fontId="25" fillId="0" borderId="0" xfId="0" applyNumberFormat="1" applyFont="1"/>
    <xf numFmtId="4" fontId="25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9" fillId="0" borderId="0" xfId="3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2" fillId="3" borderId="0" xfId="0" applyFont="1" applyFill="1" applyAlignment="1">
      <alignment wrapText="1"/>
    </xf>
    <xf numFmtId="14" fontId="22" fillId="0" borderId="0" xfId="0" applyNumberFormat="1" applyFont="1"/>
    <xf numFmtId="182" fontId="22" fillId="0" borderId="0" xfId="0" applyNumberFormat="1" applyFont="1"/>
    <xf numFmtId="0" fontId="22" fillId="0" borderId="0" xfId="0" pivotButton="1" applyFont="1"/>
    <xf numFmtId="0" fontId="27" fillId="0" borderId="0" xfId="0" applyFont="1" applyAlignment="1">
      <alignment wrapText="1"/>
    </xf>
    <xf numFmtId="183" fontId="22" fillId="0" borderId="0" xfId="0" applyNumberFormat="1" applyFont="1"/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8" builtinId="5" customBuiltin="1"/>
    <cellStyle name="計算方式" xfId="16" builtinId="22" customBuiltin="1"/>
    <cellStyle name="貨幣" xfId="6" builtinId="4" customBuiltin="1"/>
    <cellStyle name="貨幣 [0]" xfId="7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9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1409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79" formatCode="&quot;$&quot;#,##0.00"/>
    </dxf>
    <dxf>
      <numFmt numFmtId="183" formatCode="&quot;NT$&quot;#,##0.00"/>
    </dxf>
    <dxf>
      <alignment wrapText="1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79" formatCode="&quot;$&quot;#,##0.00"/>
    </dxf>
    <dxf>
      <numFmt numFmtId="183" formatCode="&quot;NT$&quot;#,##0.00"/>
    </dxf>
    <dxf>
      <alignment wrapText="1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79" formatCode="&quot;$&quot;#,##0.00"/>
    </dxf>
    <dxf>
      <numFmt numFmtId="183" formatCode="&quot;NT$&quot;#,##0.00"/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79" formatCode="&quot;$&quot;#,##0.00"/>
    </dxf>
    <dxf>
      <numFmt numFmtId="183" formatCode="&quot;NT$&quot;#,##0.00"/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79" formatCode="&quot;$&quot;#,##0.00"/>
    </dxf>
    <dxf>
      <numFmt numFmtId="183" formatCode="&quot;NT$&quot;#,##0.00"/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numFmt numFmtId="183" formatCode="&quot;NT$&quot;#,##0.00"/>
    </dxf>
    <dxf>
      <numFmt numFmtId="179" formatCode="&quot;$&quot;#,##0.00"/>
    </dxf>
    <dxf>
      <numFmt numFmtId="183" formatCode="&quot;NT$&quot;#,##0.00"/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wrapText="1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79" formatCode="&quot;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numFmt numFmtId="183" formatCode="&quot;NT$&quot;#,##0.00"/>
    </dxf>
    <dxf>
      <alignment wrapText="1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/>
                <a:ea typeface="Microsoft JhengHei UI"/>
                <a:cs typeface="Microsoft JhengHei UI"/>
              </a:defRPr>
            </a:pPr>
            <a:r>
              <a:rPr lang="en-US"/>
              <a:t>計劃與實際費用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專案參數!$B$16</c:f>
              <c:strCache>
                <c:ptCount val="1"/>
                <c:pt idx="0">
                  <c:v>計劃費用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專案參數!$C$15:$H$15</c:f>
              <c:strCache>
                <c:ptCount val="6"/>
                <c:pt idx="0">
                  <c:v>客戶經理</c:v>
                </c:pt>
                <c:pt idx="1">
                  <c:v>專案經理</c:v>
                </c:pt>
                <c:pt idx="2">
                  <c:v>策略經理</c:v>
                </c:pt>
                <c:pt idx="3">
                  <c:v>設計專家</c:v>
                </c:pt>
                <c:pt idx="4">
                  <c:v>活動工作人員</c:v>
                </c:pt>
                <c:pt idx="5">
                  <c:v>行政人員</c:v>
                </c:pt>
              </c:strCache>
            </c:strRef>
          </c:cat>
          <c:val>
            <c:numRef>
              <c:f>專案參數!$C$16:$H$16</c:f>
              <c:numCache>
                <c:formatCode>"NT$"#,##0.00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專案參數!$B$17</c:f>
              <c:strCache>
                <c:ptCount val="1"/>
                <c:pt idx="0">
                  <c:v>實際費用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專案參數!$C$15:$H$15</c:f>
              <c:strCache>
                <c:ptCount val="6"/>
                <c:pt idx="0">
                  <c:v>客戶經理</c:v>
                </c:pt>
                <c:pt idx="1">
                  <c:v>專案經理</c:v>
                </c:pt>
                <c:pt idx="2">
                  <c:v>策略經理</c:v>
                </c:pt>
                <c:pt idx="3">
                  <c:v>設計專家</c:v>
                </c:pt>
                <c:pt idx="4">
                  <c:v>活動工作人員</c:v>
                </c:pt>
                <c:pt idx="5">
                  <c:v>行政人員</c:v>
                </c:pt>
              </c:strCache>
            </c:strRef>
          </c:cat>
          <c:val>
            <c:numRef>
              <c:f>專案參數!$C$17:$H$17</c:f>
              <c:numCache>
                <c:formatCode>"NT$"#,##0.00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NT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/>
                <a:ea typeface="Microsoft JhengHei UI"/>
                <a:cs typeface="Microsoft JhengHei UI"/>
              </a:defRPr>
            </a:pPr>
            <a:r>
              <a:rPr lang="en-US"/>
              <a:t>計劃與實際時數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專案參數!$B$18</c:f>
              <c:strCache>
                <c:ptCount val="1"/>
                <c:pt idx="0">
                  <c:v>計劃時數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專案參數!$C$15:$H$15</c:f>
              <c:strCache>
                <c:ptCount val="6"/>
                <c:pt idx="0">
                  <c:v>客戶經理</c:v>
                </c:pt>
                <c:pt idx="1">
                  <c:v>專案經理</c:v>
                </c:pt>
                <c:pt idx="2">
                  <c:v>策略經理</c:v>
                </c:pt>
                <c:pt idx="3">
                  <c:v>設計專家</c:v>
                </c:pt>
                <c:pt idx="4">
                  <c:v>活動工作人員</c:v>
                </c:pt>
                <c:pt idx="5">
                  <c:v>行政人員</c:v>
                </c:pt>
              </c:strCache>
            </c:strRef>
          </c:cat>
          <c:val>
            <c:numRef>
              <c:f>專案參數!$C$18:$H$18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專案參數!$B$19</c:f>
              <c:strCache>
                <c:ptCount val="1"/>
                <c:pt idx="0">
                  <c:v>實際時數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專案參數!$C$15:$H$15</c:f>
              <c:strCache>
                <c:ptCount val="6"/>
                <c:pt idx="0">
                  <c:v>客戶經理</c:v>
                </c:pt>
                <c:pt idx="1">
                  <c:v>專案經理</c:v>
                </c:pt>
                <c:pt idx="2">
                  <c:v>策略經理</c:v>
                </c:pt>
                <c:pt idx="3">
                  <c:v>設計專家</c:v>
                </c:pt>
                <c:pt idx="4">
                  <c:v>活動工作人員</c:v>
                </c:pt>
                <c:pt idx="5">
                  <c:v>行政人員</c:v>
                </c:pt>
              </c:strCache>
            </c:strRef>
          </c:cat>
          <c:val>
            <c:numRef>
              <c:f>專案參數!$C$19:$H$19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180974</xdr:rowOff>
    </xdr:from>
    <xdr:to>
      <xdr:col>4</xdr:col>
      <xdr:colOff>123825</xdr:colOff>
      <xdr:row>40</xdr:row>
      <xdr:rowOff>171450</xdr:rowOff>
    </xdr:to>
    <xdr:graphicFrame macro="">
      <xdr:nvGraphicFramePr>
        <xdr:cNvPr id="7" name="圖表 6" descr="顯示規劃成本與實際成本的直條圖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381000</xdr:colOff>
      <xdr:row>12</xdr:row>
      <xdr:rowOff>180974</xdr:rowOff>
    </xdr:from>
    <xdr:to>
      <xdr:col>9</xdr:col>
      <xdr:colOff>9525</xdr:colOff>
      <xdr:row>40</xdr:row>
      <xdr:rowOff>171450</xdr:rowOff>
    </xdr:to>
    <xdr:graphicFrame macro="">
      <xdr:nvGraphicFramePr>
        <xdr:cNvPr id="8" name="圖表 7" descr="顯示規劃時數與實際時數的直條圖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285750</xdr:colOff>
      <xdr:row>20</xdr:row>
      <xdr:rowOff>95250</xdr:rowOff>
    </xdr:to>
    <xdr:sp macro="" textlink="">
      <xdr:nvSpPr>
        <xdr:cNvPr id="2" name="矩形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25150" y="1076325"/>
          <a:ext cx="3028950" cy="3467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zh-tw" sz="18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資訊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若要新增列，請選取</a:t>
          </a:r>
          <a:r>
            <a:rPr lang="zh-tw" sz="11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表格內最右下方的儲存格 (不是總計列)、在您要插入列的位置按下 Tab 鍵或滑鼠右鍵，然後選取 [插入] | [上方表格列]/[下方表格列]。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請務必刪除所有未使用的列，因為「專案總計」會使用所有表格儲存格，如果未刪除將會產生錯誤結果。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若要刪除此資訊提示，請選取任何邊緣，然後按 [刪除]。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285750</xdr:colOff>
      <xdr:row>17</xdr:row>
      <xdr:rowOff>76200</xdr:rowOff>
    </xdr:to>
    <xdr:sp macro="" textlink="">
      <xdr:nvSpPr>
        <xdr:cNvPr id="2" name="矩形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20550" y="1076325"/>
          <a:ext cx="3028950" cy="2743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zh-tw" sz="18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資訊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此樞紐分析表不會自動重新整理。若要重新整理，請選取</a:t>
          </a:r>
          <a:r>
            <a:rPr lang="zh-tw" sz="11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它 (樞紐分析表內的任何儲存格)、在[ 樞紐分析表工具] |[分析] 功能區索引標籤上按 [重新整理]。或以滑鼠右鍵按一下樞紐分析表中的任何儲存格，然後選取 [重新整理]。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若要刪除此資訊提示，請選取任何邊緣，然後按 [刪除]。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5.588513657407" createdVersion="5" refreshedVersion="6" minRefreshableVersion="3" recordCount="5" xr:uid="{00000000-000A-0000-FFFF-FFFF00000000}">
  <cacheSource type="worksheet">
    <worksheetSource name="專案詳細資料"/>
  </cacheSource>
  <cacheFields count="22">
    <cacheField name="專案名稱" numFmtId="0">
      <sharedItems count="5">
        <s v="專案 1"/>
        <s v="專案 2"/>
        <s v="專案 3"/>
        <s v="專案 4"/>
        <s v="專案 5"/>
      </sharedItems>
    </cacheField>
    <cacheField name="專案類型" numFmtId="0">
      <sharedItems/>
    </cacheField>
    <cacheField name="預估開始時間" numFmtId="14">
      <sharedItems containsSemiMixedTypes="0" containsNonDate="0" containsDate="1" containsString="0" minDate="2019-06-09T00:00:00" maxDate="2023-08-12T00:00:00"/>
    </cacheField>
    <cacheField name="預估結束時間" numFmtId="14">
      <sharedItems containsSemiMixedTypes="0" containsNonDate="0" containsDate="1" containsString="0" minDate="2019-08-07T00:00:00" maxDate="2023-08-22T00:00:00"/>
    </cacheField>
    <cacheField name="實際開始時間" numFmtId="14">
      <sharedItems containsSemiMixedTypes="0" containsNonDate="0" containsDate="1" containsString="0" minDate="2019-06-29T00:00:00" maxDate="2025-08-08T00:00:00"/>
    </cacheField>
    <cacheField name="實際結束時間" numFmtId="14">
      <sharedItems containsSemiMixedTypes="0" containsNonDate="0" containsDate="1" containsString="0" minDate="2019-09-03T00:00:00" maxDate="2025-10-11T00:00:00"/>
    </cacheField>
    <cacheField name="預估工時" numFmtId="0">
      <sharedItems containsSemiMixedTypes="0" containsString="0" containsNumber="1" containsInteger="1" minValue="150" maxValue="500"/>
    </cacheField>
    <cacheField name="實際工時" numFmtId="0">
      <sharedItems containsSemiMixedTypes="0" containsString="0" containsNumber="1" containsInteger="1" minValue="145" maxValue="500"/>
    </cacheField>
    <cacheField name="預估工期" numFmtId="0">
      <sharedItems containsSemiMixedTypes="0" containsString="0" containsNumber="1" containsInteger="1" minValue="10" maxValue="67"/>
    </cacheField>
    <cacheField name="實際工期" numFmtId="0">
      <sharedItems containsSemiMixedTypes="0" containsString="0" containsNumber="1" containsInteger="1" minValue="11" maxValue="400"/>
    </cacheField>
    <cacheField name="客戶經理" numFmtId="182">
      <sharedItems containsSemiMixedTypes="0" containsString="0" containsNumber="1" containsInteger="1" minValue="5400" maxValue="18000"/>
    </cacheField>
    <cacheField name="專案經理" numFmtId="182">
      <sharedItems containsSemiMixedTypes="0" containsString="0" containsNumber="1" containsInteger="1" minValue="2400" maxValue="24000"/>
    </cacheField>
    <cacheField name="策略經理" numFmtId="182">
      <sharedItems containsSemiMixedTypes="0" containsString="0" containsNumber="1" containsInteger="1" minValue="0" maxValue="18000"/>
    </cacheField>
    <cacheField name="設計專家" numFmtId="182">
      <sharedItems containsSemiMixedTypes="0" containsString="0" containsNumber="1" containsInteger="1" minValue="0" maxValue="25000"/>
    </cacheField>
    <cacheField name="活動工作人員" numFmtId="182">
      <sharedItems containsSemiMixedTypes="0" containsString="0" containsNumber="1" containsInteger="1" minValue="0" maxValue="12000"/>
    </cacheField>
    <cacheField name="行政人員" numFmtId="182">
      <sharedItems containsSemiMixedTypes="0" containsString="0" containsNumber="1" containsInteger="1" minValue="900" maxValue="3000"/>
    </cacheField>
    <cacheField name="客戶經理 " numFmtId="182">
      <sharedItems containsSemiMixedTypes="0" containsString="0" containsNumber="1" containsInteger="1" minValue="5220" maxValue="18000"/>
    </cacheField>
    <cacheField name="專案經理 " numFmtId="182">
      <sharedItems containsSemiMixedTypes="0" containsString="0" containsNumber="1" containsInteger="1" minValue="2640" maxValue="23400"/>
    </cacheField>
    <cacheField name="策略經理 " numFmtId="182">
      <sharedItems containsSemiMixedTypes="0" containsString="0" containsNumber="1" containsInteger="1" minValue="0" maxValue="19800"/>
    </cacheField>
    <cacheField name="設計專家 " numFmtId="182">
      <sharedItems containsSemiMixedTypes="0" containsString="0" containsNumber="1" containsInteger="1" minValue="0" maxValue="25000"/>
    </cacheField>
    <cacheField name="活動工作人員 " numFmtId="182">
      <sharedItems containsSemiMixedTypes="0" containsString="0" containsNumber="1" containsInteger="1" minValue="0" maxValue="12240"/>
    </cacheField>
    <cacheField name="行政人員 " numFmtId="182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活動策略發展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活動規劃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活動設計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活動邏輯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活動工作人員規劃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總計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82" outline="0" showAll="0"/>
    <pivotField dataField="1" compact="0" numFmtId="182" outline="0" showAll="0"/>
    <pivotField dataField="1" compact="0" numFmtId="182" outline="0" showAll="0"/>
    <pivotField dataField="1" compact="0" numFmtId="182" outline="0" showAll="0"/>
    <pivotField dataField="1" compact="0" numFmtId="182" outline="0" showAll="0"/>
    <pivotField dataField="1" compact="0" numFmtId="182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客戶經理預估值" fld="10" baseField="0" baseItem="1" numFmtId="183"/>
    <dataField name="專案經理預估值" fld="11" baseField="0" baseItem="3" numFmtId="183"/>
    <dataField name="策略經理預估值" fld="12" baseField="0" baseItem="1" numFmtId="183"/>
    <dataField name="設計專家預估值" fld="13" baseField="0" baseItem="1" numFmtId="183"/>
    <dataField name="事件工作人員預測值" fld="14" baseField="0" baseItem="2" numFmtId="183"/>
    <dataField name="行政人員預測值" fld="15" baseField="0" baseItem="3" numFmtId="183"/>
    <dataField name="客戶經理實際值" fld="16" baseField="0" baseItem="0" numFmtId="183"/>
    <dataField name="專案經理實際值" fld="17" baseField="0" baseItem="0" numFmtId="183"/>
    <dataField name="策略經理實際值" fld="18" baseField="0" baseItem="0" numFmtId="183"/>
    <dataField name="設計專家實際值" fld="19" baseField="0" baseItem="0" numFmtId="183"/>
    <dataField name="活動工作人員實際值" fld="20" baseField="0" baseItem="0" numFmtId="183"/>
    <dataField name="行政人員實際值" fld="21" baseField="0" baseItem="0" numFmtId="183"/>
  </dataFields>
  <formats count="55">
    <format dxfId="140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07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1406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405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1404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1403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1402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1401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1400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1399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1398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1397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1396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1395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1394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1393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1392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1391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1390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1389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1388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1387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1386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1385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1384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1383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1382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1381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1380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1379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1378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1377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1376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1375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1374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1373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1372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1350">
      <pivotArea type="all" dataOnly="0" outline="0" fieldPosition="0"/>
    </format>
    <format dxfId="1349">
      <pivotArea outline="0" collapsedLevelsAreSubtotals="1" fieldPosition="0"/>
    </format>
    <format dxfId="1348">
      <pivotArea field="0" type="button" dataOnly="0" labelOnly="1" outline="0" axis="axisRow" fieldPosition="0"/>
    </format>
    <format dxfId="1347">
      <pivotArea dataOnly="0" labelOnly="1" outline="0" fieldPosition="0">
        <references count="1">
          <reference field="0" count="0"/>
        </references>
      </pivotArea>
    </format>
    <format dxfId="1346">
      <pivotArea dataOnly="0" labelOnly="1" grandRow="1" outline="0" fieldPosition="0"/>
    </format>
    <format dxfId="134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68">
      <pivotArea outline="0" fieldPosition="0">
        <references count="1">
          <reference field="4294967294" count="1">
            <x v="0"/>
          </reference>
        </references>
      </pivotArea>
    </format>
    <format dxfId="917">
      <pivotArea outline="0" fieldPosition="0">
        <references count="1">
          <reference field="4294967294" count="1">
            <x v="1"/>
          </reference>
        </references>
      </pivotArea>
    </format>
    <format dxfId="866">
      <pivotArea outline="0" fieldPosition="0">
        <references count="1">
          <reference field="4294967294" count="1">
            <x v="2"/>
          </reference>
        </references>
      </pivotArea>
    </format>
    <format dxfId="815">
      <pivotArea outline="0" fieldPosition="0">
        <references count="1">
          <reference field="4294967294" count="1">
            <x v="3"/>
          </reference>
        </references>
      </pivotArea>
    </format>
    <format dxfId="764">
      <pivotArea outline="0" fieldPosition="0">
        <references count="1">
          <reference field="4294967294" count="1">
            <x v="4"/>
          </reference>
        </references>
      </pivotArea>
    </format>
    <format dxfId="713">
      <pivotArea outline="0" fieldPosition="0">
        <references count="1">
          <reference field="4294967294" count="1">
            <x v="5"/>
          </reference>
        </references>
      </pivotArea>
    </format>
    <format dxfId="662">
      <pivotArea outline="0" fieldPosition="0">
        <references count="1">
          <reference field="4294967294" count="1">
            <x v="6"/>
          </reference>
        </references>
      </pivotArea>
    </format>
    <format dxfId="611">
      <pivotArea outline="0" fieldPosition="0">
        <references count="1">
          <reference field="4294967294" count="1">
            <x v="7"/>
          </reference>
        </references>
      </pivotArea>
    </format>
    <format dxfId="559">
      <pivotArea outline="0" fieldPosition="0">
        <references count="1">
          <reference field="4294967294" count="1">
            <x v="8"/>
          </reference>
        </references>
      </pivotArea>
    </format>
    <format dxfId="506">
      <pivotArea outline="0" fieldPosition="0">
        <references count="1">
          <reference field="4294967294" count="1">
            <x v="9"/>
          </reference>
        </references>
      </pivotArea>
    </format>
    <format dxfId="452">
      <pivotArea outline="0" fieldPosition="0">
        <references count="1">
          <reference field="4294967294" count="1">
            <x v="10"/>
          </reference>
        </references>
      </pivotArea>
    </format>
    <format dxfId="397">
      <pivotArea outline="0" fieldPosition="0">
        <references count="1">
          <reference field="4294967294" count="1"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此樞紐分析表會列出 [專案參數] 工作表上所有項目的專案名稱和計算值，透過將 [專案詳細資料] 工作表上的時數相乘來計算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參數" displayName="參數" ref="B5:I11" headerRowDxfId="1370" dataDxfId="1369" totalsRowDxfId="1368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專案類型" totalsRowLabel="合計" dataDxfId="1371" totalsRowDxfId="1360"/>
    <tableColumn id="2" xr3:uid="{00000000-0010-0000-0000-000002000000}" name="客戶經理" dataDxfId="1344" totalsRowDxfId="1361"/>
    <tableColumn id="3" xr3:uid="{00000000-0010-0000-0000-000003000000}" name="專案經理" dataDxfId="1343" totalsRowDxfId="1362"/>
    <tableColumn id="4" xr3:uid="{00000000-0010-0000-0000-000004000000}" name="策略經理" dataDxfId="1342" totalsRowDxfId="1363"/>
    <tableColumn id="5" xr3:uid="{00000000-0010-0000-0000-000005000000}" name="設計專家" dataDxfId="1341" totalsRowDxfId="1364"/>
    <tableColumn id="6" xr3:uid="{00000000-0010-0000-0000-000006000000}" name="活動工作人員" dataDxfId="1340" totalsRowDxfId="1365"/>
    <tableColumn id="7" xr3:uid="{00000000-0010-0000-0000-000007000000}" name="行政人員" dataDxfId="1339" totalsRowDxfId="1366"/>
    <tableColumn id="8" xr3:uid="{00000000-0010-0000-0000-000008000000}" name="總計" totalsRowFunction="sum" dataDxfId="1338" totalsRowDxfId="1367">
      <calculatedColumnFormula>SUM(參數[[#This Row],[客戶經理]:[行政人員]])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輸入專案類型，以及客戶經理、專案經理、策略經理、設計專家、活動人員和管理人員的百分比。系統會自動計算總計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專案詳細資料" displayName="專案詳細資料" ref="B4:W10" totalsRowCount="1" headerRowDxfId="1353" dataDxfId="1351" totalsRowDxfId="1352">
  <tableColumns count="22">
    <tableColumn id="1" xr3:uid="{00000000-0010-0000-0100-000001000000}" name="專案名稱" totalsRowLabel="合計" dataDxfId="1359" totalsRowDxfId="1337"/>
    <tableColumn id="2" xr3:uid="{00000000-0010-0000-0100-000002000000}" name="專案類型" dataDxfId="1358" totalsRowDxfId="1336"/>
    <tableColumn id="3" xr3:uid="{00000000-0010-0000-0100-000003000000}" name="預估開始時間" dataDxfId="1315" totalsRowDxfId="1335"/>
    <tableColumn id="4" xr3:uid="{00000000-0010-0000-0100-000004000000}" name="預估結束時間" dataDxfId="1314" totalsRowDxfId="1334"/>
    <tableColumn id="7" xr3:uid="{00000000-0010-0000-0100-000007000000}" name="實際開始時間" dataDxfId="1313" totalsRowDxfId="1333"/>
    <tableColumn id="8" xr3:uid="{00000000-0010-0000-0100-000008000000}" name="實際結束時間" dataDxfId="1312" totalsRowDxfId="1332"/>
    <tableColumn id="5" xr3:uid="{00000000-0010-0000-0100-000005000000}" name="預估工時" totalsRowFunction="sum" dataDxfId="1357" totalsRowDxfId="1331"/>
    <tableColumn id="9" xr3:uid="{00000000-0010-0000-0100-000009000000}" name="實際工時" totalsRowFunction="sum" dataDxfId="1356" totalsRowDxfId="1330"/>
    <tableColumn id="6" xr3:uid="{00000000-0010-0000-0100-000006000000}" name="預估工期" totalsRowFunction="sum" dataDxfId="1355" totalsRowDxfId="1329">
      <calculatedColumnFormula>DAYS360(專案詳細資料[[#This Row],[預估開始時間]],專案詳細資料[[#This Row],[預估結束時間]],FALSE)</calculatedColumnFormula>
    </tableColumn>
    <tableColumn id="10" xr3:uid="{00000000-0010-0000-0100-00000A000000}" name="實際工期" totalsRowFunction="sum" dataDxfId="1354" totalsRowDxfId="1328">
      <calculatedColumnFormula>DAYS360(專案詳細資料[[#This Row],[實際開始時間]],專案詳細資料[[#This Row],[實際結束時間]],FALSE)</calculatedColumnFormula>
    </tableColumn>
    <tableColumn id="11" xr3:uid="{00000000-0010-0000-0100-00000B000000}" name="客戶經理" dataDxfId="11" totalsRowDxfId="1327">
      <calculatedColumnFormula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Row],[預估工時]]</calculatedColumnFormula>
    </tableColumn>
    <tableColumn id="12" xr3:uid="{00000000-0010-0000-0100-00000C000000}" name="專案經理" dataDxfId="10" totalsRowDxfId="1326">
      <calculatedColumnFormula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Row],[預估工時]]</calculatedColumnFormula>
    </tableColumn>
    <tableColumn id="13" xr3:uid="{00000000-0010-0000-0100-00000D000000}" name="策略經理" dataDxfId="9" totalsRowDxfId="1325">
      <calculatedColumnFormula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Row],[預估工時]]</calculatedColumnFormula>
    </tableColumn>
    <tableColumn id="14" xr3:uid="{00000000-0010-0000-0100-00000E000000}" name="設計專家" dataDxfId="8" totalsRowDxfId="1324">
      <calculatedColumnFormula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Row],[預估工時]]</calculatedColumnFormula>
    </tableColumn>
    <tableColumn id="15" xr3:uid="{00000000-0010-0000-0100-00000F000000}" name="活動工作人員" dataDxfId="7" totalsRowDxfId="1323">
      <calculatedColumnFormula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Row],[預估工時]]</calculatedColumnFormula>
    </tableColumn>
    <tableColumn id="16" xr3:uid="{00000000-0010-0000-0100-000010000000}" name="行政人員" dataDxfId="6" totalsRowDxfId="1322">
      <calculatedColumnFormula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Row],[預估工時]]</calculatedColumnFormula>
    </tableColumn>
    <tableColumn id="17" xr3:uid="{00000000-0010-0000-0100-000011000000}" name="客戶經理 " dataDxfId="5" totalsRowDxfId="1321">
      <calculatedColumnFormula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Row],[實際工時]]</calculatedColumnFormula>
    </tableColumn>
    <tableColumn id="18" xr3:uid="{00000000-0010-0000-0100-000012000000}" name="專案經理 " dataDxfId="4" totalsRowDxfId="1320">
      <calculatedColumnFormula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Row],[實際工時]]</calculatedColumnFormula>
    </tableColumn>
    <tableColumn id="19" xr3:uid="{00000000-0010-0000-0100-000013000000}" name="策略經理 " dataDxfId="3" totalsRowDxfId="1319">
      <calculatedColumnFormula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Row],[實際工時]]</calculatedColumnFormula>
    </tableColumn>
    <tableColumn id="20" xr3:uid="{00000000-0010-0000-0100-000014000000}" name="設計專家 " dataDxfId="2" totalsRowDxfId="1318">
      <calculatedColumnFormula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Row],[實際工時]]</calculatedColumnFormula>
    </tableColumn>
    <tableColumn id="21" xr3:uid="{00000000-0010-0000-0100-000015000000}" name="活動工作人員 " dataDxfId="1" totalsRowDxfId="1317">
      <calculatedColumnFormula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Row],[實際工時]]</calculatedColumnFormula>
    </tableColumn>
    <tableColumn id="22" xr3:uid="{00000000-0010-0000-0100-000016000000}" name="行政人員 " dataDxfId="0" totalsRowDxfId="1316">
      <calculatedColumnFormula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Row],[實際工時]]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輸入專案名稱、預估開始及完成時間、實際開始及完成日期、預估與實際工時，並選取專案類型，系統就會自動計算預估與實際工期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  <pageSetUpPr fitToPage="1"/>
  </sheetPr>
  <dimension ref="B1:B7"/>
  <sheetViews>
    <sheetView showGridLines="0" tabSelected="1" workbookViewId="0"/>
  </sheetViews>
  <sheetFormatPr defaultRowHeight="13.5" x14ac:dyDescent="0.25"/>
  <cols>
    <col min="1" max="1" width="2.375" style="2" customWidth="1"/>
    <col min="2" max="2" width="82.125" style="2" customWidth="1"/>
    <col min="3" max="3" width="2.625" style="2" customWidth="1"/>
    <col min="4" max="16384" width="9" style="2"/>
  </cols>
  <sheetData>
    <row r="1" spans="2:2" ht="20.25" x14ac:dyDescent="0.3">
      <c r="B1" s="1" t="s">
        <v>0</v>
      </c>
    </row>
    <row r="2" spans="2:2" ht="24.95" customHeight="1" x14ac:dyDescent="0.25">
      <c r="B2" s="3" t="s">
        <v>1</v>
      </c>
    </row>
    <row r="3" spans="2:2" ht="39.950000000000003" customHeight="1" x14ac:dyDescent="0.25">
      <c r="B3" s="3" t="s">
        <v>2</v>
      </c>
    </row>
    <row r="4" spans="2:2" ht="24.95" customHeight="1" x14ac:dyDescent="0.25">
      <c r="B4" s="3" t="s">
        <v>3</v>
      </c>
    </row>
    <row r="5" spans="2:2" ht="26.25" customHeight="1" x14ac:dyDescent="0.25">
      <c r="B5" s="4" t="s">
        <v>4</v>
      </c>
    </row>
    <row r="6" spans="2:2" ht="39.950000000000003" customHeight="1" x14ac:dyDescent="0.25">
      <c r="B6" s="5" t="s">
        <v>5</v>
      </c>
    </row>
    <row r="7" spans="2:2" ht="39.950000000000003" customHeight="1" x14ac:dyDescent="0.25">
      <c r="B7" s="5" t="s">
        <v>6</v>
      </c>
    </row>
  </sheetData>
  <phoneticPr fontId="21" type="noConversion"/>
  <printOptions horizontalCentered="1"/>
  <pageMargins left="0.4" right="0.4" top="0.4" bottom="0.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workbookViewId="0"/>
  </sheetViews>
  <sheetFormatPr defaultColWidth="9" defaultRowHeight="15" x14ac:dyDescent="0.25"/>
  <cols>
    <col min="1" max="1" width="1.625" style="6" customWidth="1"/>
    <col min="2" max="2" width="22" style="8" customWidth="1"/>
    <col min="3" max="3" width="21.375" style="8" customWidth="1"/>
    <col min="4" max="4" width="20.75" style="8" customWidth="1"/>
    <col min="5" max="5" width="18.25" style="8" customWidth="1"/>
    <col min="6" max="6" width="14.75" style="8" customWidth="1"/>
    <col min="7" max="7" width="14.5" style="8" customWidth="1"/>
    <col min="8" max="8" width="15.375" style="8" customWidth="1"/>
    <col min="9" max="9" width="7.75" style="8" customWidth="1"/>
    <col min="10" max="10" width="2.625" style="8" customWidth="1"/>
    <col min="11" max="16384" width="9" style="8"/>
  </cols>
  <sheetData>
    <row r="1" spans="1:9" ht="35.450000000000003" customHeight="1" x14ac:dyDescent="0.45">
      <c r="A1" s="6" t="s">
        <v>7</v>
      </c>
      <c r="B1" s="7" t="s">
        <v>14</v>
      </c>
      <c r="C1" s="7"/>
      <c r="D1" s="7"/>
      <c r="E1" s="7"/>
      <c r="F1" s="7"/>
      <c r="G1" s="7"/>
      <c r="H1" s="7"/>
      <c r="I1" s="7"/>
    </row>
    <row r="2" spans="1:9" ht="20.25" x14ac:dyDescent="0.3">
      <c r="A2" s="6" t="s">
        <v>8</v>
      </c>
      <c r="B2" s="9" t="s">
        <v>15</v>
      </c>
      <c r="C2" s="9"/>
      <c r="D2" s="9"/>
      <c r="E2" s="9"/>
      <c r="F2" s="9"/>
      <c r="G2" s="9"/>
      <c r="H2" s="9"/>
      <c r="I2" s="9"/>
    </row>
    <row r="3" spans="1:9" ht="15.75" x14ac:dyDescent="0.25">
      <c r="A3" s="6" t="s">
        <v>9</v>
      </c>
      <c r="B3" s="10" t="str">
        <f>B1&amp;"機密"</f>
        <v>公司名稱機密</v>
      </c>
      <c r="C3" s="10"/>
      <c r="D3" s="10"/>
      <c r="E3" s="10"/>
      <c r="F3" s="10"/>
      <c r="G3" s="10"/>
      <c r="H3" s="10"/>
      <c r="I3" s="10"/>
    </row>
    <row r="4" spans="1:9" ht="28.5" customHeight="1" x14ac:dyDescent="0.25">
      <c r="A4" s="6" t="s">
        <v>10</v>
      </c>
      <c r="B4" s="11" t="s">
        <v>16</v>
      </c>
    </row>
    <row r="5" spans="1:9" x14ac:dyDescent="0.25">
      <c r="A5" s="6" t="s">
        <v>11</v>
      </c>
      <c r="B5" s="12" t="s">
        <v>17</v>
      </c>
      <c r="C5" s="12" t="s">
        <v>30</v>
      </c>
      <c r="D5" s="12" t="s">
        <v>31</v>
      </c>
      <c r="E5" s="12" t="s">
        <v>32</v>
      </c>
      <c r="F5" s="12" t="s">
        <v>33</v>
      </c>
      <c r="G5" s="12" t="s">
        <v>35</v>
      </c>
      <c r="H5" s="12" t="s">
        <v>36</v>
      </c>
      <c r="I5" s="12" t="s">
        <v>37</v>
      </c>
    </row>
    <row r="6" spans="1:9" x14ac:dyDescent="0.25">
      <c r="B6" s="8" t="s">
        <v>18</v>
      </c>
      <c r="C6" s="13">
        <v>0.2</v>
      </c>
      <c r="D6" s="13">
        <v>0.1</v>
      </c>
      <c r="E6" s="13">
        <v>0.6</v>
      </c>
      <c r="F6" s="13">
        <v>0</v>
      </c>
      <c r="G6" s="13">
        <v>0</v>
      </c>
      <c r="H6" s="13">
        <v>0.1</v>
      </c>
      <c r="I6" s="14">
        <f>SUM(參數[[#This Row],[客戶經理]:[行政人員]])</f>
        <v>1</v>
      </c>
    </row>
    <row r="7" spans="1:9" x14ac:dyDescent="0.25">
      <c r="B7" s="8" t="s">
        <v>19</v>
      </c>
      <c r="C7" s="13">
        <v>0.2</v>
      </c>
      <c r="D7" s="13">
        <v>0.5</v>
      </c>
      <c r="E7" s="13">
        <v>0.1</v>
      </c>
      <c r="F7" s="13">
        <v>0.1</v>
      </c>
      <c r="G7" s="13">
        <v>0</v>
      </c>
      <c r="H7" s="13">
        <v>0.1</v>
      </c>
      <c r="I7" s="14">
        <f>SUM(參數[[#This Row],[客戶經理]:[行政人員]])</f>
        <v>0.99999999999999989</v>
      </c>
    </row>
    <row r="8" spans="1:9" x14ac:dyDescent="0.25">
      <c r="B8" s="8" t="s">
        <v>20</v>
      </c>
      <c r="C8" s="13">
        <v>0.2</v>
      </c>
      <c r="D8" s="13">
        <v>0.2</v>
      </c>
      <c r="E8" s="13">
        <v>0</v>
      </c>
      <c r="F8" s="13">
        <v>0.5</v>
      </c>
      <c r="G8" s="13">
        <v>0</v>
      </c>
      <c r="H8" s="13">
        <v>0.1</v>
      </c>
      <c r="I8" s="14">
        <f>SUM(參數[[#This Row],[客戶經理]:[行政人員]])</f>
        <v>1</v>
      </c>
    </row>
    <row r="9" spans="1:9" x14ac:dyDescent="0.25">
      <c r="B9" s="8" t="s">
        <v>21</v>
      </c>
      <c r="C9" s="13">
        <v>0.2</v>
      </c>
      <c r="D9" s="13">
        <v>0.6</v>
      </c>
      <c r="E9" s="13">
        <v>0</v>
      </c>
      <c r="F9" s="13">
        <v>0</v>
      </c>
      <c r="G9" s="13">
        <v>0.1</v>
      </c>
      <c r="H9" s="13">
        <v>0.1</v>
      </c>
      <c r="I9" s="14">
        <f>SUM(參數[[#This Row],[客戶經理]:[行政人員]])</f>
        <v>1</v>
      </c>
    </row>
    <row r="10" spans="1:9" x14ac:dyDescent="0.25">
      <c r="B10" s="8" t="s">
        <v>22</v>
      </c>
      <c r="C10" s="13">
        <v>0.2</v>
      </c>
      <c r="D10" s="13">
        <v>0.1</v>
      </c>
      <c r="E10" s="13">
        <v>0</v>
      </c>
      <c r="F10" s="13">
        <v>0</v>
      </c>
      <c r="G10" s="13">
        <v>0.6</v>
      </c>
      <c r="H10" s="13">
        <v>0.1</v>
      </c>
      <c r="I10" s="14">
        <f>SUM(參數[[#This Row],[客戶經理]:[行政人員]])</f>
        <v>1</v>
      </c>
    </row>
    <row r="11" spans="1:9" x14ac:dyDescent="0.25">
      <c r="B11" s="8" t="s">
        <v>23</v>
      </c>
      <c r="C11" s="13">
        <v>0.2</v>
      </c>
      <c r="D11" s="13">
        <v>0.2</v>
      </c>
      <c r="E11" s="13">
        <v>0.2</v>
      </c>
      <c r="F11" s="13">
        <v>0.2</v>
      </c>
      <c r="G11" s="13">
        <v>0</v>
      </c>
      <c r="H11" s="13">
        <v>0.2</v>
      </c>
      <c r="I11" s="14">
        <f>SUM(參數[[#This Row],[客戶經理]:[行政人員]])</f>
        <v>1</v>
      </c>
    </row>
    <row r="12" spans="1:9" x14ac:dyDescent="0.25">
      <c r="A12" s="6" t="s">
        <v>12</v>
      </c>
      <c r="B12" s="8" t="s">
        <v>24</v>
      </c>
      <c r="C12" s="15">
        <v>180</v>
      </c>
      <c r="D12" s="15">
        <v>120</v>
      </c>
      <c r="E12" s="15">
        <v>150</v>
      </c>
      <c r="F12" s="15">
        <v>100</v>
      </c>
      <c r="G12" s="15">
        <v>80</v>
      </c>
      <c r="H12" s="15">
        <v>60</v>
      </c>
      <c r="I12" s="13"/>
    </row>
    <row r="14" spans="1:9" x14ac:dyDescent="0.25">
      <c r="A14" s="6" t="s">
        <v>13</v>
      </c>
      <c r="F14" s="8" t="s">
        <v>34</v>
      </c>
    </row>
    <row r="15" spans="1:9" x14ac:dyDescent="0.25">
      <c r="B15" s="6"/>
      <c r="C15" s="6" t="s">
        <v>30</v>
      </c>
      <c r="D15" s="6" t="s">
        <v>31</v>
      </c>
      <c r="E15" s="6" t="s">
        <v>32</v>
      </c>
      <c r="F15" s="6" t="s">
        <v>33</v>
      </c>
      <c r="G15" s="6" t="s">
        <v>35</v>
      </c>
      <c r="H15" s="6" t="s">
        <v>36</v>
      </c>
    </row>
    <row r="16" spans="1:9" x14ac:dyDescent="0.25">
      <c r="B16" s="6" t="s">
        <v>25</v>
      </c>
      <c r="C16" s="16">
        <f>SUBTOTAL(109,專案詳細資料[客戶經理])</f>
        <v>54000</v>
      </c>
      <c r="D16" s="16">
        <f>SUBTOTAL(109,專案詳細資料[專案經理])</f>
        <v>52200</v>
      </c>
      <c r="E16" s="16">
        <f>SUBTOTAL(109,專案詳細資料[策略經理])</f>
        <v>24000</v>
      </c>
      <c r="F16" s="16">
        <f>SUBTOTAL(109,專案詳細資料[設計專家])</f>
        <v>29000</v>
      </c>
      <c r="G16" s="16">
        <f>SUBTOTAL(109,專案詳細資料[活動工作人員])</f>
        <v>13200</v>
      </c>
      <c r="H16" s="16">
        <f>SUBTOTAL(109,專案詳細資料[行政人員])</f>
        <v>9000</v>
      </c>
    </row>
    <row r="17" spans="2:9" x14ac:dyDescent="0.25">
      <c r="B17" s="6" t="s">
        <v>26</v>
      </c>
      <c r="C17" s="16">
        <f>SUBTOTAL(109,專案詳細資料[[客戶經理 ]])</f>
        <v>54360</v>
      </c>
      <c r="D17" s="16">
        <f>SUBTOTAL(109,專案詳細資料[[專案經理 ]])</f>
        <v>51540</v>
      </c>
      <c r="E17" s="16">
        <f>SUBTOTAL(109,專案詳細資料[[策略經理 ]])</f>
        <v>25650</v>
      </c>
      <c r="F17" s="16">
        <f>SUBTOTAL(109,專案詳細資料[[設計專家 ]])</f>
        <v>28900</v>
      </c>
      <c r="G17" s="16">
        <f>SUBTOTAL(109,專案詳細資料[[活動工作人員 ]])</f>
        <v>13400</v>
      </c>
      <c r="H17" s="16">
        <f>SUBTOTAL(109,專案詳細資料[[行政人員 ]])</f>
        <v>9060</v>
      </c>
    </row>
    <row r="18" spans="2:9" x14ac:dyDescent="0.25">
      <c r="B18" s="6" t="s">
        <v>27</v>
      </c>
      <c r="C18" s="17">
        <f>C16/$C$12</f>
        <v>300</v>
      </c>
      <c r="D18" s="17">
        <f t="shared" ref="D18:H18" si="0">D16/$C$12</f>
        <v>290</v>
      </c>
      <c r="E18" s="17">
        <f t="shared" si="0"/>
        <v>133.33333333333334</v>
      </c>
      <c r="F18" s="17">
        <f t="shared" si="0"/>
        <v>161.11111111111111</v>
      </c>
      <c r="G18" s="17">
        <f t="shared" si="0"/>
        <v>73.333333333333329</v>
      </c>
      <c r="H18" s="17">
        <f t="shared" si="0"/>
        <v>50</v>
      </c>
    </row>
    <row r="19" spans="2:9" x14ac:dyDescent="0.25">
      <c r="B19" s="6" t="s">
        <v>28</v>
      </c>
      <c r="C19" s="17">
        <f>C17/$C$12</f>
        <v>302</v>
      </c>
      <c r="D19" s="17">
        <f>D17/$C$12</f>
        <v>286.33333333333331</v>
      </c>
      <c r="E19" s="17">
        <f>E17/$C$12</f>
        <v>142.5</v>
      </c>
      <c r="F19" s="17">
        <f>F17/$C$12</f>
        <v>160.55555555555554</v>
      </c>
      <c r="G19" s="17">
        <f>G17/$C$12</f>
        <v>74.444444444444443</v>
      </c>
      <c r="H19" s="17">
        <f>H17/$C$12</f>
        <v>50.333333333333336</v>
      </c>
    </row>
    <row r="20" spans="2:9" x14ac:dyDescent="0.25">
      <c r="F20" s="6"/>
      <c r="G20" s="6"/>
      <c r="H20" s="6"/>
      <c r="I20" s="6"/>
    </row>
    <row r="21" spans="2:9" x14ac:dyDescent="0.25">
      <c r="F21" s="6"/>
      <c r="G21" s="6"/>
      <c r="H21" s="6"/>
      <c r="I21" s="6"/>
    </row>
    <row r="22" spans="2:9" x14ac:dyDescent="0.25">
      <c r="F22" s="6"/>
      <c r="G22" s="6"/>
      <c r="H22" s="6"/>
      <c r="I22" s="6"/>
    </row>
    <row r="23" spans="2:9" x14ac:dyDescent="0.25">
      <c r="F23" s="6"/>
      <c r="G23" s="6"/>
      <c r="H23" s="6"/>
      <c r="I23" s="6"/>
    </row>
    <row r="24" spans="2:9" x14ac:dyDescent="0.25">
      <c r="B24" s="18" t="s">
        <v>29</v>
      </c>
      <c r="C24" s="18"/>
      <c r="D24" s="18"/>
      <c r="F24" s="6"/>
      <c r="G24" s="6"/>
      <c r="H24" s="6"/>
      <c r="I24" s="6"/>
    </row>
    <row r="25" spans="2:9" x14ac:dyDescent="0.25">
      <c r="B25" s="18"/>
      <c r="C25" s="18"/>
      <c r="D25" s="18"/>
      <c r="F25" s="6"/>
      <c r="G25" s="6"/>
      <c r="H25" s="6"/>
      <c r="I25" s="6"/>
    </row>
    <row r="26" spans="2:9" x14ac:dyDescent="0.25">
      <c r="B26" s="18"/>
      <c r="C26" s="18"/>
      <c r="D26" s="18"/>
      <c r="F26" s="6"/>
      <c r="G26" s="6"/>
      <c r="H26" s="6"/>
      <c r="I26" s="6"/>
    </row>
    <row r="27" spans="2:9" x14ac:dyDescent="0.25">
      <c r="B27" s="18"/>
      <c r="C27" s="18"/>
      <c r="D27" s="18"/>
      <c r="F27" s="6"/>
      <c r="G27" s="6"/>
      <c r="H27" s="6"/>
      <c r="I27" s="6"/>
    </row>
    <row r="28" spans="2:9" x14ac:dyDescent="0.25">
      <c r="B28" s="18"/>
      <c r="C28" s="18"/>
      <c r="D28" s="18"/>
      <c r="F28" s="6"/>
      <c r="G28" s="6"/>
      <c r="H28" s="6"/>
      <c r="I28" s="6"/>
    </row>
    <row r="29" spans="2:9" x14ac:dyDescent="0.25">
      <c r="B29" s="18"/>
      <c r="C29" s="18"/>
      <c r="D29" s="18"/>
      <c r="F29" s="6"/>
      <c r="G29" s="6"/>
      <c r="H29" s="6"/>
      <c r="I29" s="6"/>
    </row>
    <row r="30" spans="2:9" x14ac:dyDescent="0.25">
      <c r="B30" s="18"/>
      <c r="C30" s="18"/>
      <c r="D30" s="18"/>
      <c r="F30" s="6"/>
      <c r="G30" s="6"/>
      <c r="H30" s="6"/>
      <c r="I30" s="6"/>
    </row>
    <row r="31" spans="2:9" x14ac:dyDescent="0.25">
      <c r="B31" s="18"/>
      <c r="C31" s="18"/>
      <c r="D31" s="18"/>
      <c r="F31" s="6"/>
      <c r="G31" s="6"/>
      <c r="H31" s="6"/>
      <c r="I31" s="6"/>
    </row>
    <row r="32" spans="2:9" x14ac:dyDescent="0.25">
      <c r="B32" s="18"/>
      <c r="C32" s="18"/>
      <c r="D32" s="18"/>
      <c r="F32" s="6"/>
      <c r="G32" s="6"/>
      <c r="H32" s="6"/>
      <c r="I32" s="6"/>
    </row>
    <row r="33" spans="2:9" x14ac:dyDescent="0.25">
      <c r="B33" s="18"/>
      <c r="C33" s="18"/>
      <c r="D33" s="18"/>
      <c r="F33" s="6"/>
      <c r="G33" s="6"/>
      <c r="H33" s="6"/>
      <c r="I33" s="6"/>
    </row>
    <row r="34" spans="2:9" x14ac:dyDescent="0.25">
      <c r="B34" s="18"/>
      <c r="C34" s="18"/>
      <c r="D34" s="18"/>
      <c r="F34" s="6"/>
      <c r="G34" s="6"/>
      <c r="H34" s="6"/>
      <c r="I34" s="6"/>
    </row>
    <row r="35" spans="2:9" x14ac:dyDescent="0.25">
      <c r="B35" s="18"/>
      <c r="C35" s="18"/>
      <c r="D35" s="18"/>
      <c r="F35" s="6"/>
      <c r="G35" s="6"/>
      <c r="H35" s="6"/>
      <c r="I35" s="6"/>
    </row>
    <row r="36" spans="2:9" x14ac:dyDescent="0.25">
      <c r="B36" s="18"/>
      <c r="C36" s="18"/>
      <c r="D36" s="18"/>
      <c r="F36" s="6"/>
      <c r="G36" s="6"/>
      <c r="H36" s="6"/>
      <c r="I36" s="6"/>
    </row>
    <row r="37" spans="2:9" x14ac:dyDescent="0.25">
      <c r="B37" s="18"/>
      <c r="C37" s="18"/>
      <c r="D37" s="18"/>
      <c r="F37" s="6"/>
      <c r="G37" s="6"/>
      <c r="H37" s="6"/>
      <c r="I37" s="6"/>
    </row>
    <row r="38" spans="2:9" x14ac:dyDescent="0.25">
      <c r="B38" s="18"/>
      <c r="C38" s="18"/>
      <c r="D38" s="18"/>
      <c r="F38" s="6"/>
      <c r="G38" s="6"/>
      <c r="H38" s="6"/>
      <c r="I38" s="6"/>
    </row>
    <row r="39" spans="2:9" x14ac:dyDescent="0.25">
      <c r="B39" s="18"/>
      <c r="C39" s="18"/>
      <c r="D39" s="18"/>
      <c r="F39" s="6"/>
      <c r="G39" s="6"/>
      <c r="H39" s="6"/>
      <c r="I39" s="6"/>
    </row>
    <row r="40" spans="2:9" x14ac:dyDescent="0.25">
      <c r="B40" s="18"/>
      <c r="C40" s="18"/>
      <c r="D40" s="18"/>
      <c r="F40" s="6"/>
      <c r="G40" s="6"/>
      <c r="H40" s="6"/>
      <c r="I40" s="6"/>
    </row>
    <row r="41" spans="2:9" x14ac:dyDescent="0.25">
      <c r="B41" s="18"/>
      <c r="C41" s="18"/>
      <c r="D41" s="18"/>
      <c r="F41" s="6"/>
      <c r="G41" s="6"/>
      <c r="H41" s="6"/>
      <c r="I41" s="6"/>
    </row>
    <row r="42" spans="2:9" x14ac:dyDescent="0.25">
      <c r="B42" s="18"/>
      <c r="C42" s="18"/>
      <c r="D42" s="18"/>
      <c r="F42" s="6"/>
      <c r="G42" s="6"/>
      <c r="H42" s="6"/>
      <c r="I42" s="6"/>
    </row>
    <row r="43" spans="2:9" x14ac:dyDescent="0.25">
      <c r="B43" s="18"/>
      <c r="C43" s="18"/>
      <c r="D43" s="18"/>
      <c r="F43" s="6"/>
      <c r="G43" s="6"/>
      <c r="H43" s="6"/>
      <c r="I43" s="6"/>
    </row>
  </sheetData>
  <mergeCells count="1">
    <mergeCell ref="B24:D43"/>
  </mergeCells>
  <phoneticPr fontId="21" type="noConversion"/>
  <printOptions horizontalCentered="1"/>
  <pageMargins left="0.4" right="0.4" top="0.4" bottom="0.4" header="0.3" footer="0.3"/>
  <pageSetup paperSize="9" orientation="landscape" horizontalDpi="4294967293" verticalDpi="4294967295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workbookViewId="0"/>
  </sheetViews>
  <sheetFormatPr defaultColWidth="9" defaultRowHeight="15" x14ac:dyDescent="0.25"/>
  <cols>
    <col min="1" max="1" width="1.625" style="6" customWidth="1"/>
    <col min="2" max="2" width="19" style="8" customWidth="1"/>
    <col min="3" max="3" width="19.375" style="8" customWidth="1"/>
    <col min="4" max="7" width="11.75" style="8" customWidth="1"/>
    <col min="8" max="8" width="11" style="8" customWidth="1"/>
    <col min="9" max="9" width="8" style="8" customWidth="1"/>
    <col min="10" max="10" width="11" style="8" customWidth="1"/>
    <col min="11" max="11" width="10.25" style="8" customWidth="1"/>
    <col min="12" max="23" width="11.5" style="8" hidden="1" customWidth="1"/>
    <col min="24" max="24" width="2.625" style="8" customWidth="1"/>
    <col min="25" max="16384" width="9" style="8"/>
  </cols>
  <sheetData>
    <row r="1" spans="1:23" ht="35.450000000000003" customHeight="1" x14ac:dyDescent="0.45">
      <c r="A1" s="6" t="s">
        <v>38</v>
      </c>
      <c r="B1" s="7" t="str">
        <f>專案參數!B1</f>
        <v>公司名稱</v>
      </c>
      <c r="C1" s="7"/>
      <c r="D1" s="7"/>
      <c r="E1" s="7"/>
      <c r="F1" s="7"/>
      <c r="G1" s="7"/>
      <c r="H1" s="7"/>
      <c r="I1" s="7"/>
      <c r="J1" s="7"/>
      <c r="K1" s="7"/>
    </row>
    <row r="2" spans="1:23" ht="20.25" x14ac:dyDescent="0.3">
      <c r="A2" s="6" t="s">
        <v>8</v>
      </c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</row>
    <row r="3" spans="1:23" s="21" customFormat="1" ht="29.25" customHeight="1" x14ac:dyDescent="0.25">
      <c r="A3" s="19" t="s">
        <v>9</v>
      </c>
      <c r="B3" s="20" t="str">
        <f>專案參數!B3</f>
        <v>公司名稱機密</v>
      </c>
      <c r="C3" s="20"/>
      <c r="D3" s="20"/>
      <c r="E3" s="20"/>
      <c r="F3" s="20"/>
      <c r="G3" s="20"/>
      <c r="H3" s="20"/>
      <c r="I3" s="20"/>
      <c r="J3" s="20"/>
      <c r="K3" s="20"/>
    </row>
    <row r="4" spans="1:23" ht="25.5" customHeight="1" x14ac:dyDescent="0.25">
      <c r="A4" s="22" t="s">
        <v>74</v>
      </c>
      <c r="B4" s="23" t="s">
        <v>39</v>
      </c>
      <c r="C4" s="23" t="s">
        <v>17</v>
      </c>
      <c r="D4" s="23" t="s">
        <v>45</v>
      </c>
      <c r="E4" s="23" t="s">
        <v>46</v>
      </c>
      <c r="F4" s="23" t="s">
        <v>47</v>
      </c>
      <c r="G4" s="23" t="s">
        <v>48</v>
      </c>
      <c r="H4" s="23" t="s">
        <v>49</v>
      </c>
      <c r="I4" s="23" t="s">
        <v>50</v>
      </c>
      <c r="J4" s="23" t="s">
        <v>51</v>
      </c>
      <c r="K4" s="23" t="s">
        <v>52</v>
      </c>
      <c r="L4" s="23" t="s">
        <v>30</v>
      </c>
      <c r="M4" s="23" t="s">
        <v>31</v>
      </c>
      <c r="N4" s="23" t="s">
        <v>32</v>
      </c>
      <c r="O4" s="23" t="s">
        <v>33</v>
      </c>
      <c r="P4" s="23" t="s">
        <v>35</v>
      </c>
      <c r="Q4" s="23" t="s">
        <v>36</v>
      </c>
      <c r="R4" s="23" t="s">
        <v>53</v>
      </c>
      <c r="S4" s="23" t="s">
        <v>54</v>
      </c>
      <c r="T4" s="23" t="s">
        <v>55</v>
      </c>
      <c r="U4" s="23" t="s">
        <v>56</v>
      </c>
      <c r="V4" s="23" t="s">
        <v>57</v>
      </c>
      <c r="W4" s="23" t="s">
        <v>58</v>
      </c>
    </row>
    <row r="5" spans="1:23" x14ac:dyDescent="0.25">
      <c r="B5" s="2" t="s">
        <v>40</v>
      </c>
      <c r="C5" s="2" t="s">
        <v>18</v>
      </c>
      <c r="D5" s="24">
        <f ca="1">DATE(YEAR(TODAY()),6,9)</f>
        <v>43625</v>
      </c>
      <c r="E5" s="24">
        <f ca="1">DATE(YEAR(TODAY()),8,7)</f>
        <v>43684</v>
      </c>
      <c r="F5" s="24">
        <f ca="1">DATE(YEAR(TODAY()),6,29)</f>
        <v>43645</v>
      </c>
      <c r="G5" s="24">
        <f ca="1">DATE(YEAR(TODAY()),9,3)</f>
        <v>43711</v>
      </c>
      <c r="H5" s="2">
        <v>200</v>
      </c>
      <c r="I5" s="2">
        <v>220</v>
      </c>
      <c r="J5" s="2">
        <f ca="1">DAYS360(專案詳細資料[[#This Row],[預估開始時間]],專案詳細資料[[#This Row],[預估結束時間]],FALSE)</f>
        <v>58</v>
      </c>
      <c r="K5" s="2">
        <f ca="1">DAYS360(專案詳細資料[[#This Row],[實際開始時間]],專案詳細資料[[#This Row],[實際結束時間]],FALSE)</f>
        <v>64</v>
      </c>
      <c r="L5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Row],[預估工時]]</f>
        <v>7200</v>
      </c>
      <c r="M5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Row],[預估工時]]</f>
        <v>2400</v>
      </c>
      <c r="N5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Row],[預估工時]]</f>
        <v>18000</v>
      </c>
      <c r="O5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Row],[預估工時]]</f>
        <v>0</v>
      </c>
      <c r="P5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Row],[預估工時]]</f>
        <v>0</v>
      </c>
      <c r="Q5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Row],[預估工時]]</f>
        <v>1200</v>
      </c>
      <c r="R5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Row],[實際工時]]</f>
        <v>7920</v>
      </c>
      <c r="S5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Row],[實際工時]]</f>
        <v>2640</v>
      </c>
      <c r="T5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Row],[實際工時]]</f>
        <v>19800</v>
      </c>
      <c r="U5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Row],[實際工時]]</f>
        <v>0</v>
      </c>
      <c r="V5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Row],[實際工時]]</f>
        <v>0</v>
      </c>
      <c r="W5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Row],[實際工時]]</f>
        <v>1320</v>
      </c>
    </row>
    <row r="6" spans="1:23" x14ac:dyDescent="0.25">
      <c r="B6" s="2" t="s">
        <v>41</v>
      </c>
      <c r="C6" s="2" t="s">
        <v>19</v>
      </c>
      <c r="D6" s="24">
        <f ca="1">DATE(YEAR(TODAY())+1,6,25)</f>
        <v>44007</v>
      </c>
      <c r="E6" s="24">
        <f ca="1">DATE(YEAR(TODAY())+1,7,27)</f>
        <v>44039</v>
      </c>
      <c r="F6" s="24">
        <f ca="1">DATE(YEAR(TODAY()),7,15)</f>
        <v>43661</v>
      </c>
      <c r="G6" s="24">
        <f ca="1">DATE(YEAR(TODAY())+1,8,25)</f>
        <v>44068</v>
      </c>
      <c r="H6" s="2">
        <v>400</v>
      </c>
      <c r="I6" s="2">
        <v>390</v>
      </c>
      <c r="J6" s="2">
        <f ca="1">DAYS360(專案詳細資料[[#This Row],[預估開始時間]],專案詳細資料[[#This Row],[預估結束時間]],FALSE)</f>
        <v>32</v>
      </c>
      <c r="K6" s="2">
        <f ca="1">DAYS360(專案詳細資料[[#This Row],[實際開始時間]],專案詳細資料[[#This Row],[實際結束時間]],FALSE)</f>
        <v>400</v>
      </c>
      <c r="L6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Row],[預估工時]]</f>
        <v>14400</v>
      </c>
      <c r="M6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Row],[預估工時]]</f>
        <v>24000</v>
      </c>
      <c r="N6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Row],[預估工時]]</f>
        <v>6000</v>
      </c>
      <c r="O6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Row],[預估工時]]</f>
        <v>4000</v>
      </c>
      <c r="P6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Row],[預估工時]]</f>
        <v>0</v>
      </c>
      <c r="Q6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Row],[預估工時]]</f>
        <v>2400</v>
      </c>
      <c r="R6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Row],[實際工時]]</f>
        <v>14040</v>
      </c>
      <c r="S6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Row],[實際工時]]</f>
        <v>23400</v>
      </c>
      <c r="T6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Row],[實際工時]]</f>
        <v>5850</v>
      </c>
      <c r="U6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Row],[實際工時]]</f>
        <v>3900</v>
      </c>
      <c r="V6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Row],[實際工時]]</f>
        <v>0</v>
      </c>
      <c r="W6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Row],[實際工時]]</f>
        <v>2340</v>
      </c>
    </row>
    <row r="7" spans="1:23" x14ac:dyDescent="0.25">
      <c r="B7" s="2" t="s">
        <v>42</v>
      </c>
      <c r="C7" s="2" t="s">
        <v>20</v>
      </c>
      <c r="D7" s="24">
        <f ca="1">DATE(YEAR(TODAY())+2,7,12)</f>
        <v>44389</v>
      </c>
      <c r="E7" s="24">
        <f ca="1">DATE(YEAR(TODAY())+2,9,19)</f>
        <v>44458</v>
      </c>
      <c r="F7" s="24">
        <f ca="1">DATE(YEAR(TODAY())+6,8,7)</f>
        <v>45876</v>
      </c>
      <c r="G7" s="24">
        <f ca="1">DATE(YEAR(TODAY())+6,10,10)</f>
        <v>45940</v>
      </c>
      <c r="H7" s="2">
        <v>500</v>
      </c>
      <c r="I7" s="2">
        <v>500</v>
      </c>
      <c r="J7" s="2">
        <f ca="1">DAYS360(專案詳細資料[[#This Row],[預估開始時間]],專案詳細資料[[#This Row],[預估結束時間]],FALSE)</f>
        <v>67</v>
      </c>
      <c r="K7" s="2">
        <f ca="1">DAYS360(專案詳細資料[[#This Row],[實際開始時間]],專案詳細資料[[#This Row],[實際結束時間]],FALSE)</f>
        <v>63</v>
      </c>
      <c r="L7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Row],[預估工時]]</f>
        <v>18000</v>
      </c>
      <c r="M7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Row],[預估工時]]</f>
        <v>12000</v>
      </c>
      <c r="N7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Row],[預估工時]]</f>
        <v>0</v>
      </c>
      <c r="O7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Row],[預估工時]]</f>
        <v>25000</v>
      </c>
      <c r="P7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Row],[預估工時]]</f>
        <v>0</v>
      </c>
      <c r="Q7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Row],[預估工時]]</f>
        <v>3000</v>
      </c>
      <c r="R7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Row],[實際工時]]</f>
        <v>18000</v>
      </c>
      <c r="S7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Row],[實際工時]]</f>
        <v>12000</v>
      </c>
      <c r="T7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Row],[實際工時]]</f>
        <v>0</v>
      </c>
      <c r="U7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Row],[實際工時]]</f>
        <v>25000</v>
      </c>
      <c r="V7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Row],[實際工時]]</f>
        <v>0</v>
      </c>
      <c r="W7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Row],[實際工時]]</f>
        <v>3000</v>
      </c>
    </row>
    <row r="8" spans="1:23" x14ac:dyDescent="0.25">
      <c r="B8" s="2" t="s">
        <v>43</v>
      </c>
      <c r="C8" s="2" t="s">
        <v>21</v>
      </c>
      <c r="D8" s="24">
        <f ca="1">DATE(YEAR(TODAY())+3,7,30)</f>
        <v>44772</v>
      </c>
      <c r="E8" s="24">
        <f ca="1">DATE(YEAR(TODAY())+3,9,28)</f>
        <v>44832</v>
      </c>
      <c r="F8" s="24">
        <f ca="1">DATE(YEAR(TODAY())+3,9,14)</f>
        <v>44818</v>
      </c>
      <c r="G8" s="24">
        <f ca="1">DATE(YEAR(TODAY())+3,11,13)</f>
        <v>44878</v>
      </c>
      <c r="H8" s="2">
        <v>150</v>
      </c>
      <c r="I8" s="2">
        <v>145</v>
      </c>
      <c r="J8" s="2">
        <f ca="1">DAYS360(專案詳細資料[[#This Row],[預估開始時間]],專案詳細資料[[#This Row],[預估結束時間]],FALSE)</f>
        <v>58</v>
      </c>
      <c r="K8" s="2">
        <f ca="1">DAYS360(專案詳細資料[[#This Row],[實際開始時間]],專案詳細資料[[#This Row],[實際結束時間]],FALSE)</f>
        <v>59</v>
      </c>
      <c r="L8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Row],[預估工時]]</f>
        <v>5400</v>
      </c>
      <c r="M8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Row],[預估工時]]</f>
        <v>10800</v>
      </c>
      <c r="N8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Row],[預估工時]]</f>
        <v>0</v>
      </c>
      <c r="O8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Row],[預估工時]]</f>
        <v>0</v>
      </c>
      <c r="P8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Row],[預估工時]]</f>
        <v>1200</v>
      </c>
      <c r="Q8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Row],[預估工時]]</f>
        <v>900</v>
      </c>
      <c r="R8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Row],[實際工時]]</f>
        <v>5220</v>
      </c>
      <c r="S8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Row],[實際工時]]</f>
        <v>10440</v>
      </c>
      <c r="T8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Row],[實際工時]]</f>
        <v>0</v>
      </c>
      <c r="U8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Row],[實際工時]]</f>
        <v>0</v>
      </c>
      <c r="V8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Row],[實際工時]]</f>
        <v>1160</v>
      </c>
      <c r="W8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Row],[實際工時]]</f>
        <v>870</v>
      </c>
    </row>
    <row r="9" spans="1:23" x14ac:dyDescent="0.25">
      <c r="B9" s="2" t="s">
        <v>44</v>
      </c>
      <c r="C9" s="2" t="s">
        <v>22</v>
      </c>
      <c r="D9" s="24">
        <f ca="1">DATE(YEAR(TODAY())+4,8,11)</f>
        <v>45149</v>
      </c>
      <c r="E9" s="24">
        <f ca="1">DATE(YEAR(TODAY())+4,8,21)</f>
        <v>45159</v>
      </c>
      <c r="F9" s="24">
        <f ca="1">DATE(YEAR(TODAY())+4,9,14)</f>
        <v>45183</v>
      </c>
      <c r="G9" s="24">
        <f ca="1">DATE(YEAR(TODAY())+4,9,25)</f>
        <v>45194</v>
      </c>
      <c r="H9" s="2">
        <v>250</v>
      </c>
      <c r="I9" s="2">
        <v>255</v>
      </c>
      <c r="J9" s="2">
        <f ca="1">DAYS360(專案詳細資料[[#This Row],[預估開始時間]],專案詳細資料[[#This Row],[預估結束時間]],FALSE)</f>
        <v>10</v>
      </c>
      <c r="K9" s="2">
        <f ca="1">DAYS360(專案詳細資料[[#This Row],[實際開始時間]],專案詳細資料[[#This Row],[實際結束時間]],FALSE)</f>
        <v>11</v>
      </c>
      <c r="L9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Row],[預估工時]]</f>
        <v>9000</v>
      </c>
      <c r="M9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Row],[預估工時]]</f>
        <v>3000</v>
      </c>
      <c r="N9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Row],[預估工時]]</f>
        <v>0</v>
      </c>
      <c r="O9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Row],[預估工時]]</f>
        <v>0</v>
      </c>
      <c r="P9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Row],[預估工時]]</f>
        <v>12000</v>
      </c>
      <c r="Q9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Row],[預估工時]]</f>
        <v>1500</v>
      </c>
      <c r="R9" s="25">
        <f>INDEX(參數[],MATCH(專案詳細資料[[#This Row],[專案類型]],參數[專案類型],0),MATCH(專案詳細資料[[#Headers],[客戶經理]],參數[#Headers],0))*INDEX(專案參數!$B$12:$H$12,1,MATCH(專案詳細資料[[#Headers],[客戶經理]],參數[#Headers],0))*專案詳細資料[[#This Row],[實際工時]]</f>
        <v>9180</v>
      </c>
      <c r="S9" s="25">
        <f>INDEX(參數[],MATCH(專案詳細資料[[#This Row],[專案類型]],參數[專案類型],0),MATCH(專案詳細資料[[#Headers],[專案經理]],參數[#Headers],0))*INDEX(專案參數!$B$12:$H$12,1,MATCH(專案詳細資料[[#Headers],[專案經理]],參數[#Headers],0))*專案詳細資料[[#This Row],[實際工時]]</f>
        <v>3060</v>
      </c>
      <c r="T9" s="25">
        <f>INDEX(參數[],MATCH(專案詳細資料[[#This Row],[專案類型]],參數[專案類型],0),MATCH(專案詳細資料[[#Headers],[策略經理]],參數[#Headers],0))*INDEX(專案參數!$B$12:$H$12,1,MATCH(專案詳細資料[[#Headers],[策略經理]],參數[#Headers],0))*專案詳細資料[[#This Row],[實際工時]]</f>
        <v>0</v>
      </c>
      <c r="U9" s="25">
        <f>INDEX(參數[],MATCH(專案詳細資料[[#This Row],[專案類型]],參數[專案類型],0),MATCH(專案詳細資料[[#Headers],[設計專家]],參數[#Headers],0))*INDEX(專案參數!$B$12:$H$12,1,MATCH(專案詳細資料[[#Headers],[設計專家]],參數[#Headers],0))*專案詳細資料[[#This Row],[實際工時]]</f>
        <v>0</v>
      </c>
      <c r="V9" s="25">
        <f>INDEX(參數[],MATCH(專案詳細資料[[#This Row],[專案類型]],參數[專案類型],0),MATCH(專案詳細資料[[#Headers],[活動工作人員]],參數[#Headers],0))*INDEX(專案參數!$B$12:$H$12,1,MATCH(專案詳細資料[[#Headers],[活動工作人員]],參數[#Headers],0))*專案詳細資料[[#This Row],[實際工時]]</f>
        <v>12240</v>
      </c>
      <c r="W9" s="25">
        <f>INDEX(參數[],MATCH(專案詳細資料[[#This Row],[專案類型]],參數[專案類型],0),MATCH(專案詳細資料[[#Headers],[行政人員]],參數[#Headers],0))*INDEX(專案參數!$B$12:$H$12,1,MATCH(專案詳細資料[[#Headers],[行政人員]],參數[#Headers],0))*專案詳細資料[[#This Row],[實際工時]]</f>
        <v>1530</v>
      </c>
    </row>
    <row r="10" spans="1:23" x14ac:dyDescent="0.25">
      <c r="B10" s="8" t="s">
        <v>72</v>
      </c>
      <c r="H10" s="8">
        <f>SUBTOTAL(109,專案詳細資料[預估工時])</f>
        <v>1500</v>
      </c>
      <c r="I10" s="8">
        <f>SUBTOTAL(109,專案詳細資料[實際工時])</f>
        <v>1510</v>
      </c>
      <c r="J10" s="8">
        <f ca="1">SUBTOTAL(109,專案詳細資料[預估工期])</f>
        <v>225</v>
      </c>
      <c r="K10" s="8">
        <f ca="1">SUBTOTAL(109,專案詳細資料[實際工期])</f>
        <v>597</v>
      </c>
    </row>
  </sheetData>
  <phoneticPr fontId="21" type="noConversion"/>
  <dataValidations count="1">
    <dataValidation type="list" allowBlank="1" showInputMessage="1" showErrorMessage="1" sqref="C5:C9" xr:uid="{00000000-0002-0000-0100-000000000000}">
      <formula1>專案類型</formula1>
    </dataValidation>
  </dataValidations>
  <printOptions horizontalCentered="1"/>
  <pageMargins left="0.4" right="0.4" top="0.4" bottom="0.4" header="0.3" footer="0.3"/>
  <pageSetup paperSize="9" orientation="landscape" horizontalDpi="4294967293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zoomScaleNormal="100" workbookViewId="0"/>
  </sheetViews>
  <sheetFormatPr defaultColWidth="9" defaultRowHeight="15" x14ac:dyDescent="0.25"/>
  <cols>
    <col min="1" max="1" width="1.625" style="6" customWidth="1"/>
    <col min="2" max="2" width="10" style="8" bestFit="1" customWidth="1"/>
    <col min="3" max="6" width="13.125" style="8" bestFit="1" customWidth="1"/>
    <col min="7" max="7" width="16.75" style="8" bestFit="1" customWidth="1"/>
    <col min="8" max="12" width="13.125" style="8" bestFit="1" customWidth="1"/>
    <col min="13" max="13" width="16.75" style="8" bestFit="1" customWidth="1"/>
    <col min="14" max="14" width="13.125" style="8" bestFit="1" customWidth="1"/>
    <col min="15" max="15" width="2.625" style="8" customWidth="1"/>
    <col min="16" max="16384" width="9" style="8"/>
  </cols>
  <sheetData>
    <row r="1" spans="1:14" ht="35.450000000000003" customHeight="1" x14ac:dyDescent="0.45">
      <c r="A1" s="6" t="s">
        <v>59</v>
      </c>
      <c r="B1" s="7" t="str">
        <f>專案參數!B1</f>
        <v>公司名稱</v>
      </c>
      <c r="C1" s="7"/>
      <c r="D1" s="7"/>
      <c r="E1" s="7"/>
      <c r="F1" s="7"/>
      <c r="G1" s="7"/>
      <c r="H1" s="7"/>
      <c r="I1" s="7"/>
      <c r="J1" s="7"/>
      <c r="K1" s="7"/>
    </row>
    <row r="2" spans="1:14" ht="20.25" x14ac:dyDescent="0.3">
      <c r="A2" s="6" t="s">
        <v>8</v>
      </c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</row>
    <row r="3" spans="1:14" s="21" customFormat="1" ht="29.25" customHeight="1" x14ac:dyDescent="0.25">
      <c r="A3" s="19" t="s">
        <v>9</v>
      </c>
      <c r="B3" s="20" t="str">
        <f>專案參數!B3</f>
        <v>公司名稱機密</v>
      </c>
      <c r="C3" s="20"/>
      <c r="D3" s="20"/>
      <c r="E3" s="20"/>
      <c r="F3" s="20"/>
      <c r="G3" s="20"/>
      <c r="H3" s="20"/>
      <c r="I3" s="20"/>
      <c r="J3" s="20"/>
      <c r="K3" s="20"/>
    </row>
    <row r="4" spans="1:14" s="27" customFormat="1" x14ac:dyDescent="0.25">
      <c r="A4" s="6" t="s">
        <v>60</v>
      </c>
      <c r="B4" s="26" t="s">
        <v>39</v>
      </c>
      <c r="C4" s="12" t="s">
        <v>61</v>
      </c>
      <c r="D4" s="12" t="s">
        <v>62</v>
      </c>
      <c r="E4" s="12" t="s">
        <v>63</v>
      </c>
      <c r="F4" s="12" t="s">
        <v>64</v>
      </c>
      <c r="G4" s="12" t="s">
        <v>65</v>
      </c>
      <c r="H4" s="12" t="s">
        <v>66</v>
      </c>
      <c r="I4" s="2" t="s">
        <v>67</v>
      </c>
      <c r="J4" s="2" t="s">
        <v>68</v>
      </c>
      <c r="K4" s="2" t="s">
        <v>69</v>
      </c>
      <c r="L4" s="2" t="s">
        <v>70</v>
      </c>
      <c r="M4" s="2" t="s">
        <v>73</v>
      </c>
      <c r="N4" s="2" t="s">
        <v>71</v>
      </c>
    </row>
    <row r="5" spans="1:14" x14ac:dyDescent="0.25">
      <c r="B5" s="2" t="s">
        <v>40</v>
      </c>
      <c r="C5" s="28">
        <v>7200</v>
      </c>
      <c r="D5" s="28">
        <v>2400</v>
      </c>
      <c r="E5" s="28">
        <v>18000</v>
      </c>
      <c r="F5" s="28">
        <v>0</v>
      </c>
      <c r="G5" s="28">
        <v>0</v>
      </c>
      <c r="H5" s="28">
        <v>1200</v>
      </c>
      <c r="I5" s="28">
        <v>7920</v>
      </c>
      <c r="J5" s="28">
        <v>2640</v>
      </c>
      <c r="K5" s="28">
        <v>19800</v>
      </c>
      <c r="L5" s="28">
        <v>0</v>
      </c>
      <c r="M5" s="28">
        <v>0</v>
      </c>
      <c r="N5" s="28">
        <v>1320</v>
      </c>
    </row>
    <row r="6" spans="1:14" x14ac:dyDescent="0.25">
      <c r="B6" s="2" t="s">
        <v>41</v>
      </c>
      <c r="C6" s="28">
        <v>14400</v>
      </c>
      <c r="D6" s="28">
        <v>24000</v>
      </c>
      <c r="E6" s="28">
        <v>6000</v>
      </c>
      <c r="F6" s="28">
        <v>4000</v>
      </c>
      <c r="G6" s="28">
        <v>0</v>
      </c>
      <c r="H6" s="28">
        <v>2400</v>
      </c>
      <c r="I6" s="28">
        <v>14040</v>
      </c>
      <c r="J6" s="28">
        <v>23400</v>
      </c>
      <c r="K6" s="28">
        <v>5850</v>
      </c>
      <c r="L6" s="28">
        <v>3900</v>
      </c>
      <c r="M6" s="28">
        <v>0</v>
      </c>
      <c r="N6" s="28">
        <v>2340</v>
      </c>
    </row>
    <row r="7" spans="1:14" x14ac:dyDescent="0.25">
      <c r="B7" s="2" t="s">
        <v>42</v>
      </c>
      <c r="C7" s="28">
        <v>18000</v>
      </c>
      <c r="D7" s="28">
        <v>12000</v>
      </c>
      <c r="E7" s="28">
        <v>0</v>
      </c>
      <c r="F7" s="28">
        <v>25000</v>
      </c>
      <c r="G7" s="28">
        <v>0</v>
      </c>
      <c r="H7" s="28">
        <v>3000</v>
      </c>
      <c r="I7" s="28">
        <v>18000</v>
      </c>
      <c r="J7" s="28">
        <v>12000</v>
      </c>
      <c r="K7" s="28">
        <v>0</v>
      </c>
      <c r="L7" s="28">
        <v>25000</v>
      </c>
      <c r="M7" s="28">
        <v>0</v>
      </c>
      <c r="N7" s="28">
        <v>3000</v>
      </c>
    </row>
    <row r="8" spans="1:14" x14ac:dyDescent="0.25">
      <c r="B8" s="2" t="s">
        <v>43</v>
      </c>
      <c r="C8" s="28">
        <v>5400</v>
      </c>
      <c r="D8" s="28">
        <v>10800</v>
      </c>
      <c r="E8" s="28">
        <v>0</v>
      </c>
      <c r="F8" s="28">
        <v>0</v>
      </c>
      <c r="G8" s="28">
        <v>1200</v>
      </c>
      <c r="H8" s="28">
        <v>900</v>
      </c>
      <c r="I8" s="28">
        <v>5220</v>
      </c>
      <c r="J8" s="28">
        <v>10440</v>
      </c>
      <c r="K8" s="28">
        <v>0</v>
      </c>
      <c r="L8" s="28">
        <v>0</v>
      </c>
      <c r="M8" s="28">
        <v>1160</v>
      </c>
      <c r="N8" s="28">
        <v>870</v>
      </c>
    </row>
    <row r="9" spans="1:14" x14ac:dyDescent="0.25">
      <c r="B9" s="2" t="s">
        <v>44</v>
      </c>
      <c r="C9" s="28">
        <v>9000</v>
      </c>
      <c r="D9" s="28">
        <v>3000</v>
      </c>
      <c r="E9" s="28">
        <v>0</v>
      </c>
      <c r="F9" s="28">
        <v>0</v>
      </c>
      <c r="G9" s="28">
        <v>12000</v>
      </c>
      <c r="H9" s="28">
        <v>1500</v>
      </c>
      <c r="I9" s="28">
        <v>9180</v>
      </c>
      <c r="J9" s="28">
        <v>3060</v>
      </c>
      <c r="K9" s="28">
        <v>0</v>
      </c>
      <c r="L9" s="28">
        <v>0</v>
      </c>
      <c r="M9" s="28">
        <v>12240</v>
      </c>
      <c r="N9" s="28">
        <v>1530</v>
      </c>
    </row>
    <row r="10" spans="1:14" x14ac:dyDescent="0.25">
      <c r="B10" s="2" t="s">
        <v>37</v>
      </c>
      <c r="C10" s="28">
        <v>54000</v>
      </c>
      <c r="D10" s="28">
        <v>52200</v>
      </c>
      <c r="E10" s="28">
        <v>24000</v>
      </c>
      <c r="F10" s="28">
        <v>29000</v>
      </c>
      <c r="G10" s="28">
        <v>13200</v>
      </c>
      <c r="H10" s="28">
        <v>9000</v>
      </c>
      <c r="I10" s="28">
        <v>54360</v>
      </c>
      <c r="J10" s="28">
        <v>51540</v>
      </c>
      <c r="K10" s="28">
        <v>25650</v>
      </c>
      <c r="L10" s="28">
        <v>28900</v>
      </c>
      <c r="M10" s="28">
        <v>13400</v>
      </c>
      <c r="N10" s="28">
        <v>9060</v>
      </c>
    </row>
    <row r="11" spans="1:14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phoneticPr fontId="21" type="noConversion"/>
  <printOptions horizontalCentered="1"/>
  <pageMargins left="0.4" right="0.4" top="0.4" bottom="0.4" header="0.3" footer="0.3"/>
  <pageSetup paperSize="9" scale="75" orientation="landscape" horizontalDpi="4294967293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開始</vt:lpstr>
      <vt:lpstr>專案參數</vt:lpstr>
      <vt:lpstr>專案詳細資料</vt:lpstr>
      <vt:lpstr>專案總計</vt:lpstr>
      <vt:lpstr>專案詳細資料!Print_Titles</vt:lpstr>
      <vt:lpstr>專案總計!Print_Titles</vt:lpstr>
      <vt:lpstr>專案類型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2019-02-19T06:20:49Z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