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920" windowHeight="16110" xr2:uid="{00000000-000D-0000-FFFF-FFFF00000000}"/>
  </bookViews>
  <sheets>
    <sheet name="PRADŽIA" sheetId="4" r:id="rId1"/>
    <sheet name="PROJEKTO PARAMETRAI" sheetId="1" r:id="rId2"/>
    <sheet name="PROJEKTO INFORMACIJA" sheetId="2" r:id="rId3"/>
    <sheet name="PROJEKTO SUMOS" sheetId="3" r:id="rId4"/>
  </sheets>
  <definedNames>
    <definedName name="_xlnm.Print_Titles" localSheetId="2">'PROJEKTO INFORMACIJA'!$4:$4</definedName>
    <definedName name="_xlnm.Print_Titles" localSheetId="3">'PROJEKTO SUMOS'!$4:$4</definedName>
    <definedName name="ProjektoTipas">Parametrai[PROJEKTO TIPAS]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H10" i="2"/>
  <c r="I10" i="2"/>
  <c r="E5" i="2" l="1"/>
  <c r="F7" i="2" l="1"/>
  <c r="G7" i="2"/>
  <c r="B3" i="3" l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6" i="1"/>
  <c r="I7" i="1"/>
  <c r="I8" i="1"/>
  <c r="I9" i="1"/>
  <c r="I10" i="1"/>
  <c r="I11" i="1"/>
  <c r="J10" i="2" l="1"/>
  <c r="K10" i="2"/>
  <c r="H17" i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</calcChain>
</file>

<file path=xl/sharedStrings.xml><?xml version="1.0" encoding="utf-8"?>
<sst xmlns="http://schemas.openxmlformats.org/spreadsheetml/2006/main" count="106" uniqueCount="76">
  <si>
    <t>APIE ŠĮ ŠABLONĄ</t>
  </si>
  <si>
    <t xml:space="preserve">Pastaba.  </t>
  </si>
  <si>
    <t>Papildomos instrukcijos pateikiamos kiekvieno darbalapio A stulpelyje RENGINIO PLANAVIMO STEBĖJIMO PIREMONĖS darbaknygėje. Šis tekstas buvo specialiai paslėptas. Norėdami pašalinti tekstą, pasirinkite A stulpelį, tada pasirinkite Naikinti. Norėdami nebeslėpti teksto, pasirinkite A stulpelį, tada pakeiskite šrifto spalvą.</t>
  </si>
  <si>
    <t>Norėdami sužinoti daugiau apie darbalapio lenteles, lentelėje paspauskite SHIFT, tada – F10, pasirinkite parinktį LENTELĖ, tada pasirinkite ALTERNATYVUS TEKSTAS.</t>
  </si>
  <si>
    <t>Šio darbalapio pavadinimas yra langelyje dešinėje.</t>
  </si>
  <si>
    <t>Konfidencialumo pranešimas langelyje dešinėje.</t>
  </si>
  <si>
    <t>Patarimas pateikiamas langelyje dešinėje.</t>
  </si>
  <si>
    <t>Įveskite informaciją lentelėje Parametrai pradėdami nuo langelio dešinėje. Kitas nurodymas yra A12 langelyje.</t>
  </si>
  <si>
    <t>Įmonės pavadinimas</t>
  </si>
  <si>
    <t>Renginio valdymo projekto stebėjimo priemonė</t>
  </si>
  <si>
    <t>Paryškintuose langeliuose esančios reikšmės apskaičiuojamos už jus. Jums nereikia nieko į juos įvesti.</t>
  </si>
  <si>
    <t>PROJEKTO TIPAS</t>
  </si>
  <si>
    <t>Renginio strategijos plėtojimas</t>
  </si>
  <si>
    <t>Renginio planavimas</t>
  </si>
  <si>
    <t>Renginio dizainas</t>
  </si>
  <si>
    <t>Renginio logistika</t>
  </si>
  <si>
    <t>Renginio darbuotojai</t>
  </si>
  <si>
    <t>Renginio vertinimas</t>
  </si>
  <si>
    <t>Mišrūs mokesčiai</t>
  </si>
  <si>
    <t>SUPLANUOTOS IŠLAIDOS</t>
  </si>
  <si>
    <t>FAKTINĖS IŠLAIDOS</t>
  </si>
  <si>
    <t>SUPLANUOTOS VALANDOS</t>
  </si>
  <si>
    <t>FAKTINĖS VALANDOS</t>
  </si>
  <si>
    <t>Stulpelinė diagrama, rodanti planuojamų ir faktinių išlaidų palyginimą šiame langelyje.</t>
  </si>
  <si>
    <t>PASKYROS VADOVAS</t>
  </si>
  <si>
    <t>PROJEKTO VADOVAS</t>
  </si>
  <si>
    <t>STRATEGIJOS VADOVAS</t>
  </si>
  <si>
    <t>DIZAINO SPECIALISTĖ</t>
  </si>
  <si>
    <t>Stulpelinė diagrama, rodanti planuojamų ir faktinių valandų palyginimą šiame langelyje.</t>
  </si>
  <si>
    <t>RENGINIO DARBUOTOJAI</t>
  </si>
  <si>
    <t>ADMINISTRACIJOS DARBUOTOJAI</t>
  </si>
  <si>
    <t>PROJEKTO PAVADINIMAS</t>
  </si>
  <si>
    <t>1 projektas</t>
  </si>
  <si>
    <t>2 projektas</t>
  </si>
  <si>
    <t>3 projektas</t>
  </si>
  <si>
    <t>4 projektas</t>
  </si>
  <si>
    <t>5 projektas</t>
  </si>
  <si>
    <t>BENDRA SUMA</t>
  </si>
  <si>
    <t>NUMATOMA PRADŽIA</t>
  </si>
  <si>
    <t>NUMATOMA PABAIGA</t>
  </si>
  <si>
    <t>FAKTINĖ PRADŽIA</t>
  </si>
  <si>
    <t>FAKTINĖ PABAIGA</t>
  </si>
  <si>
    <t>NUMATYTOS DARBO VALANDOS</t>
  </si>
  <si>
    <t>FAKTINĖS DARBO VALANDOS</t>
  </si>
  <si>
    <t>NUMATOMA TRUKMĖ</t>
  </si>
  <si>
    <t>FAKTINĖ TRUKMĖ</t>
  </si>
  <si>
    <t xml:space="preserve">PASKYROS VADOVAS </t>
  </si>
  <si>
    <t xml:space="preserve">PROJEKTO VADOVAS </t>
  </si>
  <si>
    <t xml:space="preserve">STRATEGIJOS VADOVAS </t>
  </si>
  <si>
    <t xml:space="preserve">DIZAINO SPECIALISTĖ </t>
  </si>
  <si>
    <t xml:space="preserve">RENGINIO DARBUOTOJAI </t>
  </si>
  <si>
    <t xml:space="preserve">ADMINISTRACIJOS DARBUOTOJAI </t>
  </si>
  <si>
    <t>PivotTable atnaujinama automatiškai, pradedant nuo langelio dešinėje.
INFORMACIJA
Norėdami atnaujinti „PivotTable“ dešinėje pažymėkite ją (bet kurį „PivotTable“ langelį), tada juostelės skirtuke „PIVOTTABLE“ ĮRANKIAI | ANALIZĖ pasirinkite Atnaujinti. Arba paspauskite SHIFT + F10 pažymėję bet kurį „PivotTable“ langelį ir pasirinkite Atnaujinti.</t>
  </si>
  <si>
    <t>Bendroji suma</t>
  </si>
  <si>
    <t>PASKYROS VADOVO NUMATOMA SUMA</t>
  </si>
  <si>
    <t>PROJEKTO VADOVO NUMATOMA SUMA</t>
  </si>
  <si>
    <t>STRATEGIJOS VADOVO NUMATOMA SUMA</t>
  </si>
  <si>
    <t>DIZAINO SPECIALISTĖS NUMATOMA SUMA</t>
  </si>
  <si>
    <t>RENGINIO DARBUOTOJŲ NUMATOMA SUMA</t>
  </si>
  <si>
    <t>ADMINISTRAVIMO DARBUOTOJŲ NUMATOMA SUMA</t>
  </si>
  <si>
    <t>PASKYROS VADOVO FAKTINĖ SUMA</t>
  </si>
  <si>
    <t>PROJEKTO VADOVO FAKTINĖ SUMA</t>
  </si>
  <si>
    <t>STRATEGIJOS VADOVO FAKTINĖ SUMA</t>
  </si>
  <si>
    <t>DIZAINO SPECIALISTĖS FAKTINĖ SUMA</t>
  </si>
  <si>
    <t>ADMINISTRAVIMO DARBUOTOJŲ FAKTINĖ SUMA</t>
  </si>
  <si>
    <t>Suma</t>
  </si>
  <si>
    <t>RENGINIO DARBUOTOJŲ FAKTINĖ SUMA</t>
  </si>
  <si>
    <t>Šioje renginio planavimo stebėjimo darbaknygėje sekite projekto parametrai, projekto informacija ir projekto sumos.</t>
  </si>
  <si>
    <t>Įveskite informaciją apie projekto parametrai darbalapį, kad atnaujintumėte stulpelių diagramas ir projekto informacija darbalapį. Projekto sumos darbalapyje automatiškai atnaujinama projekto PivotTable.</t>
  </si>
  <si>
    <t>Įveskite įmonės pavadinimas darbalapyje Parametrai ir jis bus automatiškai atnaujintas kituose darbalapiuose.</t>
  </si>
  <si>
    <t>Kurkite projekto parametrai šiame darbalapyje. Langelyje dešinėje įveskite įmonės pavadinimas. Naudingos instrukcijos pateiktos šio stulpelio langeliuose. Paspauskite rodyklę žemyn, kad pradėtumėte.</t>
  </si>
  <si>
    <t>Įveskite Mišrūs mokesčiai langeliuose dešinėje nuo C12 iki H12. Kitas nurodymas yra A14 langelyje.</t>
  </si>
  <si>
    <t>Stulpelinė diagrama rodanti suplanuotos ir faktines išlaidos langelyje dešinėje, ir stulpelinė diagrama rodanti suplanuotos ir faktinės valandos F14 langelyje.</t>
  </si>
  <si>
    <t>Kurkite projekto informacija šiame darbalapyje. Įmonės pavadinimas automatiškai atnaujinamas langelyje dešinėje pusėje. Naudingos instrukcijos pateiktos šio stulpelio langeliuose. Paspauskite rodyklę žemyn, kad pradėtumėte.</t>
  </si>
  <si>
    <t>Įveskite informaciją lentelėje Projekto informacija nuo langelio dešinėje.
INFORMACIJA
Norėdami įtraukti eilutę lentelėje dešinėje, pasirinkite apatiniame dešiniajame kampe esantį langelį (ne sumos eilutę) ir paspauskite Tab arba paspauskite SHIFT + F10 ten, kur norite įterpti eilutę, tada spustelėkite Įterpti | Lentelės eilutės Viršuje/apačioje.
Įsitikinkite, kad panaikintos visos nenaudojamas eilutės, nes PROJEKTO SUMOS PivotTable naudos visus lentelės langelius, nes kitu atveju bus pateikti klaidingi rezultatai.</t>
  </si>
  <si>
    <t>Gaukite projekto sumos šiame darbalapyje. Įmonės pavadinimas automatiškai atnaujinamas langelyje dešinėje pusėje. Naudingos instrukcijos pateiktos šio stulpelio langeliuose. Paspauskite rodyklę žemyn, kad pradėtumėte.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</si>
</sst>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8" formatCode="_([$EUR]\ * #,##0.00_);_([$EUR]\ * \(#,##0.00\);_([$EUR]\ * &quot;-&quot;??_);_(@_)"/>
    <numFmt numFmtId="169" formatCode="_([$EUR]\ * #,##0_);_([$EUR]\ * \(#,##0\);_([$EUR]\ * &quot;-&quot;_);_(@_)"/>
    <numFmt numFmtId="170" formatCode="[$EUR]\ #,##0"/>
    <numFmt numFmtId="173" formatCode="#,##0\ [$EUR]"/>
    <numFmt numFmtId="175" formatCode="#,##0.00\ [$EUR]"/>
  </numFmts>
  <fonts count="27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color theme="1"/>
      <name val="Cambria"/>
      <family val="1"/>
      <scheme val="minor"/>
    </font>
    <font>
      <i/>
      <sz val="10"/>
      <color theme="1"/>
      <name val="Tahoma"/>
      <family val="2"/>
      <scheme val="major"/>
    </font>
    <font>
      <sz val="11"/>
      <color theme="0"/>
      <name val="Cambria"/>
      <family val="1"/>
      <scheme val="minor"/>
    </font>
    <font>
      <sz val="16"/>
      <color theme="0"/>
      <name val="Tahom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0"/>
      <color theme="1" tint="0.24994659260841701"/>
      <name val="Cambri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12" fillId="1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1"/>
    <xf numFmtId="0" fontId="4" fillId="0" borderId="0" xfId="2"/>
    <xf numFmtId="0" fontId="5" fillId="0" borderId="0" xfId="3"/>
    <xf numFmtId="0" fontId="6" fillId="0" borderId="0" xfId="0" applyFont="1"/>
    <xf numFmtId="9" fontId="6" fillId="0" borderId="0" xfId="0" applyNumberFormat="1" applyFont="1"/>
    <xf numFmtId="9" fontId="6" fillId="2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0" fillId="3" borderId="0" xfId="0" applyFill="1" applyAlignment="1">
      <alignment wrapText="1"/>
    </xf>
    <xf numFmtId="14" fontId="0" fillId="0" borderId="0" xfId="0" applyNumberFormat="1"/>
    <xf numFmtId="0" fontId="2" fillId="0" borderId="0" xfId="0" applyFont="1" applyAlignment="1">
      <alignment vertical="center"/>
    </xf>
    <xf numFmtId="0" fontId="5" fillId="0" borderId="0" xfId="3" applyAlignment="1">
      <alignment vertical="center"/>
    </xf>
    <xf numFmtId="0" fontId="9" fillId="4" borderId="0" xfId="2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pivotButton="1"/>
    <xf numFmtId="0" fontId="8" fillId="0" borderId="0" xfId="0" applyFont="1" applyAlignment="1">
      <alignment horizontal="center"/>
    </xf>
    <xf numFmtId="173" fontId="0" fillId="0" borderId="0" xfId="0" applyNumberFormat="1"/>
    <xf numFmtId="173" fontId="6" fillId="0" borderId="0" xfId="0" applyNumberFormat="1" applyFont="1"/>
    <xf numFmtId="175" fontId="8" fillId="0" borderId="0" xfId="0" applyNumberFormat="1" applyFont="1"/>
    <xf numFmtId="175" fontId="0" fillId="0" borderId="0" xfId="0" applyNumberFormat="1"/>
  </cellXfs>
  <cellStyles count="47">
    <cellStyle name="1 antraštė" xfId="1" builtinId="16" customBuiltin="1"/>
    <cellStyle name="2 antraštė" xfId="2" builtinId="17" customBuiltin="1"/>
    <cellStyle name="20% – paryškinimas 1" xfId="24" builtinId="30" customBuiltin="1"/>
    <cellStyle name="20% – paryškinimas 2" xfId="28" builtinId="34" customBuiltin="1"/>
    <cellStyle name="20% – paryškinimas 3" xfId="32" builtinId="38" customBuiltin="1"/>
    <cellStyle name="20% – paryškinimas 4" xfId="36" builtinId="42" customBuiltin="1"/>
    <cellStyle name="20% – paryškinimas 5" xfId="40" builtinId="46" customBuiltin="1"/>
    <cellStyle name="20% – paryškinimas 6" xfId="44" builtinId="50" customBuiltin="1"/>
    <cellStyle name="3 antraštė" xfId="3" builtinId="18" customBuiltin="1"/>
    <cellStyle name="4 antraštė" xfId="10" builtinId="19" customBuiltin="1"/>
    <cellStyle name="40% – paryškinimas 1" xfId="25" builtinId="31" customBuiltin="1"/>
    <cellStyle name="40% – paryškinimas 2" xfId="29" builtinId="35" customBuiltin="1"/>
    <cellStyle name="40% – paryškinimas 3" xfId="33" builtinId="39" customBuiltin="1"/>
    <cellStyle name="40% – paryškinimas 4" xfId="37" builtinId="43" customBuiltin="1"/>
    <cellStyle name="40% – paryškinimas 5" xfId="41" builtinId="47" customBuiltin="1"/>
    <cellStyle name="40% – paryškinimas 6" xfId="45" builtinId="51" customBuiltin="1"/>
    <cellStyle name="60% – paryškinimas 1" xfId="26" builtinId="32" customBuiltin="1"/>
    <cellStyle name="60% – paryškinimas 2" xfId="30" builtinId="36" customBuiltin="1"/>
    <cellStyle name="60% – paryškinimas 3" xfId="34" builtinId="40" customBuiltin="1"/>
    <cellStyle name="60% – paryškinimas 4" xfId="38" builtinId="44" customBuiltin="1"/>
    <cellStyle name="60% – paryškinimas 5" xfId="42" builtinId="48" customBuiltin="1"/>
    <cellStyle name="60% – paryškinimas 6" xfId="46" builtinId="52" customBuiltin="1"/>
    <cellStyle name="Aiškinamasis tekstas" xfId="21" builtinId="53" customBuiltin="1"/>
    <cellStyle name="Blogas" xfId="12" builtinId="27" customBuiltin="1"/>
    <cellStyle name="Geras" xfId="11" builtinId="26" customBuiltin="1"/>
    <cellStyle name="Įprastas" xfId="0" builtinId="0" customBuiltin="1"/>
    <cellStyle name="Įspėjimo tekstas" xfId="19" builtinId="11" customBuiltin="1"/>
    <cellStyle name="Išvestis" xfId="15" builtinId="21" customBuiltin="1"/>
    <cellStyle name="Įvestis" xfId="14" builtinId="20" customBuiltin="1"/>
    <cellStyle name="Kablelis" xfId="4" builtinId="3" customBuiltin="1"/>
    <cellStyle name="Kablelis [0]" xfId="5" builtinId="6" customBuiltin="1"/>
    <cellStyle name="Neutralus" xfId="13" builtinId="28" customBuiltin="1"/>
    <cellStyle name="Paryškinimas 1" xfId="23" builtinId="29" customBuiltin="1"/>
    <cellStyle name="Paryškinimas 2" xfId="27" builtinId="33" customBuiltin="1"/>
    <cellStyle name="Paryškinimas 3" xfId="31" builtinId="37" customBuiltin="1"/>
    <cellStyle name="Paryškinimas 4" xfId="35" builtinId="41" customBuiltin="1"/>
    <cellStyle name="Paryškinimas 5" xfId="39" builtinId="45" customBuiltin="1"/>
    <cellStyle name="Paryškinimas 6" xfId="43" builtinId="49" customBuiltin="1"/>
    <cellStyle name="Pastaba" xfId="20" builtinId="10" customBuiltin="1"/>
    <cellStyle name="Pavadinimas" xfId="9" builtinId="15" customBuiltin="1"/>
    <cellStyle name="Procentai" xfId="8" builtinId="5" customBuiltin="1"/>
    <cellStyle name="Skaičiavimas" xfId="16" builtinId="22" customBuiltin="1"/>
    <cellStyle name="Suma" xfId="22" builtinId="25" customBuiltin="1"/>
    <cellStyle name="Susietas langelis" xfId="17" builtinId="24" customBuiltin="1"/>
    <cellStyle name="Tikrinimo langelis" xfId="18" builtinId="23" customBuiltin="1"/>
    <cellStyle name="Valiuta" xfId="6" builtinId="4" customBuiltin="1"/>
    <cellStyle name="Valiuta [0]" xfId="7" builtinId="7" customBuiltin="1"/>
  </cellStyles>
  <dxfs count="11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186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73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numFmt numFmtId="175" formatCode="#,##0.00\ [$EUR]"/>
    </dxf>
    <dxf>
      <alignment wrapText="1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alignment wrapText="1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alignment wrapText="1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alignment wrapText="1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alignment wrapText="1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alignment wrapText="1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67" formatCode="&quot;$&quot;#,##0.00"/>
    </dxf>
    <dxf>
      <numFmt numFmtId="175" formatCode="#,##0.00\ [$EUR]"/>
    </dxf>
    <dxf>
      <alignment wrapText="1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67" formatCode="&quot;$&quot;#,##0.00"/>
    </dxf>
    <dxf>
      <numFmt numFmtId="175" formatCode="#,##0.00\ [$EUR]"/>
    </dxf>
    <dxf>
      <alignment wrapText="1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67" formatCode="&quot;$&quot;#,##0.00"/>
    </dxf>
    <dxf>
      <numFmt numFmtId="175" formatCode="#,##0.00\ [$EUR]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75" formatCode="#,##0.00\ [$EUR]"/>
    </dxf>
    <dxf>
      <numFmt numFmtId="167" formatCode="&quot;$&quot;#,##0.00"/>
    </dxf>
    <dxf>
      <numFmt numFmtId="175" formatCode="#,##0.00\ [$EUR]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75" formatCode="#,##0.00\ [$EUR]"/>
    </dxf>
    <dxf>
      <numFmt numFmtId="167" formatCode="&quot;$&quot;#,##0.00"/>
    </dxf>
    <dxf>
      <numFmt numFmtId="175" formatCode="#,##0.00\ [$EUR]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75" formatCode="#,##0.00\ [$EUR]"/>
    </dxf>
    <dxf>
      <numFmt numFmtId="167" formatCode="&quot;$&quot;#,##0.00"/>
    </dxf>
    <dxf>
      <numFmt numFmtId="175" formatCode="#,##0.00\ [$EUR]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numFmt numFmtId="171" formatCode="[$EUR]\ #,##0.00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SUPLANUOTOS ir FAKTINĖS IŠLAIDOS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'PROJEKTO PARAMETRAI'!$B$16</c:f>
              <c:strCache>
                <c:ptCount val="1"/>
                <c:pt idx="0">
                  <c:v>SUPLANUOTOS IŠLAIDOS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'PROJEKTO PARAMETRAI'!$C$15:$H$15</c:f>
              <c:strCache>
                <c:ptCount val="6"/>
                <c:pt idx="0">
                  <c:v>PASKYROS VADOVAS</c:v>
                </c:pt>
                <c:pt idx="1">
                  <c:v>PROJEKTO VADOVAS</c:v>
                </c:pt>
                <c:pt idx="2">
                  <c:v>STRATEGIJOS VADOVAS</c:v>
                </c:pt>
                <c:pt idx="3">
                  <c:v>DIZAINO SPECIALISTĖ</c:v>
                </c:pt>
                <c:pt idx="4">
                  <c:v>RENGINIO DARBUOTOJAI</c:v>
                </c:pt>
                <c:pt idx="5">
                  <c:v>ADMINISTRACIJOS DARBUOTOJAI</c:v>
                </c:pt>
              </c:strCache>
            </c:strRef>
          </c:cat>
          <c:val>
            <c:numRef>
              <c:f>'PROJEKTO PARAMETRAI'!$C$16:$H$16</c:f>
              <c:numCache>
                <c:formatCode>#\ ##0.00\ [$EUR]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'PROJEKTO PARAMETRAI'!$B$17</c:f>
              <c:strCache>
                <c:ptCount val="1"/>
                <c:pt idx="0">
                  <c:v>FAKTINĖS IŠLAIDOS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'PROJEKTO PARAMETRAI'!$C$15:$H$15</c:f>
              <c:strCache>
                <c:ptCount val="6"/>
                <c:pt idx="0">
                  <c:v>PASKYROS VADOVAS</c:v>
                </c:pt>
                <c:pt idx="1">
                  <c:v>PROJEKTO VADOVAS</c:v>
                </c:pt>
                <c:pt idx="2">
                  <c:v>STRATEGIJOS VADOVAS</c:v>
                </c:pt>
                <c:pt idx="3">
                  <c:v>DIZAINO SPECIALISTĖ</c:v>
                </c:pt>
                <c:pt idx="4">
                  <c:v>RENGINIO DARBUOTOJAI</c:v>
                </c:pt>
                <c:pt idx="5">
                  <c:v>ADMINISTRACIJOS DARBUOTOJAI</c:v>
                </c:pt>
              </c:strCache>
            </c:strRef>
          </c:cat>
          <c:val>
            <c:numRef>
              <c:f>'PROJEKTO PARAMETRAI'!$C$17:$H$17</c:f>
              <c:numCache>
                <c:formatCode>#\ ##0.00\ [$EUR]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SUPLANUOTOS ir FAKTINĖS VALANDOS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'PROJEKTO PARAMETRAI'!$B$18</c:f>
              <c:strCache>
                <c:ptCount val="1"/>
                <c:pt idx="0">
                  <c:v>SUPLANUOTOS VALANDOS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'PROJEKTO PARAMETRAI'!$C$15:$H$15</c:f>
              <c:strCache>
                <c:ptCount val="6"/>
                <c:pt idx="0">
                  <c:v>PASKYROS VADOVAS</c:v>
                </c:pt>
                <c:pt idx="1">
                  <c:v>PROJEKTO VADOVAS</c:v>
                </c:pt>
                <c:pt idx="2">
                  <c:v>STRATEGIJOS VADOVAS</c:v>
                </c:pt>
                <c:pt idx="3">
                  <c:v>DIZAINO SPECIALISTĖ</c:v>
                </c:pt>
                <c:pt idx="4">
                  <c:v>RENGINIO DARBUOTOJAI</c:v>
                </c:pt>
                <c:pt idx="5">
                  <c:v>ADMINISTRACIJOS DARBUOTOJAI</c:v>
                </c:pt>
              </c:strCache>
            </c:strRef>
          </c:cat>
          <c:val>
            <c:numRef>
              <c:f>'PROJEKTO PARAMETRAI'!$C$18:$H$18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'PROJEKTO PARAMETRAI'!$B$19</c:f>
              <c:strCache>
                <c:ptCount val="1"/>
                <c:pt idx="0">
                  <c:v>FAKTINĖS VALANDOS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'PROJEKTO PARAMETRAI'!$C$15:$H$15</c:f>
              <c:strCache>
                <c:ptCount val="6"/>
                <c:pt idx="0">
                  <c:v>PASKYROS VADOVAS</c:v>
                </c:pt>
                <c:pt idx="1">
                  <c:v>PROJEKTO VADOVAS</c:v>
                </c:pt>
                <c:pt idx="2">
                  <c:v>STRATEGIJOS VADOVAS</c:v>
                </c:pt>
                <c:pt idx="3">
                  <c:v>DIZAINO SPECIALISTĖ</c:v>
                </c:pt>
                <c:pt idx="4">
                  <c:v>RENGINIO DARBUOTOJAI</c:v>
                </c:pt>
                <c:pt idx="5">
                  <c:v>ADMINISTRACIJOS DARBUOTOJAI</c:v>
                </c:pt>
              </c:strCache>
            </c:strRef>
          </c:cat>
          <c:val>
            <c:numRef>
              <c:f>'PROJEKTO PARAMETRAI'!$C$19:$H$19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12</xdr:row>
      <xdr:rowOff>171449</xdr:rowOff>
    </xdr:from>
    <xdr:to>
      <xdr:col>4</xdr:col>
      <xdr:colOff>1449225</xdr:colOff>
      <xdr:row>42</xdr:row>
      <xdr:rowOff>66675</xdr:rowOff>
    </xdr:to>
    <xdr:graphicFrame macro="">
      <xdr:nvGraphicFramePr>
        <xdr:cNvPr id="7" name="6 diagrama" descr="Stulpelinė diagrama, rodanti planuojamų ir faktinių išlaidų palyginimą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1695450</xdr:colOff>
      <xdr:row>12</xdr:row>
      <xdr:rowOff>180974</xdr:rowOff>
    </xdr:from>
    <xdr:to>
      <xdr:col>9</xdr:col>
      <xdr:colOff>19050</xdr:colOff>
      <xdr:row>42</xdr:row>
      <xdr:rowOff>76200</xdr:rowOff>
    </xdr:to>
    <xdr:graphicFrame macro="">
      <xdr:nvGraphicFramePr>
        <xdr:cNvPr id="8" name="7 diagrama" descr="Stulpelinė diagrama, rodanti planuojamų ir faktinių valandų palyginimą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2</xdr:row>
      <xdr:rowOff>371474</xdr:rowOff>
    </xdr:from>
    <xdr:to>
      <xdr:col>28</xdr:col>
      <xdr:colOff>590550</xdr:colOff>
      <xdr:row>19</xdr:row>
      <xdr:rowOff>38099</xdr:rowOff>
    </xdr:to>
    <xdr:sp macro="" textlink="">
      <xdr:nvSpPr>
        <xdr:cNvPr id="2" name="1 stačiakampis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239500" y="1066799"/>
          <a:ext cx="3028950" cy="30765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lt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INFORMACIJA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lt" sz="1100">
              <a:solidFill>
                <a:schemeClr val="tx1">
                  <a:lumMod val="65000"/>
                  <a:lumOff val="35000"/>
                </a:schemeClr>
              </a:solidFill>
            </a:rPr>
            <a:t>Norėdami įtraukti eilutę, pasirinkite</a:t>
          </a:r>
          <a:r>
            <a:rPr lang="lt" sz="1100" baseline="0">
              <a:solidFill>
                <a:schemeClr val="tx1">
                  <a:lumMod val="65000"/>
                  <a:lumOff val="35000"/>
                </a:schemeClr>
              </a:solidFill>
            </a:rPr>
            <a:t> apatiniame dešiniajame kampe esantį langelį (ne sumos eilutę) ir paspauskite Tab arba paspauskite dešinįjį pelės mygtuką ten, kur norite įterpti eilutę, tada spustelėkite Įterpti | Lentelės eilutės </a:t>
          </a:r>
          <a:r>
            <a:rPr lang="lt-LT" sz="1100" baseline="0">
              <a:solidFill>
                <a:schemeClr val="tx1">
                  <a:lumMod val="65000"/>
                  <a:lumOff val="35000"/>
                </a:schemeClr>
              </a:solidFill>
            </a:rPr>
            <a:t>Viršuje</a:t>
          </a:r>
          <a:r>
            <a:rPr lang="lt" sz="1100" baseline="0">
              <a:solidFill>
                <a:schemeClr val="tx1">
                  <a:lumMod val="65000"/>
                  <a:lumOff val="35000"/>
                </a:schemeClr>
              </a:solidFill>
            </a:rPr>
            <a:t>/</a:t>
          </a:r>
          <a:r>
            <a:rPr lang="lt-LT" sz="1100" baseline="0">
              <a:solidFill>
                <a:schemeClr val="tx1">
                  <a:lumMod val="65000"/>
                  <a:lumOff val="35000"/>
                </a:schemeClr>
              </a:solidFill>
            </a:rPr>
            <a:t>apačioje</a:t>
          </a:r>
          <a:r>
            <a:rPr lang="lt" sz="1100" baseline="0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lt" sz="1100" baseline="0">
              <a:solidFill>
                <a:schemeClr val="tx1">
                  <a:lumMod val="65000"/>
                  <a:lumOff val="35000"/>
                </a:schemeClr>
              </a:solidFill>
            </a:rPr>
            <a:t>Įsitikinkite, kad panaikintos visos nenaudojamas eilutės, nes PROJEKTO SUMOS PivotTable naudos visus lentelės langelius, nes kitu atveju bus pateikti klaidingi rezultatai.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lt" sz="1100" baseline="0">
              <a:solidFill>
                <a:schemeClr val="tx1">
                  <a:lumMod val="65000"/>
                  <a:lumOff val="35000"/>
                </a:schemeClr>
              </a:solidFill>
            </a:rPr>
            <a:t>Norėdami panaikinti šį informacinį patarimą, pasirinkite bet kurį kraštą, tada paspauskite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19</xdr:col>
      <xdr:colOff>590550</xdr:colOff>
      <xdr:row>13</xdr:row>
      <xdr:rowOff>133350</xdr:rowOff>
    </xdr:to>
    <xdr:sp macro="" textlink="">
      <xdr:nvSpPr>
        <xdr:cNvPr id="2" name="1 stačiakampis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53875" y="1066800"/>
          <a:ext cx="3028950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lt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INFORMACIJA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lt" sz="1100">
              <a:solidFill>
                <a:schemeClr val="tx1">
                  <a:lumMod val="65000"/>
                  <a:lumOff val="35000"/>
                </a:schemeClr>
              </a:solidFill>
            </a:rPr>
            <a:t>Ši „PivotTable“ nebus automatiškai atnaujinta.  Norėdami atnaujinti, pasirinkite</a:t>
          </a:r>
          <a:r>
            <a:rPr lang="lt" sz="1100" baseline="0">
              <a:solidFill>
                <a:schemeClr val="tx1">
                  <a:lumMod val="65000"/>
                  <a:lumOff val="35000"/>
                </a:schemeClr>
              </a:solidFill>
            </a:rPr>
            <a:t> ją (bet kurį langelį iš „PivotTable“), juostelės skirtuke PIVOTTABLE ĮRANKIAI | ANALIZUOTI paspauskite Atnaujinti.  Arba dešiniuoju pelės mygtuku spustelėkite bet kurį „PivotTable“ langelį, tada pasirinkite Atnaujinti.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lt" sz="1100" baseline="0">
              <a:solidFill>
                <a:schemeClr val="tx1">
                  <a:lumMod val="65000"/>
                  <a:lumOff val="35000"/>
                </a:schemeClr>
              </a:solidFill>
            </a:rPr>
            <a:t>Norėdami panaikinti šį informacinį patarimą, pasirinkite bet kurį kraštą, tada paspauskite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5.747414351848" createdVersion="5" refreshedVersion="6" minRefreshableVersion="3" recordCount="5" xr:uid="{00000000-000A-0000-FFFF-FFFF00000000}">
  <cacheSource type="worksheet">
    <worksheetSource name="ProjektoInformacija"/>
  </cacheSource>
  <cacheFields count="22">
    <cacheField name="PROJEKTO PAVADINIMAS" numFmtId="0">
      <sharedItems count="5">
        <s v="1 projektas"/>
        <s v="2 projektas"/>
        <s v="3 projektas"/>
        <s v="4 projektas"/>
        <s v="5 projektas"/>
      </sharedItems>
    </cacheField>
    <cacheField name="PROJEKTO TIPAS" numFmtId="0">
      <sharedItems/>
    </cacheField>
    <cacheField name="NUMATOMA PRADŽIA" numFmtId="14">
      <sharedItems containsSemiMixedTypes="0" containsNonDate="0" containsDate="1" containsString="0" minDate="2019-06-09T00:00:00" maxDate="2023-08-12T00:00:00"/>
    </cacheField>
    <cacheField name="NUMATOMA PABAIGA" numFmtId="14">
      <sharedItems containsSemiMixedTypes="0" containsNonDate="0" containsDate="1" containsString="0" minDate="2019-08-07T00:00:00" maxDate="2023-08-22T00:00:00"/>
    </cacheField>
    <cacheField name="FAKTINĖ PRADŽIA" numFmtId="14">
      <sharedItems containsSemiMixedTypes="0" containsNonDate="0" containsDate="1" containsString="0" minDate="2019-06-29T00:00:00" maxDate="2025-08-08T00:00:00"/>
    </cacheField>
    <cacheField name="FAKTINĖ PABAIGA" numFmtId="14">
      <sharedItems containsSemiMixedTypes="0" containsNonDate="0" containsDate="1" containsString="0" minDate="2019-09-03T00:00:00" maxDate="2025-10-11T00:00:00"/>
    </cacheField>
    <cacheField name="NUMATYTOS DARBO VALANDOS" numFmtId="0">
      <sharedItems containsSemiMixedTypes="0" containsString="0" containsNumber="1" containsInteger="1" minValue="150" maxValue="500"/>
    </cacheField>
    <cacheField name="FAKTINĖS DARBO VALANDOS" numFmtId="0">
      <sharedItems containsSemiMixedTypes="0" containsString="0" containsNumber="1" containsInteger="1" minValue="145" maxValue="500"/>
    </cacheField>
    <cacheField name="NUMATOMA TRUKMĖ" numFmtId="0">
      <sharedItems containsSemiMixedTypes="0" containsString="0" containsNumber="1" containsInteger="1" minValue="10" maxValue="67"/>
    </cacheField>
    <cacheField name="FAKTINĖ TRUKMĖ" numFmtId="0">
      <sharedItems containsSemiMixedTypes="0" containsString="0" containsNumber="1" containsInteger="1" minValue="11" maxValue="400"/>
    </cacheField>
    <cacheField name="PASKYROS VADOVAS" numFmtId="170">
      <sharedItems containsSemiMixedTypes="0" containsString="0" containsNumber="1" containsInteger="1" minValue="5400" maxValue="18000"/>
    </cacheField>
    <cacheField name="PROJEKTO VADOVAS" numFmtId="170">
      <sharedItems containsSemiMixedTypes="0" containsString="0" containsNumber="1" containsInteger="1" minValue="2400" maxValue="24000"/>
    </cacheField>
    <cacheField name="STRATEGIJOS VADOVAS" numFmtId="170">
      <sharedItems containsSemiMixedTypes="0" containsString="0" containsNumber="1" containsInteger="1" minValue="0" maxValue="18000"/>
    </cacheField>
    <cacheField name="DIZAINO SPECIALISTĖ" numFmtId="170">
      <sharedItems containsSemiMixedTypes="0" containsString="0" containsNumber="1" containsInteger="1" minValue="0" maxValue="25000"/>
    </cacheField>
    <cacheField name="RENGINIO DARBUOTOJAI" numFmtId="170">
      <sharedItems containsSemiMixedTypes="0" containsString="0" containsNumber="1" containsInteger="1" minValue="0" maxValue="12000"/>
    </cacheField>
    <cacheField name="ADMINISTRACIJOS DARBUOTOJAI" numFmtId="170">
      <sharedItems containsSemiMixedTypes="0" containsString="0" containsNumber="1" containsInteger="1" minValue="900" maxValue="3000"/>
    </cacheField>
    <cacheField name="PASKYROS VADOVAS " numFmtId="170">
      <sharedItems containsSemiMixedTypes="0" containsString="0" containsNumber="1" containsInteger="1" minValue="5220" maxValue="18000"/>
    </cacheField>
    <cacheField name="PROJEKTO VADOVAS " numFmtId="170">
      <sharedItems containsSemiMixedTypes="0" containsString="0" containsNumber="1" containsInteger="1" minValue="2640" maxValue="23400"/>
    </cacheField>
    <cacheField name="STRATEGIJOS VADOVAS " numFmtId="170">
      <sharedItems containsSemiMixedTypes="0" containsString="0" containsNumber="1" containsInteger="1" minValue="0" maxValue="19800"/>
    </cacheField>
    <cacheField name="DIZAINO SPECIALISTĖ " numFmtId="170">
      <sharedItems containsSemiMixedTypes="0" containsString="0" containsNumber="1" containsInteger="1" minValue="0" maxValue="25000"/>
    </cacheField>
    <cacheField name="RENGINIO DARBUOTOJAI " numFmtId="170">
      <sharedItems containsSemiMixedTypes="0" containsString="0" containsNumber="1" containsInteger="1" minValue="0" maxValue="12240"/>
    </cacheField>
    <cacheField name="ADMINISTRACIJOS DARBUOTOJAI " numFmtId="170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Renginio strategijos plėtojimas"/>
    <d v="2019-06-09T00:00:00"/>
    <d v="2019-08-07T00:00:00"/>
    <d v="2019-06-29T00:00:00"/>
    <d v="2019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Renginio planavimas"/>
    <d v="2020-06-25T00:00:00"/>
    <d v="2020-07-27T00:00:00"/>
    <d v="2019-07-15T00:00:00"/>
    <d v="2020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Renginio dizainas"/>
    <d v="2021-07-12T00:00:00"/>
    <d v="2021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Renginio logistika"/>
    <d v="2022-07-30T00:00:00"/>
    <d v="2022-09-28T00:00:00"/>
    <d v="2022-09-14T00:00:00"/>
    <d v="2022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Renginio darbuotojai"/>
    <d v="2023-08-11T00:00:00"/>
    <d v="2023-08-21T00:00:00"/>
    <d v="2023-09-14T00:00:00"/>
    <d v="2023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Iš viso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70" outline="0" showAll="0"/>
    <pivotField dataField="1" compact="0" numFmtId="170" outline="0" showAll="0"/>
    <pivotField dataField="1" compact="0" numFmtId="170" outline="0" showAll="0"/>
    <pivotField dataField="1" compact="0" numFmtId="170" outline="0" showAll="0"/>
    <pivotField dataField="1" compact="0" numFmtId="170" outline="0" showAll="0"/>
    <pivotField dataField="1" compact="0" numFmtId="170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PASKYROS VADOVO NUMATOMA SUMA" fld="10" baseField="0" baseItem="2" numFmtId="175"/>
    <dataField name="PROJEKTO VADOVO NUMATOMA SUMA" fld="11" baseField="0" baseItem="2" numFmtId="175"/>
    <dataField name="STRATEGIJOS VADOVO NUMATOMA SUMA" fld="12" baseField="0" baseItem="2" numFmtId="175"/>
    <dataField name="DIZAINO SPECIALISTĖS NUMATOMA SUMA" fld="13" baseField="0" baseItem="2" numFmtId="175"/>
    <dataField name="RENGINIO DARBUOTOJŲ NUMATOMA SUMA" fld="14" baseField="0" baseItem="2" numFmtId="175"/>
    <dataField name="ADMINISTRAVIMO DARBUOTOJŲ NUMATOMA SUMA" fld="15" baseField="0" baseItem="2" numFmtId="175"/>
    <dataField name="PASKYROS VADOVO FAKTINĖ SUMA" fld="16" baseField="0" baseItem="2" numFmtId="175"/>
    <dataField name="PROJEKTO VADOVO FAKTINĖ SUMA" fld="17" baseField="0" baseItem="2" numFmtId="175"/>
    <dataField name="STRATEGIJOS VADOVO FAKTINĖ SUMA" fld="18" baseField="0" baseItem="2" numFmtId="175"/>
    <dataField name="DIZAINO SPECIALISTĖS FAKTINĖ SUMA" fld="19" baseField="0" baseItem="2" numFmtId="175"/>
    <dataField name="RENGINIO DARBUOTOJŲ FAKTINĖ SUMA" fld="20" baseField="0" baseItem="2" numFmtId="175"/>
    <dataField name="ADMINISTRAVIMO DARBUOTOJŲ FAKTINĖ SUMA" fld="21" baseField="0" baseItem="2" numFmtId="175"/>
  </dataFields>
  <formats count="50">
    <format dxfId="116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67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1166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1165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1164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1163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1162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1161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1160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1159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1158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1157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1156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1155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1154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1153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1152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1151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1150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1149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1148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1147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1146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1145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1144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1143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1142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1141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1140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1139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1138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1137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1136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1135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1134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1133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1132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613">
      <pivotArea dataOnly="0" labelOnly="1" outline="0" fieldPosition="0">
        <references count="1">
          <reference field="4294967294" count="6">
            <x v="6"/>
            <x v="7"/>
            <x v="8"/>
            <x v="9"/>
            <x v="10"/>
            <x v="11"/>
          </reference>
        </references>
      </pivotArea>
    </format>
    <format dxfId="568">
      <pivotArea outline="0" fieldPosition="0">
        <references count="1">
          <reference field="4294967294" count="1">
            <x v="0"/>
          </reference>
        </references>
      </pivotArea>
    </format>
    <format dxfId="522">
      <pivotArea outline="0" fieldPosition="0">
        <references count="1">
          <reference field="4294967294" count="1">
            <x v="1"/>
          </reference>
        </references>
      </pivotArea>
    </format>
    <format dxfId="476">
      <pivotArea outline="0" fieldPosition="0">
        <references count="1">
          <reference field="4294967294" count="1">
            <x v="2"/>
          </reference>
        </references>
      </pivotArea>
    </format>
    <format dxfId="430">
      <pivotArea outline="0" fieldPosition="0">
        <references count="1">
          <reference field="4294967294" count="1">
            <x v="3"/>
          </reference>
        </references>
      </pivotArea>
    </format>
    <format dxfId="384">
      <pivotArea outline="0" fieldPosition="0">
        <references count="1">
          <reference field="4294967294" count="1">
            <x v="4"/>
          </reference>
        </references>
      </pivotArea>
    </format>
    <format dxfId="338">
      <pivotArea outline="0" fieldPosition="0">
        <references count="1">
          <reference field="4294967294" count="1">
            <x v="5"/>
          </reference>
        </references>
      </pivotArea>
    </format>
    <format dxfId="292">
      <pivotArea outline="0" fieldPosition="0">
        <references count="1">
          <reference field="4294967294" count="1">
            <x v="6"/>
          </reference>
        </references>
      </pivotArea>
    </format>
    <format dxfId="246">
      <pivotArea outline="0" fieldPosition="0">
        <references count="1">
          <reference field="4294967294" count="1">
            <x v="7"/>
          </reference>
        </references>
      </pivotArea>
    </format>
    <format dxfId="199">
      <pivotArea outline="0" fieldPosition="0">
        <references count="1">
          <reference field="4294967294" count="1">
            <x v="8"/>
          </reference>
        </references>
      </pivotArea>
    </format>
    <format dxfId="151">
      <pivotArea outline="0" fieldPosition="0">
        <references count="1">
          <reference field="4294967294" count="1">
            <x v="9"/>
          </reference>
        </references>
      </pivotArea>
    </format>
    <format dxfId="102">
      <pivotArea outline="0" fieldPosition="0">
        <references count="1">
          <reference field="4294967294" count="1">
            <x v="10"/>
          </reference>
        </references>
      </pivotArea>
    </format>
    <format dxfId="52">
      <pivotArea outline="0" fieldPosition="0">
        <references count="1">
          <reference field="4294967294" count="1"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Šioje „PivotTable“ pateikiami projektų pavadinimai ir apskaičiuotos visų darbalapyje PROJEKTO PARAMETRAI esančių elementų reikšmė. Jos apskaičiuojamos padauginant trukmę valandomis lape PROJEKTO INFORMACIJ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ametrai" displayName="Parametrai" ref="B5:I11" headerRowDxfId="1178" dataDxfId="1177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JEKTO TIPAS" totalsRowLabel="Suma" dataDxfId="1176" totalsRowDxfId="0"/>
    <tableColumn id="2" xr3:uid="{00000000-0010-0000-0000-000002000000}" name="PASKYROS VADOVAS" dataDxfId="1175" totalsRowDxfId="1"/>
    <tableColumn id="3" xr3:uid="{00000000-0010-0000-0000-000003000000}" name="PROJEKTO VADOVAS" dataDxfId="1174" totalsRowDxfId="2"/>
    <tableColumn id="4" xr3:uid="{00000000-0010-0000-0000-000004000000}" name="STRATEGIJOS VADOVAS" dataDxfId="1173" totalsRowDxfId="3"/>
    <tableColumn id="5" xr3:uid="{00000000-0010-0000-0000-000005000000}" name="DIZAINO SPECIALISTĖ" dataDxfId="1172" totalsRowDxfId="4"/>
    <tableColumn id="6" xr3:uid="{00000000-0010-0000-0000-000006000000}" name="RENGINIO DARBUOTOJAI" dataDxfId="1171" totalsRowDxfId="5"/>
    <tableColumn id="7" xr3:uid="{00000000-0010-0000-0000-000007000000}" name="ADMINISTRACIJOS DARBUOTOJAI" dataDxfId="1170" totalsRowDxfId="6"/>
    <tableColumn id="8" xr3:uid="{00000000-0010-0000-0000-000008000000}" name="Suma" totalsRowFunction="sum" dataDxfId="1169" totalsRowDxfId="7">
      <calculatedColumnFormula>SUM(Parametrai[[#This Row],[PASKYROS VADOVAS]:[ADMINISTRACIJOS DARBUOTOJAI]])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Įveskite projekto pavadinimą, klientų vadybininko, projektų vadovo, strategijos vadovo, dizaino specialisto, renginio darbuotojų ir administracijos darbuotojų procentus. Suma apskaičiuojama automatišk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ktoInformacija" displayName="ProjektoInformacija" ref="B4:W10" totalsRowCount="1" headerRowDxfId="1131" dataDxfId="1130">
  <tableColumns count="22">
    <tableColumn id="1" xr3:uid="{00000000-0010-0000-0100-000001000000}" name="PROJEKTO PAVADINIMAS" totalsRowLabel="BENDRA SUMA" dataDxfId="51" totalsRowDxfId="50"/>
    <tableColumn id="2" xr3:uid="{00000000-0010-0000-0100-000002000000}" name="PROJEKTO TIPAS" dataDxfId="49" totalsRowDxfId="48"/>
    <tableColumn id="3" xr3:uid="{00000000-0010-0000-0100-000003000000}" name="NUMATOMA PRADŽIA" dataDxfId="47" totalsRowDxfId="46"/>
    <tableColumn id="4" xr3:uid="{00000000-0010-0000-0100-000004000000}" name="NUMATOMA PABAIGA" dataDxfId="45" totalsRowDxfId="44"/>
    <tableColumn id="7" xr3:uid="{00000000-0010-0000-0100-000007000000}" name="FAKTINĖ PRADŽIA" dataDxfId="43" totalsRowDxfId="42"/>
    <tableColumn id="8" xr3:uid="{00000000-0010-0000-0100-000008000000}" name="FAKTINĖ PABAIGA" dataDxfId="41" totalsRowDxfId="40"/>
    <tableColumn id="5" xr3:uid="{00000000-0010-0000-0100-000005000000}" name="NUMATYTOS DARBO VALANDOS" totalsRowFunction="sum" dataDxfId="39" totalsRowDxfId="38"/>
    <tableColumn id="9" xr3:uid="{00000000-0010-0000-0100-000009000000}" name="FAKTINĖS DARBO VALANDOS" totalsRowFunction="sum" dataDxfId="37" totalsRowDxfId="36"/>
    <tableColumn id="6" xr3:uid="{00000000-0010-0000-0100-000006000000}" name="NUMATOMA TRUKMĖ" totalsRowFunction="sum" dataDxfId="35" totalsRowDxfId="34">
      <calculatedColumnFormula>DAYS360(ProjektoInformacija[[#This Row],[NUMATOMA PRADŽIA]],ProjektoInformacija[[#This Row],[NUMATOMA PABAIGA]],FALSE)</calculatedColumnFormula>
    </tableColumn>
    <tableColumn id="10" xr3:uid="{00000000-0010-0000-0100-00000A000000}" name="FAKTINĖ TRUKMĖ" totalsRowFunction="sum" dataDxfId="33" totalsRowDxfId="32">
      <calculatedColumnFormula>DAYS360(ProjektoInformacija[[#This Row],[FAKTINĖ PRADŽIA]],ProjektoInformacija[[#This Row],[FAKTINĖ PABAIGA]],FALSE)</calculatedColumnFormula>
    </tableColumn>
    <tableColumn id="11" xr3:uid="{00000000-0010-0000-0100-00000B000000}" name="PASKYROS VADOVAS" dataDxfId="31" totalsRowDxfId="30">
      <calculatedColumnFormula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Row],[NUMATYTOS DARBO VALANDOS]]</calculatedColumnFormula>
    </tableColumn>
    <tableColumn id="12" xr3:uid="{00000000-0010-0000-0100-00000C000000}" name="PROJEKTO VADOVAS" dataDxfId="29" totalsRowDxfId="28">
      <calculatedColumnFormula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Row],[NUMATYTOS DARBO VALANDOS]]</calculatedColumnFormula>
    </tableColumn>
    <tableColumn id="13" xr3:uid="{00000000-0010-0000-0100-00000D000000}" name="STRATEGIJOS VADOVAS" dataDxfId="27" totalsRowDxfId="26">
      <calculatedColumnFormula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Row],[NUMATYTOS DARBO VALANDOS]]</calculatedColumnFormula>
    </tableColumn>
    <tableColumn id="14" xr3:uid="{00000000-0010-0000-0100-00000E000000}" name="DIZAINO SPECIALISTĖ" dataDxfId="25" totalsRowDxfId="24">
      <calculatedColumnFormula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Row],[NUMATYTOS DARBO VALANDOS]]</calculatedColumnFormula>
    </tableColumn>
    <tableColumn id="15" xr3:uid="{00000000-0010-0000-0100-00000F000000}" name="RENGINIO DARBUOTOJAI" dataDxfId="23" totalsRowDxfId="22">
      <calculatedColumnFormula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Row],[NUMATYTOS DARBO VALANDOS]]</calculatedColumnFormula>
    </tableColumn>
    <tableColumn id="16" xr3:uid="{00000000-0010-0000-0100-000010000000}" name="ADMINISTRACIJOS DARBUOTOJAI" dataDxfId="21" totalsRowDxfId="20">
      <calculatedColumnFormula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Row],[NUMATYTOS DARBO VALANDOS]]</calculatedColumnFormula>
    </tableColumn>
    <tableColumn id="17" xr3:uid="{00000000-0010-0000-0100-000011000000}" name="PASKYROS VADOVAS " dataDxfId="19" totalsRowDxfId="18">
      <calculatedColumnFormula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Row],[FAKTINĖS DARBO VALANDOS]]</calculatedColumnFormula>
    </tableColumn>
    <tableColumn id="18" xr3:uid="{00000000-0010-0000-0100-000012000000}" name="PROJEKTO VADOVAS " dataDxfId="17" totalsRowDxfId="16">
      <calculatedColumnFormula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Row],[FAKTINĖS DARBO VALANDOS]]</calculatedColumnFormula>
    </tableColumn>
    <tableColumn id="19" xr3:uid="{00000000-0010-0000-0100-000013000000}" name="STRATEGIJOS VADOVAS " dataDxfId="15" totalsRowDxfId="14">
      <calculatedColumnFormula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Row],[FAKTINĖS DARBO VALANDOS]]</calculatedColumnFormula>
    </tableColumn>
    <tableColumn id="20" xr3:uid="{00000000-0010-0000-0100-000014000000}" name="DIZAINO SPECIALISTĖ " dataDxfId="13" totalsRowDxfId="12">
      <calculatedColumnFormula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Row],[FAKTINĖS DARBO VALANDOS]]</calculatedColumnFormula>
    </tableColumn>
    <tableColumn id="21" xr3:uid="{00000000-0010-0000-0100-000015000000}" name="RENGINIO DARBUOTOJAI " dataDxfId="11" totalsRowDxfId="10">
      <calculatedColumnFormula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Row],[FAKTINĖS DARBO VALANDOS]]</calculatedColumnFormula>
    </tableColumn>
    <tableColumn id="22" xr3:uid="{00000000-0010-0000-0100-000016000000}" name="ADMINISTRACIJOS DARBUOTOJAI " dataDxfId="9" totalsRowDxfId="8">
      <calculatedColumnFormula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Row],[FAKTINĖS DARBO VALANDOS]]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Įveskite projekto pavadinimą, numatomas pradžios ir pabaigos datas, faktines pradžios ir pabaigos datas, numatomas ir faktines darbo apimties vertes ir pasirinkite projekto tipą. Numatoma ir faktinė trukmė apskaičiuojamos automatiškai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  <pageSetUpPr fitToPage="1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2:2" ht="19.5" x14ac:dyDescent="0.25">
      <c r="B1" s="17" t="s">
        <v>0</v>
      </c>
    </row>
    <row r="2" spans="2:2" ht="36.75" customHeight="1" x14ac:dyDescent="0.2">
      <c r="B2" s="19" t="s">
        <v>67</v>
      </c>
    </row>
    <row r="3" spans="2:2" ht="52.5" customHeight="1" x14ac:dyDescent="0.2">
      <c r="B3" s="19" t="s">
        <v>68</v>
      </c>
    </row>
    <row r="4" spans="2:2" ht="40.5" customHeight="1" x14ac:dyDescent="0.2">
      <c r="B4" s="19" t="s">
        <v>69</v>
      </c>
    </row>
    <row r="5" spans="2:2" ht="16.5" customHeight="1" x14ac:dyDescent="0.2">
      <c r="B5" s="21" t="s">
        <v>1</v>
      </c>
    </row>
    <row r="6" spans="2:2" ht="66.75" customHeight="1" x14ac:dyDescent="0.2">
      <c r="B6" s="20" t="s">
        <v>2</v>
      </c>
    </row>
    <row r="7" spans="2:2" ht="39.75" customHeight="1" x14ac:dyDescent="0.2">
      <c r="B7" s="20" t="s">
        <v>3</v>
      </c>
    </row>
  </sheetData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 fitToPage="1"/>
  </sheetPr>
  <dimension ref="A1:I43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30.42578125" style="5" customWidth="1"/>
    <col min="3" max="3" width="21.42578125" style="5" bestFit="1" customWidth="1"/>
    <col min="4" max="4" width="20.85546875" style="5" bestFit="1" customWidth="1"/>
    <col min="5" max="5" width="28.140625" style="5" customWidth="1"/>
    <col min="6" max="6" width="24.7109375" style="5" customWidth="1"/>
    <col min="7" max="7" width="23.7109375" style="5" customWidth="1"/>
    <col min="8" max="8" width="34.85546875" style="5" customWidth="1"/>
    <col min="9" max="9" width="7.85546875" style="5" bestFit="1" customWidth="1"/>
    <col min="10" max="10" width="2.7109375" style="5" customWidth="1"/>
    <col min="11" max="16384" width="9.140625" style="5"/>
  </cols>
  <sheetData>
    <row r="1" spans="1:9" ht="35.450000000000003" customHeight="1" x14ac:dyDescent="0.35">
      <c r="A1" s="11" t="s">
        <v>70</v>
      </c>
      <c r="B1" s="2" t="s">
        <v>8</v>
      </c>
      <c r="C1" s="2"/>
      <c r="D1" s="2"/>
      <c r="E1" s="2"/>
      <c r="F1" s="2"/>
      <c r="G1" s="2"/>
      <c r="H1" s="2"/>
      <c r="I1" s="2"/>
    </row>
    <row r="2" spans="1:9" ht="19.5" x14ac:dyDescent="0.25">
      <c r="A2" s="11" t="s">
        <v>4</v>
      </c>
      <c r="B2" s="3" t="s">
        <v>9</v>
      </c>
      <c r="C2" s="3"/>
      <c r="D2" s="3"/>
      <c r="E2" s="3"/>
      <c r="F2" s="3"/>
      <c r="G2" s="3"/>
      <c r="H2" s="3"/>
      <c r="I2" s="3"/>
    </row>
    <row r="3" spans="1:9" ht="15" x14ac:dyDescent="0.2">
      <c r="A3" s="11" t="s">
        <v>5</v>
      </c>
      <c r="B3" s="4" t="str">
        <f>B1&amp;" (konfidencialu)"</f>
        <v>Įmonės pavadinimas (konfidencialu)</v>
      </c>
      <c r="C3" s="4"/>
      <c r="D3" s="4"/>
      <c r="E3" s="4"/>
      <c r="F3" s="4"/>
      <c r="G3" s="4"/>
      <c r="H3" s="4"/>
      <c r="I3" s="4"/>
    </row>
    <row r="4" spans="1:9" ht="28.5" customHeight="1" x14ac:dyDescent="0.2">
      <c r="A4" s="11" t="s">
        <v>6</v>
      </c>
      <c r="B4" s="8" t="s">
        <v>10</v>
      </c>
    </row>
    <row r="5" spans="1:9" ht="21.75" customHeight="1" x14ac:dyDescent="0.2">
      <c r="A5" s="11" t="s">
        <v>7</v>
      </c>
      <c r="B5" s="9" t="s">
        <v>11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29</v>
      </c>
      <c r="H5" s="9" t="s">
        <v>30</v>
      </c>
      <c r="I5" s="9" t="s">
        <v>65</v>
      </c>
    </row>
    <row r="6" spans="1:9" x14ac:dyDescent="0.2">
      <c r="B6" s="5" t="s">
        <v>12</v>
      </c>
      <c r="C6" s="6">
        <v>0.2</v>
      </c>
      <c r="D6" s="6">
        <v>0.1</v>
      </c>
      <c r="E6" s="6">
        <v>0.6</v>
      </c>
      <c r="F6" s="6">
        <v>0</v>
      </c>
      <c r="G6" s="6">
        <v>0</v>
      </c>
      <c r="H6" s="6">
        <v>0.1</v>
      </c>
      <c r="I6" s="7">
        <f>SUM(Parametrai[[#This Row],[PASKYROS VADOVAS]:[ADMINISTRACIJOS DARBUOTOJAI]])</f>
        <v>1</v>
      </c>
    </row>
    <row r="7" spans="1:9" x14ac:dyDescent="0.2">
      <c r="B7" s="5" t="s">
        <v>13</v>
      </c>
      <c r="C7" s="6">
        <v>0.2</v>
      </c>
      <c r="D7" s="6">
        <v>0.5</v>
      </c>
      <c r="E7" s="6">
        <v>0.1</v>
      </c>
      <c r="F7" s="6">
        <v>0.1</v>
      </c>
      <c r="G7" s="6">
        <v>0</v>
      </c>
      <c r="H7" s="6">
        <v>0.1</v>
      </c>
      <c r="I7" s="7">
        <f>SUM(Parametrai[[#This Row],[PASKYROS VADOVAS]:[ADMINISTRACIJOS DARBUOTOJAI]])</f>
        <v>0.99999999999999989</v>
      </c>
    </row>
    <row r="8" spans="1:9" x14ac:dyDescent="0.2">
      <c r="B8" s="5" t="s">
        <v>14</v>
      </c>
      <c r="C8" s="6">
        <v>0.2</v>
      </c>
      <c r="D8" s="6">
        <v>0.2</v>
      </c>
      <c r="E8" s="6">
        <v>0</v>
      </c>
      <c r="F8" s="6">
        <v>0.5</v>
      </c>
      <c r="G8" s="6">
        <v>0</v>
      </c>
      <c r="H8" s="6">
        <v>0.1</v>
      </c>
      <c r="I8" s="7">
        <f>SUM(Parametrai[[#This Row],[PASKYROS VADOVAS]:[ADMINISTRACIJOS DARBUOTOJAI]])</f>
        <v>1</v>
      </c>
    </row>
    <row r="9" spans="1:9" x14ac:dyDescent="0.2">
      <c r="B9" s="5" t="s">
        <v>15</v>
      </c>
      <c r="C9" s="6">
        <v>0.2</v>
      </c>
      <c r="D9" s="6">
        <v>0.6</v>
      </c>
      <c r="E9" s="6">
        <v>0</v>
      </c>
      <c r="F9" s="6">
        <v>0</v>
      </c>
      <c r="G9" s="6">
        <v>0.1</v>
      </c>
      <c r="H9" s="6">
        <v>0.1</v>
      </c>
      <c r="I9" s="7">
        <f>SUM(Parametrai[[#This Row],[PASKYROS VADOVAS]:[ADMINISTRACIJOS DARBUOTOJAI]])</f>
        <v>1</v>
      </c>
    </row>
    <row r="10" spans="1:9" x14ac:dyDescent="0.2">
      <c r="B10" s="5" t="s">
        <v>16</v>
      </c>
      <c r="C10" s="6">
        <v>0.2</v>
      </c>
      <c r="D10" s="6">
        <v>0.1</v>
      </c>
      <c r="E10" s="6">
        <v>0</v>
      </c>
      <c r="F10" s="6">
        <v>0</v>
      </c>
      <c r="G10" s="6">
        <v>0.6</v>
      </c>
      <c r="H10" s="6">
        <v>0.1</v>
      </c>
      <c r="I10" s="7">
        <f>SUM(Parametrai[[#This Row],[PASKYROS VADOVAS]:[ADMINISTRACIJOS DARBUOTOJAI]])</f>
        <v>1</v>
      </c>
    </row>
    <row r="11" spans="1:9" x14ac:dyDescent="0.2">
      <c r="B11" s="5" t="s">
        <v>17</v>
      </c>
      <c r="C11" s="6">
        <v>0.2</v>
      </c>
      <c r="D11" s="6">
        <v>0.2</v>
      </c>
      <c r="E11" s="6">
        <v>0.2</v>
      </c>
      <c r="F11" s="6">
        <v>0.2</v>
      </c>
      <c r="G11" s="6">
        <v>0</v>
      </c>
      <c r="H11" s="6">
        <v>0.2</v>
      </c>
      <c r="I11" s="7">
        <f>SUM(Parametrai[[#This Row],[PASKYROS VADOVAS]:[ADMINISTRACIJOS DARBUOTOJAI]])</f>
        <v>1</v>
      </c>
    </row>
    <row r="12" spans="1:9" x14ac:dyDescent="0.2">
      <c r="A12" s="11" t="s">
        <v>71</v>
      </c>
      <c r="B12" s="5" t="s">
        <v>18</v>
      </c>
      <c r="C12" s="26">
        <v>180</v>
      </c>
      <c r="D12" s="26">
        <v>120</v>
      </c>
      <c r="E12" s="26">
        <v>150</v>
      </c>
      <c r="F12" s="26">
        <v>100</v>
      </c>
      <c r="G12" s="26">
        <v>80</v>
      </c>
      <c r="H12" s="26">
        <v>60</v>
      </c>
      <c r="I12" s="6"/>
    </row>
    <row r="14" spans="1:9" x14ac:dyDescent="0.2">
      <c r="A14" s="11" t="s">
        <v>72</v>
      </c>
      <c r="F14" s="1" t="s">
        <v>28</v>
      </c>
    </row>
    <row r="15" spans="1:9" x14ac:dyDescent="0.2">
      <c r="B15" s="11"/>
      <c r="C15" s="11" t="s">
        <v>24</v>
      </c>
      <c r="D15" s="11" t="s">
        <v>25</v>
      </c>
      <c r="E15" s="11" t="s">
        <v>26</v>
      </c>
      <c r="F15" s="11" t="s">
        <v>27</v>
      </c>
      <c r="G15" s="11" t="s">
        <v>29</v>
      </c>
      <c r="H15" s="11" t="s">
        <v>30</v>
      </c>
    </row>
    <row r="16" spans="1:9" x14ac:dyDescent="0.2">
      <c r="B16" s="11" t="s">
        <v>19</v>
      </c>
      <c r="C16" s="27">
        <f>SUBTOTAL(109,ProjektoInformacija[PASKYROS VADOVAS])</f>
        <v>54000</v>
      </c>
      <c r="D16" s="27">
        <f>SUBTOTAL(109,ProjektoInformacija[PROJEKTO VADOVAS])</f>
        <v>52200</v>
      </c>
      <c r="E16" s="27">
        <f>SUBTOTAL(109,ProjektoInformacija[STRATEGIJOS VADOVAS])</f>
        <v>24000</v>
      </c>
      <c r="F16" s="27">
        <f>SUBTOTAL(109,ProjektoInformacija[DIZAINO SPECIALISTĖ])</f>
        <v>29000</v>
      </c>
      <c r="G16" s="27">
        <f>SUBTOTAL(109,ProjektoInformacija[RENGINIO DARBUOTOJAI])</f>
        <v>13200</v>
      </c>
      <c r="H16" s="27">
        <f>SUBTOTAL(109,ProjektoInformacija[ADMINISTRACIJOS DARBUOTOJAI])</f>
        <v>9000</v>
      </c>
    </row>
    <row r="17" spans="2:9" x14ac:dyDescent="0.2">
      <c r="B17" s="11" t="s">
        <v>20</v>
      </c>
      <c r="C17" s="27">
        <f>SUBTOTAL(109,ProjektoInformacija[[PASKYROS VADOVAS ]])</f>
        <v>54360</v>
      </c>
      <c r="D17" s="27">
        <f>SUBTOTAL(109,ProjektoInformacija[[PROJEKTO VADOVAS ]])</f>
        <v>51540</v>
      </c>
      <c r="E17" s="27">
        <f>SUBTOTAL(109,ProjektoInformacija[[STRATEGIJOS VADOVAS ]])</f>
        <v>25650</v>
      </c>
      <c r="F17" s="27">
        <f>SUBTOTAL(109,ProjektoInformacija[[DIZAINO SPECIALISTĖ ]])</f>
        <v>28900</v>
      </c>
      <c r="G17" s="27">
        <f>SUBTOTAL(109,ProjektoInformacija[[RENGINIO DARBUOTOJAI ]])</f>
        <v>13400</v>
      </c>
      <c r="H17" s="27">
        <f>SUBTOTAL(109,ProjektoInformacija[[ADMINISTRACIJOS DARBUOTOJAI ]])</f>
        <v>9060</v>
      </c>
    </row>
    <row r="18" spans="2:9" x14ac:dyDescent="0.2">
      <c r="B18" s="11" t="s">
        <v>21</v>
      </c>
      <c r="C18" s="12">
        <f>C16/$C$12</f>
        <v>300</v>
      </c>
      <c r="D18" s="12">
        <f t="shared" ref="D18:H18" si="0">D16/$C$12</f>
        <v>290</v>
      </c>
      <c r="E18" s="12">
        <f t="shared" si="0"/>
        <v>133.33333333333334</v>
      </c>
      <c r="F18" s="12">
        <f t="shared" si="0"/>
        <v>161.11111111111111</v>
      </c>
      <c r="G18" s="12">
        <f t="shared" si="0"/>
        <v>73.333333333333329</v>
      </c>
      <c r="H18" s="12">
        <f t="shared" si="0"/>
        <v>50</v>
      </c>
    </row>
    <row r="19" spans="2:9" x14ac:dyDescent="0.2">
      <c r="B19" s="11" t="s">
        <v>22</v>
      </c>
      <c r="C19" s="12">
        <f>C17/$C$12</f>
        <v>302</v>
      </c>
      <c r="D19" s="12">
        <f>D17/$C$12</f>
        <v>286.33333333333331</v>
      </c>
      <c r="E19" s="12">
        <f>E17/$C$12</f>
        <v>142.5</v>
      </c>
      <c r="F19" s="12">
        <f>F17/$C$12</f>
        <v>160.55555555555554</v>
      </c>
      <c r="G19" s="12">
        <f>G17/$C$12</f>
        <v>74.444444444444443</v>
      </c>
      <c r="H19" s="12">
        <f>H17/$C$12</f>
        <v>50.333333333333336</v>
      </c>
    </row>
    <row r="20" spans="2:9" x14ac:dyDescent="0.2">
      <c r="F20" s="11"/>
      <c r="G20" s="11"/>
      <c r="H20" s="11"/>
      <c r="I20" s="11"/>
    </row>
    <row r="21" spans="2:9" x14ac:dyDescent="0.2">
      <c r="F21" s="11"/>
      <c r="G21" s="11"/>
      <c r="H21" s="11"/>
      <c r="I21" s="11"/>
    </row>
    <row r="22" spans="2:9" x14ac:dyDescent="0.2">
      <c r="F22" s="11"/>
      <c r="G22" s="11"/>
      <c r="H22" s="11"/>
      <c r="I22" s="11"/>
    </row>
    <row r="23" spans="2:9" x14ac:dyDescent="0.2">
      <c r="F23" s="11"/>
      <c r="G23" s="11"/>
      <c r="H23" s="11"/>
      <c r="I23" s="11"/>
    </row>
    <row r="24" spans="2:9" x14ac:dyDescent="0.2">
      <c r="B24" s="24" t="s">
        <v>23</v>
      </c>
      <c r="C24" s="24"/>
      <c r="D24" s="24"/>
      <c r="F24" s="11"/>
      <c r="G24" s="11"/>
      <c r="H24" s="11"/>
      <c r="I24" s="11"/>
    </row>
    <row r="25" spans="2:9" x14ac:dyDescent="0.2">
      <c r="B25" s="24"/>
      <c r="C25" s="24"/>
      <c r="D25" s="24"/>
      <c r="F25" s="11"/>
      <c r="G25" s="11"/>
      <c r="H25" s="11"/>
      <c r="I25" s="11"/>
    </row>
    <row r="26" spans="2:9" x14ac:dyDescent="0.2">
      <c r="B26" s="24"/>
      <c r="C26" s="24"/>
      <c r="D26" s="24"/>
      <c r="F26" s="11"/>
      <c r="G26" s="11"/>
      <c r="H26" s="11"/>
      <c r="I26" s="11"/>
    </row>
    <row r="27" spans="2:9" x14ac:dyDescent="0.2">
      <c r="B27" s="24"/>
      <c r="C27" s="24"/>
      <c r="D27" s="24"/>
      <c r="F27" s="11"/>
      <c r="G27" s="11"/>
      <c r="H27" s="11"/>
      <c r="I27" s="11"/>
    </row>
    <row r="28" spans="2:9" x14ac:dyDescent="0.2">
      <c r="B28" s="24"/>
      <c r="C28" s="24"/>
      <c r="D28" s="24"/>
      <c r="F28" s="11"/>
      <c r="G28" s="11"/>
      <c r="H28" s="11"/>
      <c r="I28" s="11"/>
    </row>
    <row r="29" spans="2:9" x14ac:dyDescent="0.2">
      <c r="B29" s="24"/>
      <c r="C29" s="24"/>
      <c r="D29" s="24"/>
      <c r="F29" s="11"/>
      <c r="G29" s="11"/>
      <c r="H29" s="11"/>
      <c r="I29" s="11"/>
    </row>
    <row r="30" spans="2:9" x14ac:dyDescent="0.2">
      <c r="B30" s="24"/>
      <c r="C30" s="24"/>
      <c r="D30" s="24"/>
      <c r="F30" s="11"/>
      <c r="G30" s="11"/>
      <c r="H30" s="11"/>
      <c r="I30" s="11"/>
    </row>
    <row r="31" spans="2:9" x14ac:dyDescent="0.2">
      <c r="B31" s="24"/>
      <c r="C31" s="24"/>
      <c r="D31" s="24"/>
      <c r="F31" s="11"/>
      <c r="G31" s="11"/>
      <c r="H31" s="11"/>
      <c r="I31" s="11"/>
    </row>
    <row r="32" spans="2:9" x14ac:dyDescent="0.2">
      <c r="B32" s="24"/>
      <c r="C32" s="24"/>
      <c r="D32" s="24"/>
      <c r="F32" s="11"/>
      <c r="G32" s="11"/>
      <c r="H32" s="11"/>
      <c r="I32" s="11"/>
    </row>
    <row r="33" spans="2:9" x14ac:dyDescent="0.2">
      <c r="B33" s="24"/>
      <c r="C33" s="24"/>
      <c r="D33" s="24"/>
      <c r="F33" s="11"/>
      <c r="G33" s="11"/>
      <c r="H33" s="11"/>
      <c r="I33" s="11"/>
    </row>
    <row r="34" spans="2:9" x14ac:dyDescent="0.2">
      <c r="B34" s="24"/>
      <c r="C34" s="24"/>
      <c r="D34" s="24"/>
      <c r="F34" s="11"/>
      <c r="G34" s="11"/>
      <c r="H34" s="11"/>
      <c r="I34" s="11"/>
    </row>
    <row r="35" spans="2:9" x14ac:dyDescent="0.2">
      <c r="B35" s="24"/>
      <c r="C35" s="24"/>
      <c r="D35" s="24"/>
      <c r="F35" s="11"/>
      <c r="G35" s="11"/>
      <c r="H35" s="11"/>
      <c r="I35" s="11"/>
    </row>
    <row r="36" spans="2:9" x14ac:dyDescent="0.2">
      <c r="B36" s="24"/>
      <c r="C36" s="24"/>
      <c r="D36" s="24"/>
      <c r="F36" s="11"/>
      <c r="G36" s="11"/>
      <c r="H36" s="11"/>
      <c r="I36" s="11"/>
    </row>
    <row r="37" spans="2:9" x14ac:dyDescent="0.2">
      <c r="B37" s="24"/>
      <c r="C37" s="24"/>
      <c r="D37" s="24"/>
      <c r="F37" s="11"/>
      <c r="G37" s="11"/>
      <c r="H37" s="11"/>
      <c r="I37" s="11"/>
    </row>
    <row r="38" spans="2:9" x14ac:dyDescent="0.2">
      <c r="B38" s="24"/>
      <c r="C38" s="24"/>
      <c r="D38" s="24"/>
      <c r="F38" s="11"/>
      <c r="G38" s="11"/>
      <c r="H38" s="11"/>
      <c r="I38" s="11"/>
    </row>
    <row r="39" spans="2:9" x14ac:dyDescent="0.2">
      <c r="B39" s="24"/>
      <c r="C39" s="24"/>
      <c r="D39" s="24"/>
      <c r="F39" s="11"/>
      <c r="G39" s="11"/>
      <c r="H39" s="11"/>
      <c r="I39" s="11"/>
    </row>
    <row r="40" spans="2:9" x14ac:dyDescent="0.2">
      <c r="B40" s="24"/>
      <c r="C40" s="24"/>
      <c r="D40" s="24"/>
      <c r="F40" s="11"/>
      <c r="G40" s="11"/>
      <c r="H40" s="11"/>
      <c r="I40" s="11"/>
    </row>
    <row r="41" spans="2:9" x14ac:dyDescent="0.2">
      <c r="B41" s="24"/>
      <c r="C41" s="24"/>
      <c r="D41" s="24"/>
      <c r="F41" s="11"/>
      <c r="G41" s="11"/>
      <c r="H41" s="11"/>
      <c r="I41" s="11"/>
    </row>
    <row r="42" spans="2:9" x14ac:dyDescent="0.2">
      <c r="B42" s="24"/>
      <c r="C42" s="24"/>
      <c r="D42" s="24"/>
      <c r="F42" s="11"/>
      <c r="G42" s="11"/>
      <c r="H42" s="11"/>
      <c r="I42" s="11"/>
    </row>
    <row r="43" spans="2:9" x14ac:dyDescent="0.2">
      <c r="B43" s="24"/>
      <c r="C43" s="24"/>
      <c r="D43" s="24"/>
      <c r="F43" s="11"/>
      <c r="G43" s="11"/>
      <c r="H43" s="11"/>
      <c r="I43" s="11"/>
    </row>
  </sheetData>
  <mergeCells count="1">
    <mergeCell ref="B24:D43"/>
  </mergeCells>
  <printOptions horizontalCentered="1"/>
  <pageMargins left="0.4" right="0.4" top="0.4" bottom="0.4" header="0.3" footer="0.3"/>
  <pageSetup paperSize="9" fitToHeight="0" orientation="landscape" horizontalDpi="4294967293" verticalDpi="4294967295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W10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25.5703125" style="1" customWidth="1"/>
    <col min="3" max="3" width="26.42578125" style="1" customWidth="1"/>
    <col min="4" max="4" width="13" style="1" customWidth="1"/>
    <col min="5" max="5" width="12.28515625" style="1" customWidth="1"/>
    <col min="6" max="7" width="11.85546875" style="1" customWidth="1"/>
    <col min="8" max="8" width="19.28515625" style="1" customWidth="1"/>
    <col min="9" max="9" width="17.140625" style="1" customWidth="1"/>
    <col min="10" max="10" width="14.140625" style="1" customWidth="1"/>
    <col min="11" max="11" width="12.5703125" style="1" customWidth="1"/>
    <col min="12" max="12" width="11.85546875" style="1" hidden="1" customWidth="1"/>
    <col min="13" max="13" width="11.7109375" style="1" hidden="1" customWidth="1"/>
    <col min="14" max="14" width="13.5703125" style="1" hidden="1" customWidth="1"/>
    <col min="15" max="15" width="13.140625" style="1" hidden="1" customWidth="1"/>
    <col min="16" max="16" width="14.7109375" style="1" hidden="1" customWidth="1"/>
    <col min="17" max="17" width="18.28515625" style="1" hidden="1" customWidth="1"/>
    <col min="18" max="18" width="13" style="1" hidden="1" customWidth="1"/>
    <col min="19" max="19" width="12.7109375" style="1" hidden="1" customWidth="1"/>
    <col min="20" max="20" width="14.7109375" style="1" hidden="1" customWidth="1"/>
    <col min="21" max="21" width="14.5703125" style="1" hidden="1" customWidth="1"/>
    <col min="22" max="22" width="13.7109375" style="1" hidden="1" customWidth="1"/>
    <col min="23" max="23" width="18.7109375" style="1" hidden="1" customWidth="1"/>
    <col min="24" max="24" width="2.7109375" style="1" customWidth="1"/>
    <col min="25" max="16384" width="9.140625" style="1"/>
  </cols>
  <sheetData>
    <row r="1" spans="1:23" ht="35.450000000000003" customHeight="1" x14ac:dyDescent="0.35">
      <c r="A1" s="11" t="s">
        <v>73</v>
      </c>
      <c r="B1" s="2" t="str">
        <f>'PROJEKTO PARAMETRAI'!B1</f>
        <v>Įmonės pavadinimas</v>
      </c>
      <c r="C1" s="2"/>
      <c r="D1" s="2"/>
      <c r="E1" s="2"/>
      <c r="F1" s="2"/>
      <c r="G1" s="2"/>
      <c r="H1" s="2"/>
      <c r="I1" s="2"/>
      <c r="J1" s="2"/>
      <c r="K1" s="2"/>
    </row>
    <row r="2" spans="1:23" ht="19.5" x14ac:dyDescent="0.25">
      <c r="A2" s="11" t="s">
        <v>4</v>
      </c>
      <c r="B2" s="3" t="s">
        <v>9</v>
      </c>
      <c r="C2" s="3"/>
      <c r="D2" s="3"/>
      <c r="E2" s="3"/>
      <c r="F2" s="3"/>
      <c r="G2" s="3"/>
      <c r="H2" s="3"/>
      <c r="I2" s="3"/>
      <c r="J2" s="3"/>
      <c r="K2" s="3"/>
    </row>
    <row r="3" spans="1:23" s="15" customFormat="1" ht="29.25" customHeight="1" x14ac:dyDescent="0.2">
      <c r="A3" s="18" t="s">
        <v>5</v>
      </c>
      <c r="B3" s="16" t="str">
        <f>'PROJEKTO PARAMETRAI'!B3</f>
        <v>Įmonės pavadinimas (konfidencialu)</v>
      </c>
      <c r="C3" s="16"/>
      <c r="D3" s="16"/>
      <c r="E3" s="16"/>
      <c r="F3" s="16"/>
      <c r="G3" s="16"/>
      <c r="H3" s="16"/>
      <c r="I3" s="16"/>
      <c r="J3" s="16"/>
      <c r="K3" s="16"/>
    </row>
    <row r="4" spans="1:23" ht="25.5" customHeight="1" x14ac:dyDescent="0.2">
      <c r="A4" s="22" t="s">
        <v>74</v>
      </c>
      <c r="B4" s="13" t="s">
        <v>31</v>
      </c>
      <c r="C4" s="13" t="s">
        <v>11</v>
      </c>
      <c r="D4" s="13" t="s">
        <v>38</v>
      </c>
      <c r="E4" s="13" t="s">
        <v>39</v>
      </c>
      <c r="F4" s="13" t="s">
        <v>40</v>
      </c>
      <c r="G4" s="13" t="s">
        <v>41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24</v>
      </c>
      <c r="M4" s="13" t="s">
        <v>25</v>
      </c>
      <c r="N4" s="13" t="s">
        <v>26</v>
      </c>
      <c r="O4" s="13" t="s">
        <v>27</v>
      </c>
      <c r="P4" s="13" t="s">
        <v>29</v>
      </c>
      <c r="Q4" s="13" t="s">
        <v>30</v>
      </c>
      <c r="R4" s="13" t="s">
        <v>46</v>
      </c>
      <c r="S4" s="13" t="s">
        <v>47</v>
      </c>
      <c r="T4" s="13" t="s">
        <v>48</v>
      </c>
      <c r="U4" s="13" t="s">
        <v>49</v>
      </c>
      <c r="V4" s="13" t="s">
        <v>50</v>
      </c>
      <c r="W4" s="13" t="s">
        <v>51</v>
      </c>
    </row>
    <row r="5" spans="1:23" x14ac:dyDescent="0.2">
      <c r="B5" t="s">
        <v>32</v>
      </c>
      <c r="C5" t="s">
        <v>12</v>
      </c>
      <c r="D5" s="14">
        <f ca="1">DATE(YEAR(TODAY()),6,9)</f>
        <v>43625</v>
      </c>
      <c r="E5" s="14">
        <f ca="1">DATE(YEAR(TODAY()),8,7)</f>
        <v>43684</v>
      </c>
      <c r="F5" s="14">
        <f ca="1">DATE(YEAR(TODAY()),6,29)</f>
        <v>43645</v>
      </c>
      <c r="G5" s="14">
        <f ca="1">DATE(YEAR(TODAY()),9,3)</f>
        <v>43711</v>
      </c>
      <c r="H5">
        <v>200</v>
      </c>
      <c r="I5">
        <v>220</v>
      </c>
      <c r="J5">
        <f ca="1">DAYS360(ProjektoInformacija[[#This Row],[NUMATOMA PRADŽIA]],ProjektoInformacija[[#This Row],[NUMATOMA PABAIGA]],FALSE)</f>
        <v>58</v>
      </c>
      <c r="K5">
        <f ca="1">DAYS360(ProjektoInformacija[[#This Row],[FAKTINĖ PRADŽIA]],ProjektoInformacija[[#This Row],[FAKTINĖ PABAIGA]],FALSE)</f>
        <v>64</v>
      </c>
      <c r="L5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Row],[NUMATYTOS DARBO VALANDOS]]</f>
        <v>7200</v>
      </c>
      <c r="M5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Row],[NUMATYTOS DARBO VALANDOS]]</f>
        <v>2400</v>
      </c>
      <c r="N5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Row],[NUMATYTOS DARBO VALANDOS]]</f>
        <v>18000</v>
      </c>
      <c r="O5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Row],[NUMATYTOS DARBO VALANDOS]]</f>
        <v>0</v>
      </c>
      <c r="P5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Row],[NUMATYTOS DARBO VALANDOS]]</f>
        <v>0</v>
      </c>
      <c r="Q5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Row],[NUMATYTOS DARBO VALANDOS]]</f>
        <v>1200</v>
      </c>
      <c r="R5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Row],[FAKTINĖS DARBO VALANDOS]]</f>
        <v>7920</v>
      </c>
      <c r="S5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Row],[FAKTINĖS DARBO VALANDOS]]</f>
        <v>2640</v>
      </c>
      <c r="T5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Row],[FAKTINĖS DARBO VALANDOS]]</f>
        <v>19800</v>
      </c>
      <c r="U5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Row],[FAKTINĖS DARBO VALANDOS]]</f>
        <v>0</v>
      </c>
      <c r="V5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Row],[FAKTINĖS DARBO VALANDOS]]</f>
        <v>0</v>
      </c>
      <c r="W5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Row],[FAKTINĖS DARBO VALANDOS]]</f>
        <v>1320</v>
      </c>
    </row>
    <row r="6" spans="1:23" x14ac:dyDescent="0.2">
      <c r="B6" t="s">
        <v>33</v>
      </c>
      <c r="C6" t="s">
        <v>13</v>
      </c>
      <c r="D6" s="14">
        <f ca="1">DATE(YEAR(TODAY())+1,6,25)</f>
        <v>44007</v>
      </c>
      <c r="E6" s="14">
        <f ca="1">DATE(YEAR(TODAY())+1,7,27)</f>
        <v>44039</v>
      </c>
      <c r="F6" s="14">
        <f ca="1">DATE(YEAR(TODAY()),7,15)</f>
        <v>43661</v>
      </c>
      <c r="G6" s="14">
        <f ca="1">DATE(YEAR(TODAY())+1,8,25)</f>
        <v>44068</v>
      </c>
      <c r="H6">
        <v>400</v>
      </c>
      <c r="I6">
        <v>390</v>
      </c>
      <c r="J6">
        <f ca="1">DAYS360(ProjektoInformacija[[#This Row],[NUMATOMA PRADŽIA]],ProjektoInformacija[[#This Row],[NUMATOMA PABAIGA]],FALSE)</f>
        <v>32</v>
      </c>
      <c r="K6">
        <f ca="1">DAYS360(ProjektoInformacija[[#This Row],[FAKTINĖ PRADŽIA]],ProjektoInformacija[[#This Row],[FAKTINĖ PABAIGA]],FALSE)</f>
        <v>400</v>
      </c>
      <c r="L6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Row],[NUMATYTOS DARBO VALANDOS]]</f>
        <v>14400</v>
      </c>
      <c r="M6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Row],[NUMATYTOS DARBO VALANDOS]]</f>
        <v>24000</v>
      </c>
      <c r="N6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Row],[NUMATYTOS DARBO VALANDOS]]</f>
        <v>6000</v>
      </c>
      <c r="O6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Row],[NUMATYTOS DARBO VALANDOS]]</f>
        <v>4000</v>
      </c>
      <c r="P6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Row],[NUMATYTOS DARBO VALANDOS]]</f>
        <v>0</v>
      </c>
      <c r="Q6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Row],[NUMATYTOS DARBO VALANDOS]]</f>
        <v>2400</v>
      </c>
      <c r="R6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Row],[FAKTINĖS DARBO VALANDOS]]</f>
        <v>14040</v>
      </c>
      <c r="S6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Row],[FAKTINĖS DARBO VALANDOS]]</f>
        <v>23400</v>
      </c>
      <c r="T6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Row],[FAKTINĖS DARBO VALANDOS]]</f>
        <v>5850</v>
      </c>
      <c r="U6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Row],[FAKTINĖS DARBO VALANDOS]]</f>
        <v>3900</v>
      </c>
      <c r="V6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Row],[FAKTINĖS DARBO VALANDOS]]</f>
        <v>0</v>
      </c>
      <c r="W6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Row],[FAKTINĖS DARBO VALANDOS]]</f>
        <v>2340</v>
      </c>
    </row>
    <row r="7" spans="1:23" x14ac:dyDescent="0.2">
      <c r="B7" t="s">
        <v>34</v>
      </c>
      <c r="C7" t="s">
        <v>14</v>
      </c>
      <c r="D7" s="14">
        <f ca="1">DATE(YEAR(TODAY())+2,7,12)</f>
        <v>44389</v>
      </c>
      <c r="E7" s="14">
        <f ca="1">DATE(YEAR(TODAY())+2,9,19)</f>
        <v>44458</v>
      </c>
      <c r="F7" s="14">
        <f ca="1">DATE(YEAR(TODAY())+6,8,7)</f>
        <v>45876</v>
      </c>
      <c r="G7" s="14">
        <f ca="1">DATE(YEAR(TODAY())+6,10,10)</f>
        <v>45940</v>
      </c>
      <c r="H7">
        <v>500</v>
      </c>
      <c r="I7">
        <v>500</v>
      </c>
      <c r="J7">
        <f ca="1">DAYS360(ProjektoInformacija[[#This Row],[NUMATOMA PRADŽIA]],ProjektoInformacija[[#This Row],[NUMATOMA PABAIGA]],FALSE)</f>
        <v>67</v>
      </c>
      <c r="K7">
        <f ca="1">DAYS360(ProjektoInformacija[[#This Row],[FAKTINĖ PRADŽIA]],ProjektoInformacija[[#This Row],[FAKTINĖ PABAIGA]],FALSE)</f>
        <v>63</v>
      </c>
      <c r="L7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Row],[NUMATYTOS DARBO VALANDOS]]</f>
        <v>18000</v>
      </c>
      <c r="M7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Row],[NUMATYTOS DARBO VALANDOS]]</f>
        <v>12000</v>
      </c>
      <c r="N7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Row],[NUMATYTOS DARBO VALANDOS]]</f>
        <v>0</v>
      </c>
      <c r="O7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Row],[NUMATYTOS DARBO VALANDOS]]</f>
        <v>25000</v>
      </c>
      <c r="P7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Row],[NUMATYTOS DARBO VALANDOS]]</f>
        <v>0</v>
      </c>
      <c r="Q7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Row],[NUMATYTOS DARBO VALANDOS]]</f>
        <v>3000</v>
      </c>
      <c r="R7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Row],[FAKTINĖS DARBO VALANDOS]]</f>
        <v>18000</v>
      </c>
      <c r="S7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Row],[FAKTINĖS DARBO VALANDOS]]</f>
        <v>12000</v>
      </c>
      <c r="T7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Row],[FAKTINĖS DARBO VALANDOS]]</f>
        <v>0</v>
      </c>
      <c r="U7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Row],[FAKTINĖS DARBO VALANDOS]]</f>
        <v>25000</v>
      </c>
      <c r="V7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Row],[FAKTINĖS DARBO VALANDOS]]</f>
        <v>0</v>
      </c>
      <c r="W7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Row],[FAKTINĖS DARBO VALANDOS]]</f>
        <v>3000</v>
      </c>
    </row>
    <row r="8" spans="1:23" x14ac:dyDescent="0.2">
      <c r="B8" t="s">
        <v>35</v>
      </c>
      <c r="C8" t="s">
        <v>15</v>
      </c>
      <c r="D8" s="14">
        <f ca="1">DATE(YEAR(TODAY())+3,7,30)</f>
        <v>44772</v>
      </c>
      <c r="E8" s="14">
        <f ca="1">DATE(YEAR(TODAY())+3,9,28)</f>
        <v>44832</v>
      </c>
      <c r="F8" s="14">
        <f ca="1">DATE(YEAR(TODAY())+3,9,14)</f>
        <v>44818</v>
      </c>
      <c r="G8" s="14">
        <f ca="1">DATE(YEAR(TODAY())+3,11,13)</f>
        <v>44878</v>
      </c>
      <c r="H8">
        <v>150</v>
      </c>
      <c r="I8">
        <v>145</v>
      </c>
      <c r="J8">
        <f ca="1">DAYS360(ProjektoInformacija[[#This Row],[NUMATOMA PRADŽIA]],ProjektoInformacija[[#This Row],[NUMATOMA PABAIGA]],FALSE)</f>
        <v>58</v>
      </c>
      <c r="K8">
        <f ca="1">DAYS360(ProjektoInformacija[[#This Row],[FAKTINĖ PRADŽIA]],ProjektoInformacija[[#This Row],[FAKTINĖ PABAIGA]],FALSE)</f>
        <v>59</v>
      </c>
      <c r="L8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Row],[NUMATYTOS DARBO VALANDOS]]</f>
        <v>5400</v>
      </c>
      <c r="M8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Row],[NUMATYTOS DARBO VALANDOS]]</f>
        <v>10800</v>
      </c>
      <c r="N8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Row],[NUMATYTOS DARBO VALANDOS]]</f>
        <v>0</v>
      </c>
      <c r="O8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Row],[NUMATYTOS DARBO VALANDOS]]</f>
        <v>0</v>
      </c>
      <c r="P8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Row],[NUMATYTOS DARBO VALANDOS]]</f>
        <v>1200</v>
      </c>
      <c r="Q8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Row],[NUMATYTOS DARBO VALANDOS]]</f>
        <v>900</v>
      </c>
      <c r="R8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Row],[FAKTINĖS DARBO VALANDOS]]</f>
        <v>5220</v>
      </c>
      <c r="S8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Row],[FAKTINĖS DARBO VALANDOS]]</f>
        <v>10440</v>
      </c>
      <c r="T8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Row],[FAKTINĖS DARBO VALANDOS]]</f>
        <v>0</v>
      </c>
      <c r="U8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Row],[FAKTINĖS DARBO VALANDOS]]</f>
        <v>0</v>
      </c>
      <c r="V8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Row],[FAKTINĖS DARBO VALANDOS]]</f>
        <v>1160</v>
      </c>
      <c r="W8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Row],[FAKTINĖS DARBO VALANDOS]]</f>
        <v>870</v>
      </c>
    </row>
    <row r="9" spans="1:23" x14ac:dyDescent="0.2">
      <c r="B9" t="s">
        <v>36</v>
      </c>
      <c r="C9" t="s">
        <v>16</v>
      </c>
      <c r="D9" s="14">
        <f ca="1">DATE(YEAR(TODAY())+4,8,11)</f>
        <v>45149</v>
      </c>
      <c r="E9" s="14">
        <f ca="1">DATE(YEAR(TODAY())+4,8,21)</f>
        <v>45159</v>
      </c>
      <c r="F9" s="14">
        <f ca="1">DATE(YEAR(TODAY())+4,9,14)</f>
        <v>45183</v>
      </c>
      <c r="G9" s="14">
        <f ca="1">DATE(YEAR(TODAY())+4,9,25)</f>
        <v>45194</v>
      </c>
      <c r="H9">
        <v>250</v>
      </c>
      <c r="I9">
        <v>255</v>
      </c>
      <c r="J9">
        <f ca="1">DAYS360(ProjektoInformacija[[#This Row],[NUMATOMA PRADŽIA]],ProjektoInformacija[[#This Row],[NUMATOMA PABAIGA]],FALSE)</f>
        <v>10</v>
      </c>
      <c r="K9">
        <f ca="1">DAYS360(ProjektoInformacija[[#This Row],[FAKTINĖ PRADŽIA]],ProjektoInformacija[[#This Row],[FAKTINĖ PABAIGA]],FALSE)</f>
        <v>11</v>
      </c>
      <c r="L9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Row],[NUMATYTOS DARBO VALANDOS]]</f>
        <v>9000</v>
      </c>
      <c r="M9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Row],[NUMATYTOS DARBO VALANDOS]]</f>
        <v>3000</v>
      </c>
      <c r="N9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Row],[NUMATYTOS DARBO VALANDOS]]</f>
        <v>0</v>
      </c>
      <c r="O9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Row],[NUMATYTOS DARBO VALANDOS]]</f>
        <v>0</v>
      </c>
      <c r="P9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Row],[NUMATYTOS DARBO VALANDOS]]</f>
        <v>12000</v>
      </c>
      <c r="Q9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Row],[NUMATYTOS DARBO VALANDOS]]</f>
        <v>1500</v>
      </c>
      <c r="R9" s="25">
        <f>INDEX(Parametrai[],MATCH(ProjektoInformacija[[#This Row],[PROJEKTO TIPAS]],Parametrai[PROJEKTO TIPAS],0),MATCH(ProjektoInformacija[[#Headers],[PASKYROS VADOVAS]],Parametrai[#Headers],0))*INDEX('PROJEKTO PARAMETRAI'!$B$12:$H$12,1,MATCH(ProjektoInformacija[[#Headers],[PASKYROS VADOVAS]],Parametrai[#Headers],0))*ProjektoInformacija[[#This Row],[FAKTINĖS DARBO VALANDOS]]</f>
        <v>9180</v>
      </c>
      <c r="S9" s="25">
        <f>INDEX(Parametrai[],MATCH(ProjektoInformacija[[#This Row],[PROJEKTO TIPAS]],Parametrai[PROJEKTO TIPAS],0),MATCH(ProjektoInformacija[[#Headers],[PROJEKTO VADOVAS]],Parametrai[#Headers],0))*INDEX('PROJEKTO PARAMETRAI'!$B$12:$H$12,1,MATCH(ProjektoInformacija[[#Headers],[PROJEKTO VADOVAS]],Parametrai[#Headers],0))*ProjektoInformacija[[#This Row],[FAKTINĖS DARBO VALANDOS]]</f>
        <v>3060</v>
      </c>
      <c r="T9" s="25">
        <f>INDEX(Parametrai[],MATCH(ProjektoInformacija[[#This Row],[PROJEKTO TIPAS]],Parametrai[PROJEKTO TIPAS],0),MATCH(ProjektoInformacija[[#Headers],[STRATEGIJOS VADOVAS]],Parametrai[#Headers],0))*INDEX('PROJEKTO PARAMETRAI'!$B$12:$H$12,1,MATCH(ProjektoInformacija[[#Headers],[STRATEGIJOS VADOVAS]],Parametrai[#Headers],0))*ProjektoInformacija[[#This Row],[FAKTINĖS DARBO VALANDOS]]</f>
        <v>0</v>
      </c>
      <c r="U9" s="25">
        <f>INDEX(Parametrai[],MATCH(ProjektoInformacija[[#This Row],[PROJEKTO TIPAS]],Parametrai[PROJEKTO TIPAS],0),MATCH(ProjektoInformacija[[#Headers],[DIZAINO SPECIALISTĖ]],Parametrai[#Headers],0))*INDEX('PROJEKTO PARAMETRAI'!$B$12:$H$12,1,MATCH(ProjektoInformacija[[#Headers],[DIZAINO SPECIALISTĖ]],Parametrai[#Headers],0))*ProjektoInformacija[[#This Row],[FAKTINĖS DARBO VALANDOS]]</f>
        <v>0</v>
      </c>
      <c r="V9" s="25">
        <f>INDEX(Parametrai[],MATCH(ProjektoInformacija[[#This Row],[PROJEKTO TIPAS]],Parametrai[PROJEKTO TIPAS],0),MATCH(ProjektoInformacija[[#Headers],[RENGINIO DARBUOTOJAI]],Parametrai[#Headers],0))*INDEX('PROJEKTO PARAMETRAI'!$B$12:$H$12,1,MATCH(ProjektoInformacija[[#Headers],[RENGINIO DARBUOTOJAI]],Parametrai[#Headers],0))*ProjektoInformacija[[#This Row],[FAKTINĖS DARBO VALANDOS]]</f>
        <v>12240</v>
      </c>
      <c r="W9" s="25">
        <f>INDEX(Parametrai[],MATCH(ProjektoInformacija[[#This Row],[PROJEKTO TIPAS]],Parametrai[PROJEKTO TIPAS],0),MATCH(ProjektoInformacija[[#Headers],[ADMINISTRACIJOS DARBUOTOJAI]],Parametrai[#Headers],0))*INDEX('PROJEKTO PARAMETRAI'!$B$12:$H$12,1,MATCH(ProjektoInformacija[[#Headers],[ADMINISTRACIJOS DARBUOTOJAI]],Parametrai[#Headers],0))*ProjektoInformacija[[#This Row],[FAKTINĖS DARBO VALANDOS]]</f>
        <v>1530</v>
      </c>
    </row>
    <row r="10" spans="1:23" x14ac:dyDescent="0.2">
      <c r="B10" s="1" t="s">
        <v>37</v>
      </c>
      <c r="H10" s="1">
        <f>SUBTOTAL(109,ProjektoInformacija[NUMATYTOS DARBO VALANDOS])</f>
        <v>1500</v>
      </c>
      <c r="I10" s="1">
        <f>SUBTOTAL(109,ProjektoInformacija[FAKTINĖS DARBO VALANDOS])</f>
        <v>1510</v>
      </c>
      <c r="J10" s="1">
        <f ca="1">SUBTOTAL(109,ProjektoInformacija[NUMATOMA TRUKMĖ])</f>
        <v>225</v>
      </c>
      <c r="K10" s="1">
        <f ca="1">SUBTOTAL(109,ProjektoInformacija[FAKTINĖ TRUKMĖ])</f>
        <v>597</v>
      </c>
    </row>
  </sheetData>
  <dataValidations count="1">
    <dataValidation type="list" allowBlank="1" showInputMessage="1" showErrorMessage="1" sqref="C5:C9" xr:uid="{00000000-0002-0000-0100-000000000000}">
      <formula1>ProjektoTipas</formula1>
    </dataValidation>
  </dataValidations>
  <printOptions horizontalCentered="1"/>
  <pageMargins left="0.4" right="0.4" top="0.4" bottom="0.4" header="0.3" footer="0.3"/>
  <pageSetup paperSize="9" scale="85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27"/>
  <sheetViews>
    <sheetView showGridLines="0" zoomScaleNormal="100" workbookViewId="0"/>
  </sheetViews>
  <sheetFormatPr defaultColWidth="9.140625" defaultRowHeight="14.25" x14ac:dyDescent="0.2"/>
  <cols>
    <col min="1" max="1" width="1.7109375" style="11" customWidth="1"/>
    <col min="2" max="2" width="24.42578125" style="1" bestFit="1" customWidth="1"/>
    <col min="3" max="7" width="14.140625" style="1" bestFit="1" customWidth="1"/>
    <col min="8" max="8" width="15.42578125" style="1" customWidth="1"/>
    <col min="9" max="11" width="16.140625" style="1" bestFit="1" customWidth="1"/>
    <col min="12" max="13" width="14.140625" style="1" bestFit="1" customWidth="1"/>
    <col min="14" max="14" width="16.42578125" style="1" bestFit="1" customWidth="1"/>
    <col min="15" max="15" width="2.7109375" style="1" customWidth="1"/>
    <col min="16" max="16384" width="9.140625" style="1"/>
  </cols>
  <sheetData>
    <row r="1" spans="1:14" ht="35.450000000000003" customHeight="1" x14ac:dyDescent="0.35">
      <c r="A1" s="11" t="s">
        <v>75</v>
      </c>
      <c r="B1" s="2" t="str">
        <f>'PROJEKTO PARAMETRAI'!B1</f>
        <v>Įmonės pavadinimas</v>
      </c>
      <c r="C1" s="2"/>
      <c r="D1" s="2"/>
      <c r="E1" s="2"/>
      <c r="F1" s="2"/>
      <c r="G1" s="2"/>
      <c r="H1" s="2"/>
      <c r="I1" s="2"/>
      <c r="J1" s="2"/>
      <c r="K1" s="2"/>
    </row>
    <row r="2" spans="1:14" ht="19.5" x14ac:dyDescent="0.25">
      <c r="A2" s="11" t="s">
        <v>4</v>
      </c>
      <c r="B2" s="3" t="s">
        <v>9</v>
      </c>
      <c r="C2" s="3"/>
      <c r="D2" s="3"/>
      <c r="E2" s="3"/>
      <c r="F2" s="3"/>
      <c r="G2" s="3"/>
      <c r="H2" s="3"/>
      <c r="I2" s="3"/>
      <c r="J2" s="3"/>
      <c r="K2" s="3"/>
    </row>
    <row r="3" spans="1:14" s="15" customFormat="1" ht="29.25" customHeight="1" x14ac:dyDescent="0.2">
      <c r="A3" s="18" t="s">
        <v>5</v>
      </c>
      <c r="B3" s="16" t="str">
        <f>'PROJEKTO PARAMETRAI'!B3</f>
        <v>Įmonės pavadinimas (konfidencialu)</v>
      </c>
      <c r="C3" s="16"/>
      <c r="D3" s="16"/>
      <c r="E3" s="16"/>
      <c r="F3" s="16"/>
      <c r="G3" s="16"/>
      <c r="H3" s="16"/>
      <c r="I3" s="16"/>
      <c r="J3" s="16"/>
      <c r="K3" s="16"/>
    </row>
    <row r="4" spans="1:14" s="10" customFormat="1" ht="63.75" x14ac:dyDescent="0.2">
      <c r="A4" s="11" t="s">
        <v>52</v>
      </c>
      <c r="B4" s="23" t="s">
        <v>31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59</v>
      </c>
      <c r="I4" s="9" t="s">
        <v>60</v>
      </c>
      <c r="J4" s="9" t="s">
        <v>61</v>
      </c>
      <c r="K4" s="9" t="s">
        <v>62</v>
      </c>
      <c r="L4" s="9" t="s">
        <v>63</v>
      </c>
      <c r="M4" s="9" t="s">
        <v>66</v>
      </c>
      <c r="N4" s="9" t="s">
        <v>64</v>
      </c>
    </row>
    <row r="5" spans="1:14" x14ac:dyDescent="0.2">
      <c r="B5" t="s">
        <v>32</v>
      </c>
      <c r="C5" s="28">
        <v>7200</v>
      </c>
      <c r="D5" s="28">
        <v>2400</v>
      </c>
      <c r="E5" s="28">
        <v>18000</v>
      </c>
      <c r="F5" s="28">
        <v>0</v>
      </c>
      <c r="G5" s="28">
        <v>0</v>
      </c>
      <c r="H5" s="28">
        <v>1200</v>
      </c>
      <c r="I5" s="28">
        <v>7920</v>
      </c>
      <c r="J5" s="28">
        <v>2640</v>
      </c>
      <c r="K5" s="28">
        <v>19800</v>
      </c>
      <c r="L5" s="28">
        <v>0</v>
      </c>
      <c r="M5" s="28">
        <v>0</v>
      </c>
      <c r="N5" s="28">
        <v>1320</v>
      </c>
    </row>
    <row r="6" spans="1:14" x14ac:dyDescent="0.2">
      <c r="B6" t="s">
        <v>33</v>
      </c>
      <c r="C6" s="28">
        <v>14400</v>
      </c>
      <c r="D6" s="28">
        <v>24000</v>
      </c>
      <c r="E6" s="28">
        <v>6000</v>
      </c>
      <c r="F6" s="28">
        <v>4000</v>
      </c>
      <c r="G6" s="28">
        <v>0</v>
      </c>
      <c r="H6" s="28">
        <v>2400</v>
      </c>
      <c r="I6" s="28">
        <v>14040</v>
      </c>
      <c r="J6" s="28">
        <v>23400</v>
      </c>
      <c r="K6" s="28">
        <v>5850</v>
      </c>
      <c r="L6" s="28">
        <v>3900</v>
      </c>
      <c r="M6" s="28">
        <v>0</v>
      </c>
      <c r="N6" s="28">
        <v>2340</v>
      </c>
    </row>
    <row r="7" spans="1:14" x14ac:dyDescent="0.2">
      <c r="B7" t="s">
        <v>34</v>
      </c>
      <c r="C7" s="28">
        <v>18000</v>
      </c>
      <c r="D7" s="28">
        <v>12000</v>
      </c>
      <c r="E7" s="28">
        <v>0</v>
      </c>
      <c r="F7" s="28">
        <v>25000</v>
      </c>
      <c r="G7" s="28">
        <v>0</v>
      </c>
      <c r="H7" s="28">
        <v>3000</v>
      </c>
      <c r="I7" s="28">
        <v>18000</v>
      </c>
      <c r="J7" s="28">
        <v>12000</v>
      </c>
      <c r="K7" s="28">
        <v>0</v>
      </c>
      <c r="L7" s="28">
        <v>25000</v>
      </c>
      <c r="M7" s="28">
        <v>0</v>
      </c>
      <c r="N7" s="28">
        <v>3000</v>
      </c>
    </row>
    <row r="8" spans="1:14" x14ac:dyDescent="0.2">
      <c r="B8" t="s">
        <v>35</v>
      </c>
      <c r="C8" s="28">
        <v>5400</v>
      </c>
      <c r="D8" s="28">
        <v>10800</v>
      </c>
      <c r="E8" s="28">
        <v>0</v>
      </c>
      <c r="F8" s="28">
        <v>0</v>
      </c>
      <c r="G8" s="28">
        <v>1200</v>
      </c>
      <c r="H8" s="28">
        <v>900</v>
      </c>
      <c r="I8" s="28">
        <v>5220</v>
      </c>
      <c r="J8" s="28">
        <v>10440</v>
      </c>
      <c r="K8" s="28">
        <v>0</v>
      </c>
      <c r="L8" s="28">
        <v>0</v>
      </c>
      <c r="M8" s="28">
        <v>1160</v>
      </c>
      <c r="N8" s="28">
        <v>870</v>
      </c>
    </row>
    <row r="9" spans="1:14" x14ac:dyDescent="0.2">
      <c r="B9" t="s">
        <v>36</v>
      </c>
      <c r="C9" s="28">
        <v>9000</v>
      </c>
      <c r="D9" s="28">
        <v>3000</v>
      </c>
      <c r="E9" s="28">
        <v>0</v>
      </c>
      <c r="F9" s="28">
        <v>0</v>
      </c>
      <c r="G9" s="28">
        <v>12000</v>
      </c>
      <c r="H9" s="28">
        <v>1500</v>
      </c>
      <c r="I9" s="28">
        <v>9180</v>
      </c>
      <c r="J9" s="28">
        <v>3060</v>
      </c>
      <c r="K9" s="28">
        <v>0</v>
      </c>
      <c r="L9" s="28">
        <v>0</v>
      </c>
      <c r="M9" s="28">
        <v>12240</v>
      </c>
      <c r="N9" s="28">
        <v>1530</v>
      </c>
    </row>
    <row r="10" spans="1:14" x14ac:dyDescent="0.2">
      <c r="B10" t="s">
        <v>53</v>
      </c>
      <c r="C10" s="28">
        <v>54000</v>
      </c>
      <c r="D10" s="28">
        <v>52200</v>
      </c>
      <c r="E10" s="28">
        <v>24000</v>
      </c>
      <c r="F10" s="28">
        <v>29000</v>
      </c>
      <c r="G10" s="28">
        <v>13200</v>
      </c>
      <c r="H10" s="28">
        <v>9000</v>
      </c>
      <c r="I10" s="28">
        <v>54360</v>
      </c>
      <c r="J10" s="28">
        <v>51540</v>
      </c>
      <c r="K10" s="28">
        <v>25650</v>
      </c>
      <c r="L10" s="28">
        <v>28900</v>
      </c>
      <c r="M10" s="28">
        <v>13400</v>
      </c>
      <c r="N10" s="28">
        <v>9060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printOptions horizontalCentered="1"/>
  <pageMargins left="0.4" right="0.4" top="0.4" bottom="0.4" header="0.3" footer="0.3"/>
  <pageSetup paperSize="9" scale="69" fitToHeight="0" orientation="landscape" horizontalDpi="4294967293" verticalDpi="4294967295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3</vt:i4>
      </vt:variant>
    </vt:vector>
  </HeadingPairs>
  <TitlesOfParts>
    <vt:vector size="7" baseType="lpstr">
      <vt:lpstr>PRADŽIA</vt:lpstr>
      <vt:lpstr>PROJEKTO PARAMETRAI</vt:lpstr>
      <vt:lpstr>PROJEKTO INFORMACIJA</vt:lpstr>
      <vt:lpstr>PROJEKTO SUMOS</vt:lpstr>
      <vt:lpstr>'PROJEKTO INFORMACIJA'!Print_Titles</vt:lpstr>
      <vt:lpstr>'PROJEKTO SUMOS'!Print_Titles</vt:lpstr>
      <vt:lpstr>ProjektoTipas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2018-05-24T11:34:13Z</dcterms:created>
  <dcterms:modified xsi:type="dcterms:W3CDTF">2019-02-20T03:07:55Z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