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06"/>
  <workbookPr codeName="ThisWorkbook" refreshAllConnections="1"/>
  <mc:AlternateContent xmlns:mc="http://schemas.openxmlformats.org/markup-compatibility/2006">
    <mc:Choice Requires="x15">
      <x15ac:absPath xmlns:x15ac="http://schemas.microsoft.com/office/spreadsheetml/2010/11/ac" url="C:\Users\admin\Desktop\"/>
    </mc:Choice>
  </mc:AlternateContent>
  <bookViews>
    <workbookView xWindow="-120" yWindow="-120" windowWidth="28980" windowHeight="16215" xr2:uid="{00000000-000D-0000-FFFF-FFFF00000000}"/>
  </bookViews>
  <sheets>
    <sheet name="ALGUS" sheetId="4" r:id="rId1"/>
    <sheet name="PROJEKTI PARAMEETRID" sheetId="1" r:id="rId2"/>
    <sheet name="PROJEKTI ÜKSIKASJAD" sheetId="2" r:id="rId3"/>
    <sheet name="PROJEKTI KOKKUVÕTTED" sheetId="3" r:id="rId4"/>
  </sheets>
  <definedNames>
    <definedName name="_xlnm.Print_Titles" localSheetId="3">'PROJEKTI KOKKUVÕTTED'!$4:$4</definedName>
    <definedName name="_xlnm.Print_Titles" localSheetId="2">'PROJEKTI ÜKSIKASJAD'!$4:$4</definedName>
    <definedName name="Projektitüüp">Parameetrid[PROJEKTI TÜÜP]</definedName>
  </definedNames>
  <calcPr calcId="191029"/>
  <pivotCaches>
    <pivotCache cacheId="3"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1" l="1"/>
  <c r="E5" i="2" l="1"/>
  <c r="F7" i="2" l="1"/>
  <c r="G7" i="2"/>
  <c r="B3" i="3" l="1"/>
  <c r="B3" i="2" l="1"/>
  <c r="G9" i="2"/>
  <c r="F9" i="2"/>
  <c r="E9" i="2"/>
  <c r="D9" i="2"/>
  <c r="G8" i="2"/>
  <c r="F8" i="2"/>
  <c r="E8" i="2"/>
  <c r="D8" i="2"/>
  <c r="E7" i="2"/>
  <c r="D7" i="2"/>
  <c r="G6" i="2"/>
  <c r="F6" i="2"/>
  <c r="D6" i="2"/>
  <c r="E6" i="2"/>
  <c r="G5" i="2"/>
  <c r="F5" i="2"/>
  <c r="D5" i="2"/>
  <c r="B1" i="3" l="1"/>
  <c r="K8" i="2"/>
  <c r="W5" i="2"/>
  <c r="W6" i="2"/>
  <c r="W7" i="2"/>
  <c r="W8" i="2"/>
  <c r="W9" i="2"/>
  <c r="V5" i="2"/>
  <c r="V6" i="2"/>
  <c r="V7" i="2"/>
  <c r="V8" i="2"/>
  <c r="V9" i="2"/>
  <c r="U5" i="2"/>
  <c r="U6" i="2"/>
  <c r="U7" i="2"/>
  <c r="U8" i="2"/>
  <c r="U9" i="2"/>
  <c r="T5" i="2"/>
  <c r="T6" i="2"/>
  <c r="T7" i="2"/>
  <c r="T8" i="2"/>
  <c r="T9" i="2"/>
  <c r="S5" i="2"/>
  <c r="S6" i="2"/>
  <c r="S7" i="2"/>
  <c r="S8" i="2"/>
  <c r="S9" i="2"/>
  <c r="R5" i="2"/>
  <c r="R6" i="2"/>
  <c r="R7" i="2"/>
  <c r="R8" i="2"/>
  <c r="R9" i="2"/>
  <c r="Q5" i="2"/>
  <c r="Q6" i="2"/>
  <c r="Q7" i="2"/>
  <c r="Q8" i="2"/>
  <c r="Q9" i="2"/>
  <c r="P5" i="2"/>
  <c r="P6" i="2"/>
  <c r="P7" i="2"/>
  <c r="P8" i="2"/>
  <c r="P9" i="2"/>
  <c r="O5" i="2"/>
  <c r="O6" i="2"/>
  <c r="O7" i="2"/>
  <c r="O8" i="2"/>
  <c r="O9" i="2"/>
  <c r="N5" i="2"/>
  <c r="N6" i="2"/>
  <c r="N7" i="2"/>
  <c r="N8" i="2"/>
  <c r="N9" i="2"/>
  <c r="M5" i="2"/>
  <c r="M6" i="2"/>
  <c r="M7" i="2"/>
  <c r="M8" i="2"/>
  <c r="M9" i="2"/>
  <c r="L5" i="2"/>
  <c r="L6" i="2"/>
  <c r="L7" i="2"/>
  <c r="L8" i="2"/>
  <c r="L9" i="2"/>
  <c r="B1" i="2"/>
  <c r="K5" i="2"/>
  <c r="K6" i="2"/>
  <c r="K7" i="2"/>
  <c r="K9" i="2"/>
  <c r="J5" i="2"/>
  <c r="J6" i="2"/>
  <c r="J7" i="2"/>
  <c r="J8" i="2"/>
  <c r="J9" i="2"/>
  <c r="I10" i="2"/>
  <c r="H10" i="2"/>
  <c r="I6" i="1"/>
  <c r="I7" i="1"/>
  <c r="I8" i="1"/>
  <c r="I9" i="1"/>
  <c r="I10" i="1"/>
  <c r="I11" i="1"/>
  <c r="H17" i="1" l="1"/>
  <c r="H19" i="1" s="1"/>
  <c r="F17" i="1"/>
  <c r="F19" i="1" s="1"/>
  <c r="D17" i="1"/>
  <c r="D19" i="1" s="1"/>
  <c r="G17" i="1"/>
  <c r="G19" i="1" s="1"/>
  <c r="E17" i="1"/>
  <c r="E19" i="1" s="1"/>
  <c r="F16" i="1"/>
  <c r="F18" i="1" s="1"/>
  <c r="E16" i="1"/>
  <c r="E18" i="1" s="1"/>
  <c r="C17" i="1"/>
  <c r="C19" i="1" s="1"/>
  <c r="D16" i="1"/>
  <c r="D18" i="1" s="1"/>
  <c r="H16" i="1"/>
  <c r="H18" i="1" s="1"/>
  <c r="C16" i="1"/>
  <c r="C18" i="1" s="1"/>
  <c r="G16" i="1"/>
  <c r="G18" i="1" s="1"/>
  <c r="J10" i="2"/>
  <c r="K10" i="2"/>
</calcChain>
</file>

<file path=xl/sharedStrings.xml><?xml version="1.0" encoding="utf-8"?>
<sst xmlns="http://schemas.openxmlformats.org/spreadsheetml/2006/main" count="106" uniqueCount="76">
  <si>
    <t>TEAVE SELLE MALLI KOHTA</t>
  </si>
  <si>
    <t>Sisestage teave töölehele Projekti parameetrid, et värskendada tulpdiagramme, ning töölehele Projekti üksikasjad. Töölehe Projekti kokkuvõtted PivotTable-liigendtabel värskendatakse automaatselt.</t>
  </si>
  <si>
    <t>Sisestage töölehel Parameetrid ettevõtte nimi ja see värskendatakse automaatselt teistel töölehtedel.</t>
  </si>
  <si>
    <t xml:space="preserve">Märkus.  </t>
  </si>
  <si>
    <t>ÜRITUSE PLANEERIMISE JÄLGIMISE töövihiku iga töölehe veerus A on toodud lisajuhised. See tekst on tahtlikult peidetud. Teksti eemaldamiseks valige veerg A ja seejärel käsk KUSTUTA. Teksti kuvamiseks valige veerg A ja muutke seejärel fondi värvi.</t>
  </si>
  <si>
    <t>Töölehe tabelite kohta lisateabe saamiseks vajutage tabelis tõstuklahvi (Shift) koos klahviga F10, valige suvand TABEL ja seejärel valige käsk ASETEKST.</t>
  </si>
  <si>
    <t>Looge sellel töölehel Projekti parameetrid. Paremal asuvasse lahtrisse sisestage ettevõtte nimi. Selle veeru lahtritest leiate kasulikke juhiseid. Liikuge alustamiseks noolega alla.</t>
  </si>
  <si>
    <t>Paremal asuvas lahtris on selle töölehe pealkiri.</t>
  </si>
  <si>
    <t>Paremal asuvas lahtris on konfidentsiaalsusteade.</t>
  </si>
  <si>
    <t>Näpunäited on paremal asuvas lahtris.</t>
  </si>
  <si>
    <t>Sisestage üksikasjad parempoolsest lahtrist algavasse tabelisse Parameetrid. Järgmine juhis on lahtris A12.</t>
  </si>
  <si>
    <t>Sisestage kombineeritud hinnad paremal asuvatesse lahtritesse C12–H12. Järgmised juhised on toodud lahtris A14.</t>
  </si>
  <si>
    <t>Ettevõtte nimi</t>
  </si>
  <si>
    <t>Ürituse haldamise projekti jälgur</t>
  </si>
  <si>
    <t>Varjustatud lahtrite väärtus arvutatakse teie eest. Te ei pea neisse midagi sisestama.</t>
  </si>
  <si>
    <t>PROJEKTI TÜÜP</t>
  </si>
  <si>
    <t>Ürituse strateegia väljatöötamine</t>
  </si>
  <si>
    <t>Ürituse plaanimine</t>
  </si>
  <si>
    <t>Ürituse kujundus</t>
  </si>
  <si>
    <t>Ürituse logistika</t>
  </si>
  <si>
    <t>Ürituse personal</t>
  </si>
  <si>
    <t>Ürituse hindamine</t>
  </si>
  <si>
    <t>Kombineeritud hinnad</t>
  </si>
  <si>
    <t>KAVANDATUD HIND</t>
  </si>
  <si>
    <t>TEGELIK HIND</t>
  </si>
  <si>
    <t>KAVANDATUD TUNNID</t>
  </si>
  <si>
    <t>TEGELIKUD TUNNID</t>
  </si>
  <si>
    <t>Tulpdiagramm, kus selles lahtris on kujutatud plaanitud ja tegeliku kulu võrdlus.</t>
  </si>
  <si>
    <t>KONTOHALDUR</t>
  </si>
  <si>
    <t>PROJEKTIJUHT</t>
  </si>
  <si>
    <t>STRATEEGIAJUHT</t>
  </si>
  <si>
    <t>KUJUNDUSSPETSIALIST</t>
  </si>
  <si>
    <t>Tulpdiagramm, kus siis lahtris on kujutatud plaanitud ja tegeliku ajakulu võrdlus.</t>
  </si>
  <si>
    <t>ÜRITUSE PERSONAL</t>
  </si>
  <si>
    <t>HALDUSPERSONAL</t>
  </si>
  <si>
    <t>Kokku</t>
  </si>
  <si>
    <t>Looge sellel töölehel Projekti üksikasjad. Paremal asuvas lahtris värskendatakse ettevõtte nimi automaatselt. Selle veeru lahtritest leiate kasulikke juhiseid. Liikuge alustamiseks noolega alla.</t>
  </si>
  <si>
    <t>PROJEKTI NIMI</t>
  </si>
  <si>
    <t>Projekt 1</t>
  </si>
  <si>
    <t>Projekt 2</t>
  </si>
  <si>
    <t>Projekt 3</t>
  </si>
  <si>
    <t>Projekt 4</t>
  </si>
  <si>
    <t>Projekt 5</t>
  </si>
  <si>
    <t>KOKKU</t>
  </si>
  <si>
    <t>HINNANGULINE ALGUSAEG</t>
  </si>
  <si>
    <t>HINNANGULINE LÕPPAEG</t>
  </si>
  <si>
    <t>TEGELIK ALGUSAEG</t>
  </si>
  <si>
    <t>TEGELIK LÕPPAEG</t>
  </si>
  <si>
    <t>HINNANGULINE TÖÖ MAHT</t>
  </si>
  <si>
    <t>TEGELIK TÖÖ MAHT</t>
  </si>
  <si>
    <t>HINNANGULINE KESTUS</t>
  </si>
  <si>
    <t>TEGELIK KESTUS</t>
  </si>
  <si>
    <t xml:space="preserve">KONTOHALDUR </t>
  </si>
  <si>
    <t xml:space="preserve">PROJEKTIJUHT </t>
  </si>
  <si>
    <t xml:space="preserve">STRATEEGIAJUHT </t>
  </si>
  <si>
    <t xml:space="preserve">KUJUNDUSSPETSIALIST </t>
  </si>
  <si>
    <t xml:space="preserve">ÜRITUSE PERSONAL </t>
  </si>
  <si>
    <t xml:space="preserve">HALDUSPERSONAL </t>
  </si>
  <si>
    <t>Sellel töölehel saate Projekti kokkuvõtted. Paremal asuvas lahtris värskendatakse ettevõtte nimi automaatselt. Selle veeru lahtritest leiate kasulikke juhiseid. Liikuge alustamiseks noolega alla.</t>
  </si>
  <si>
    <t>Parempoolsest lahtrist algavat PivotTable-liigendtabelit värskendatakse automaatselt.
TEAVE
Parempoolse PivotTable-liigendtabeli värskendamiseks valige see (mis tahes lahter PivotTable-liigendtabelis) ja klõpsake siis menüüs PIVOTTABLE-LIIGENDTABELI TÖÖRIISTAD | ANALÜÜS nuppu Värskenda. Samuti võite mõnes PivotTable-liigendtabeli lahtris vajutada klahvikombinatsiooni Shift + F10 ja seejärel valida nupu Värskenda.</t>
  </si>
  <si>
    <t>KONTOHALDURI HINNANGULINE TASU</t>
  </si>
  <si>
    <t>PROJEKTIJUHI HINNANGULINE TASU</t>
  </si>
  <si>
    <t>STRATEEGIAJUHI HINNANGULINE TASU</t>
  </si>
  <si>
    <t>KUJUNDUSSPETSIALISTI HINNANGULINE TASU</t>
  </si>
  <si>
    <t>ÜRITUSE PERSONALI HINNANGULINE TASU</t>
  </si>
  <si>
    <t>HALDUSPERSONALI HINNANGULINE TASU</t>
  </si>
  <si>
    <t>KONTOHALDURI TEGELIK TASU</t>
  </si>
  <si>
    <t>PROJEKTIJUHI TEGELIK TASU</t>
  </si>
  <si>
    <t>Üldkokkuvõte</t>
  </si>
  <si>
    <t>STRATEEGIAJUHT TEGELIK TASU</t>
  </si>
  <si>
    <t>KUJUNDUSSPETSIALIST TEGELIK TASU</t>
  </si>
  <si>
    <t>ÜRITUSE PERSONAL TEGELIK TASU</t>
  </si>
  <si>
    <t>HALDUSPERSONAL TEGELIK TASU</t>
  </si>
  <si>
    <t>Selle ürituse planeerimise jälgimise töövihiku abil saate jälgida projekti parameetrid, projekti üksikasjad ja projekti kokkuvõtted.</t>
  </si>
  <si>
    <t>Paremal asuvas lahtris asub kavandatud ja tegelik hind võrdlust kuvav tulpdiagramm, lahtris F14 asub kavandatud ja tegelikud tunnid võrdlust kuvav tulpdiagramm.</t>
  </si>
  <si>
    <t>Sisestage teave parempoolsest lahtrist algavasse tabelisse „Projekti üksikasjad“.
TEAVE
Tabelisse paremale rea lisamiseks valige tabeli sisuosas paremas allnurgas lahter (mitte kokkuvõtterida) ja vajutage seal, kuhu soovite rea lisada tabeldusklahvi (Tab) või klahvikombinatsiooni Shift+F10 ning valige Lisa | Tabeliread üles/Tabelirida alla.
Veenduge, et kõik kasutamata read on kustutatud, kuna PivotTable-liigendtabel PROJEKTI KOKKUVÕTTED kasutab kõiki tabeli lahtreid ning annab vastasel korral vigaseid tulemeid.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</si>
</sst>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_(* #,##0_);_(* \(#,##0\);_(* &quot;-&quot;_);_(@_)"/>
    <numFmt numFmtId="165" formatCode="_(* #,##0.00_);_(* \(#,##0.00\);_(* &quot;-&quot;??_);_(@_)"/>
    <numFmt numFmtId="168" formatCode="#,##0\ &quot;€&quot;"/>
    <numFmt numFmtId="169" formatCode="#,##0.00\ &quot;€&quot;"/>
  </numFmts>
  <fonts count="27" x14ac:knownFonts="1">
    <font>
      <sz val="10"/>
      <color theme="1" tint="0.24994659260841701"/>
      <name val="Cambria"/>
      <family val="2"/>
      <scheme val="minor"/>
    </font>
    <font>
      <sz val="11"/>
      <color theme="1"/>
      <name val="Cambria"/>
      <family val="2"/>
      <scheme val="minor"/>
    </font>
    <font>
      <sz val="11"/>
      <color theme="1"/>
      <name val="Cambria"/>
      <family val="1"/>
      <scheme val="minor"/>
    </font>
    <font>
      <sz val="20"/>
      <color theme="1" tint="0.24994659260841701"/>
      <name val="Tahoma"/>
      <family val="2"/>
      <scheme val="major"/>
    </font>
    <font>
      <sz val="16"/>
      <color theme="1" tint="0.34998626667073579"/>
      <name val="Tahoma"/>
      <family val="2"/>
      <scheme val="major"/>
    </font>
    <font>
      <sz val="12"/>
      <color theme="1" tint="0.24994659260841701"/>
      <name val="Tahoma"/>
      <family val="2"/>
      <scheme val="major"/>
    </font>
    <font>
      <sz val="11"/>
      <color theme="1"/>
      <name val="Cambria"/>
      <family val="1"/>
      <scheme val="minor"/>
    </font>
    <font>
      <i/>
      <sz val="10"/>
      <color theme="1"/>
      <name val="Tahoma"/>
      <family val="2"/>
      <scheme val="major"/>
    </font>
    <font>
      <sz val="11"/>
      <color theme="0"/>
      <name val="Cambria"/>
      <family val="1"/>
      <scheme val="minor"/>
    </font>
    <font>
      <sz val="16"/>
      <color theme="0"/>
      <name val="Tahoma"/>
      <family val="2"/>
      <scheme val="major"/>
    </font>
    <font>
      <sz val="11"/>
      <color theme="1" tint="0.24994659260841701"/>
      <name val="Cambria"/>
      <family val="1"/>
      <scheme val="minor"/>
    </font>
    <font>
      <b/>
      <sz val="11"/>
      <color theme="1" tint="0.24994659260841701"/>
      <name val="Cambria"/>
      <family val="1"/>
      <scheme val="minor"/>
    </font>
    <font>
      <sz val="10"/>
      <color theme="1" tint="0.24994659260841701"/>
      <name val="Cambria"/>
      <family val="2"/>
      <scheme val="minor"/>
    </font>
    <font>
      <sz val="18"/>
      <color theme="3"/>
      <name val="Tahoma"/>
      <family val="2"/>
      <scheme val="major"/>
    </font>
    <font>
      <b/>
      <sz val="11"/>
      <color theme="3"/>
      <name val="Cambria"/>
      <family val="2"/>
      <scheme val="minor"/>
    </font>
    <font>
      <sz val="11"/>
      <color rgb="FF006100"/>
      <name val="Cambria"/>
      <family val="2"/>
      <scheme val="minor"/>
    </font>
    <font>
      <sz val="11"/>
      <color rgb="FF9C0006"/>
      <name val="Cambria"/>
      <family val="2"/>
      <scheme val="minor"/>
    </font>
    <font>
      <sz val="11"/>
      <color rgb="FF9C5700"/>
      <name val="Cambria"/>
      <family val="2"/>
      <scheme val="minor"/>
    </font>
    <font>
      <sz val="11"/>
      <color rgb="FF3F3F76"/>
      <name val="Cambria"/>
      <family val="2"/>
      <scheme val="minor"/>
    </font>
    <font>
      <b/>
      <sz val="11"/>
      <color rgb="FF3F3F3F"/>
      <name val="Cambria"/>
      <family val="2"/>
      <scheme val="minor"/>
    </font>
    <font>
      <b/>
      <sz val="11"/>
      <color rgb="FFFA7D00"/>
      <name val="Cambria"/>
      <family val="2"/>
      <scheme val="minor"/>
    </font>
    <font>
      <sz val="11"/>
      <color rgb="FFFA7D00"/>
      <name val="Cambria"/>
      <family val="2"/>
      <scheme val="minor"/>
    </font>
    <font>
      <b/>
      <sz val="11"/>
      <color theme="0"/>
      <name val="Cambria"/>
      <family val="2"/>
      <scheme val="minor"/>
    </font>
    <font>
      <sz val="11"/>
      <color rgb="FFFF0000"/>
      <name val="Cambria"/>
      <family val="2"/>
      <scheme val="minor"/>
    </font>
    <font>
      <i/>
      <sz val="11"/>
      <color rgb="FF7F7F7F"/>
      <name val="Cambria"/>
      <family val="2"/>
      <scheme val="minor"/>
    </font>
    <font>
      <b/>
      <sz val="11"/>
      <color theme="1"/>
      <name val="Cambria"/>
      <family val="2"/>
      <scheme val="minor"/>
    </font>
    <font>
      <sz val="11"/>
      <color theme="0"/>
      <name val="Cambria"/>
      <family val="2"/>
      <scheme val="minor"/>
    </font>
  </fonts>
  <fills count="36">
    <fill>
      <patternFill patternType="none"/>
    </fill>
    <fill>
      <patternFill patternType="gray125"/>
    </fill>
    <fill>
      <patternFill patternType="solid">
        <fgColor theme="0" tint="-0.14996795556505021"/>
        <bgColor indexed="64"/>
      </patternFill>
    </fill>
    <fill>
      <patternFill patternType="solid">
        <fgColor theme="5" tint="-0.249977111117893"/>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bottom style="thin">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3" fillId="0" borderId="1" applyNumberFormat="0" applyFill="0" applyAlignment="0" applyProtection="0"/>
    <xf numFmtId="0" fontId="4" fillId="0" borderId="0" applyNumberFormat="0" applyFill="0" applyAlignment="0" applyProtection="0"/>
    <xf numFmtId="0" fontId="5" fillId="0" borderId="0" applyNumberFormat="0" applyFill="0" applyAlignment="0" applyProtection="0"/>
    <xf numFmtId="165" fontId="12" fillId="0" borderId="0" applyFont="0" applyFill="0" applyBorder="0" applyAlignment="0" applyProtection="0"/>
    <xf numFmtId="164" fontId="12"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9" fontId="12"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8" borderId="2" applyNumberFormat="0" applyAlignment="0" applyProtection="0"/>
    <xf numFmtId="0" fontId="19" fillId="9" borderId="3" applyNumberFormat="0" applyAlignment="0" applyProtection="0"/>
    <xf numFmtId="0" fontId="20" fillId="9" borderId="2" applyNumberFormat="0" applyAlignment="0" applyProtection="0"/>
    <xf numFmtId="0" fontId="21" fillId="0" borderId="4" applyNumberFormat="0" applyFill="0" applyAlignment="0" applyProtection="0"/>
    <xf numFmtId="0" fontId="22" fillId="10" borderId="5" applyNumberFormat="0" applyAlignment="0" applyProtection="0"/>
    <xf numFmtId="0" fontId="23" fillId="0" borderId="0" applyNumberFormat="0" applyFill="0" applyBorder="0" applyAlignment="0" applyProtection="0"/>
    <xf numFmtId="0" fontId="12" fillId="11" borderId="6" applyNumberFormat="0" applyFont="0" applyAlignment="0" applyProtection="0"/>
    <xf numFmtId="0" fontId="24" fillId="0" borderId="0" applyNumberFormat="0" applyFill="0" applyBorder="0" applyAlignment="0" applyProtection="0"/>
    <xf numFmtId="0" fontId="25" fillId="0" borderId="7" applyNumberFormat="0" applyFill="0" applyAlignment="0" applyProtection="0"/>
    <xf numFmtId="0" fontId="26"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6"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29">
    <xf numFmtId="0" fontId="0" fillId="0" borderId="0" xfId="0"/>
    <xf numFmtId="0" fontId="2" fillId="0" borderId="0" xfId="0" applyFont="1"/>
    <xf numFmtId="0" fontId="3" fillId="0" borderId="1" xfId="1"/>
    <xf numFmtId="0" fontId="4" fillId="0" borderId="0" xfId="2"/>
    <xf numFmtId="0" fontId="5" fillId="0" borderId="0" xfId="3"/>
    <xf numFmtId="0" fontId="6" fillId="0" borderId="0" xfId="0" applyFont="1"/>
    <xf numFmtId="9" fontId="6" fillId="0" borderId="0" xfId="0" applyNumberFormat="1" applyFont="1"/>
    <xf numFmtId="9" fontId="6" fillId="2" borderId="0" xfId="0" applyNumberFormat="1" applyFont="1" applyFill="1"/>
    <xf numFmtId="0" fontId="7" fillId="0" borderId="0" xfId="0" applyFont="1"/>
    <xf numFmtId="0" fontId="0" fillId="0" borderId="0" xfId="0" applyAlignment="1">
      <alignment wrapText="1"/>
    </xf>
    <xf numFmtId="0" fontId="2" fillId="0" borderId="0" xfId="0" applyFont="1" applyAlignment="1">
      <alignment wrapText="1"/>
    </xf>
    <xf numFmtId="0" fontId="8" fillId="0" borderId="0" xfId="0" applyFont="1"/>
    <xf numFmtId="4" fontId="8" fillId="0" borderId="0" xfId="0" applyNumberFormat="1" applyFont="1"/>
    <xf numFmtId="0" fontId="0" fillId="3" borderId="0" xfId="0" applyFill="1" applyAlignment="1">
      <alignment wrapText="1"/>
    </xf>
    <xf numFmtId="14" fontId="0" fillId="0" borderId="0" xfId="0" applyNumberFormat="1"/>
    <xf numFmtId="0" fontId="2" fillId="0" borderId="0" xfId="0" applyFont="1" applyAlignment="1">
      <alignment vertical="center"/>
    </xf>
    <xf numFmtId="0" fontId="5" fillId="0" borderId="0" xfId="3" applyAlignment="1">
      <alignment vertical="center"/>
    </xf>
    <xf numFmtId="0" fontId="9" fillId="4" borderId="0" xfId="2" applyFont="1" applyFill="1" applyAlignment="1">
      <alignment horizontal="center"/>
    </xf>
    <xf numFmtId="0" fontId="8" fillId="0" borderId="0" xfId="0" applyFont="1" applyAlignment="1">
      <alignment vertical="center"/>
    </xf>
    <xf numFmtId="0" fontId="10" fillId="0" borderId="0" xfId="0" applyFont="1" applyAlignment="1">
      <alignment vertical="center" wrapText="1"/>
    </xf>
    <xf numFmtId="0" fontId="10" fillId="0" borderId="0" xfId="0" applyFont="1" applyAlignment="1">
      <alignment wrapText="1"/>
    </xf>
    <xf numFmtId="0" fontId="11" fillId="0" borderId="0" xfId="0" applyFont="1" applyAlignment="1">
      <alignment wrapText="1"/>
    </xf>
    <xf numFmtId="0" fontId="8" fillId="0" borderId="0" xfId="0" applyFont="1" applyAlignment="1">
      <alignment wrapText="1"/>
    </xf>
    <xf numFmtId="0" fontId="0" fillId="0" borderId="0" xfId="0" pivotButton="1"/>
    <xf numFmtId="168" fontId="6" fillId="0" borderId="0" xfId="0" applyNumberFormat="1" applyFont="1"/>
    <xf numFmtId="169" fontId="8" fillId="0" borderId="0" xfId="0" applyNumberFormat="1" applyFont="1"/>
    <xf numFmtId="168" fontId="0" fillId="0" borderId="0" xfId="0" applyNumberFormat="1"/>
    <xf numFmtId="169" fontId="0" fillId="0" borderId="0" xfId="0" applyNumberFormat="1"/>
    <xf numFmtId="0" fontId="8" fillId="0" borderId="0" xfId="0" applyFont="1" applyAlignment="1">
      <alignment horizontal="center"/>
    </xf>
  </cellXfs>
  <cellStyles count="47">
    <cellStyle name="20% – rõhk1" xfId="24" builtinId="30" customBuiltin="1"/>
    <cellStyle name="20% – rõhk2" xfId="28" builtinId="34" customBuiltin="1"/>
    <cellStyle name="20% – rõhk3" xfId="32" builtinId="38" customBuiltin="1"/>
    <cellStyle name="20% – rõhk4" xfId="36" builtinId="42" customBuiltin="1"/>
    <cellStyle name="20% – rõhk5" xfId="40" builtinId="46" customBuiltin="1"/>
    <cellStyle name="20% – rõhk6" xfId="44" builtinId="50" customBuiltin="1"/>
    <cellStyle name="40% – rõhk1" xfId="25" builtinId="31" customBuiltin="1"/>
    <cellStyle name="40% – rõhk2" xfId="29" builtinId="35" customBuiltin="1"/>
    <cellStyle name="40% – rõhk3" xfId="33" builtinId="39" customBuiltin="1"/>
    <cellStyle name="40% – rõhk4" xfId="37" builtinId="43" customBuiltin="1"/>
    <cellStyle name="40% – rõhk5" xfId="41" builtinId="47" customBuiltin="1"/>
    <cellStyle name="40% – rõhk6" xfId="45" builtinId="51" customBuiltin="1"/>
    <cellStyle name="60% – rõhk1" xfId="26" builtinId="32" customBuiltin="1"/>
    <cellStyle name="60% – rõhk2" xfId="30" builtinId="36" customBuiltin="1"/>
    <cellStyle name="60% – rõhk3" xfId="34" builtinId="40" customBuiltin="1"/>
    <cellStyle name="60% – rõhk4" xfId="38" builtinId="44" customBuiltin="1"/>
    <cellStyle name="60% – rõhk5" xfId="42" builtinId="48" customBuiltin="1"/>
    <cellStyle name="60% – rõhk6" xfId="46" builtinId="52" customBuiltin="1"/>
    <cellStyle name="Arvutus" xfId="16" builtinId="22" customBuiltin="1"/>
    <cellStyle name="Halb" xfId="12" builtinId="27" customBuiltin="1"/>
    <cellStyle name="Hea" xfId="11" builtinId="26" customBuiltin="1"/>
    <cellStyle name="Hoiatuse tekst" xfId="19" builtinId="11" customBuiltin="1"/>
    <cellStyle name="Kokku" xfId="22" builtinId="25" customBuiltin="1"/>
    <cellStyle name="Koma" xfId="4" builtinId="3" customBuiltin="1"/>
    <cellStyle name="Koma [0]" xfId="5" builtinId="6" customBuiltin="1"/>
    <cellStyle name="Kontrolli lahtrit" xfId="18" builtinId="23" customBuiltin="1"/>
    <cellStyle name="Lingitud lahter" xfId="17" builtinId="24" customBuiltin="1"/>
    <cellStyle name="Märkus" xfId="20" builtinId="10" customBuiltin="1"/>
    <cellStyle name="Neutraalne" xfId="13" builtinId="28" customBuiltin="1"/>
    <cellStyle name="Normaallaad" xfId="0" builtinId="0" customBuiltin="1"/>
    <cellStyle name="Pealkiri 1" xfId="1" builtinId="16" customBuiltin="1"/>
    <cellStyle name="Pealkiri 2" xfId="2" builtinId="17" customBuiltin="1"/>
    <cellStyle name="Pealkiri 3" xfId="3" builtinId="18" customBuiltin="1"/>
    <cellStyle name="Pealkiri 4" xfId="10" builtinId="19" customBuiltin="1"/>
    <cellStyle name="Protsent" xfId="8" builtinId="5" customBuiltin="1"/>
    <cellStyle name="Rõhk1" xfId="23" builtinId="29" customBuiltin="1"/>
    <cellStyle name="Rõhk2" xfId="27" builtinId="33" customBuiltin="1"/>
    <cellStyle name="Rõhk3" xfId="31" builtinId="37" customBuiltin="1"/>
    <cellStyle name="Rõhk4" xfId="35" builtinId="41" customBuiltin="1"/>
    <cellStyle name="Rõhk5" xfId="39" builtinId="45" customBuiltin="1"/>
    <cellStyle name="Rõhk6" xfId="43" builtinId="49" customBuiltin="1"/>
    <cellStyle name="Selgitav tekst" xfId="21" builtinId="53" customBuiltin="1"/>
    <cellStyle name="Sisend" xfId="14" builtinId="20" customBuiltin="1"/>
    <cellStyle name="Valuuta" xfId="6" builtinId="4" customBuiltin="1"/>
    <cellStyle name="Valuuta [0]" xfId="7" builtinId="7" customBuiltin="1"/>
    <cellStyle name="Väljund" xfId="15" builtinId="21" customBuiltin="1"/>
    <cellStyle name="Üldpealkiri" xfId="9" builtinId="15" customBuiltin="1"/>
  </cellStyles>
  <dxfs count="1331">
    <dxf>
      <font>
        <b val="0"/>
        <i val="0"/>
        <strike val="0"/>
        <condense val="0"/>
        <extend val="0"/>
        <outline val="0"/>
        <shadow val="0"/>
        <u val="none"/>
        <vertAlign val="baseline"/>
        <sz val="11"/>
        <color theme="1"/>
        <name val="Cambria"/>
        <family val="1"/>
        <scheme val="minor"/>
      </font>
      <border diagonalUp="0" diagonalDown="0" outline="0">
        <left/>
        <right/>
        <top/>
        <bottom/>
      </border>
    </dxf>
    <dxf>
      <numFmt numFmtId="168" formatCode="#,##0\ &quot;€&quot;"/>
    </dxf>
    <dxf>
      <font>
        <b val="0"/>
        <i val="0"/>
        <strike val="0"/>
        <condense val="0"/>
        <extend val="0"/>
        <outline val="0"/>
        <shadow val="0"/>
        <u val="none"/>
        <vertAlign val="baseline"/>
        <sz val="11"/>
        <color theme="1"/>
        <name val="Cambria"/>
        <family val="1"/>
        <scheme val="minor"/>
      </font>
      <border diagonalUp="0" diagonalDown="0" outline="0">
        <left/>
        <right/>
        <top/>
        <bottom/>
      </border>
    </dxf>
    <dxf>
      <numFmt numFmtId="168" formatCode="#,##0\ &quot;€&quot;"/>
    </dxf>
    <dxf>
      <font>
        <b val="0"/>
        <i val="0"/>
        <strike val="0"/>
        <condense val="0"/>
        <extend val="0"/>
        <outline val="0"/>
        <shadow val="0"/>
        <u val="none"/>
        <vertAlign val="baseline"/>
        <sz val="11"/>
        <color theme="1"/>
        <name val="Cambria"/>
        <family val="1"/>
        <scheme val="minor"/>
      </font>
      <border diagonalUp="0" diagonalDown="0" outline="0">
        <left/>
        <right/>
        <top/>
        <bottom/>
      </border>
    </dxf>
    <dxf>
      <numFmt numFmtId="168" formatCode="#,##0\ &quot;€&quot;"/>
    </dxf>
    <dxf>
      <font>
        <b val="0"/>
        <i val="0"/>
        <strike val="0"/>
        <condense val="0"/>
        <extend val="0"/>
        <outline val="0"/>
        <shadow val="0"/>
        <u val="none"/>
        <vertAlign val="baseline"/>
        <sz val="11"/>
        <color theme="1"/>
        <name val="Cambria"/>
        <family val="1"/>
        <scheme val="minor"/>
      </font>
      <border diagonalUp="0" diagonalDown="0" outline="0">
        <left/>
        <right/>
        <top/>
        <bottom/>
      </border>
    </dxf>
    <dxf>
      <numFmt numFmtId="168" formatCode="#,##0\ &quot;€&quot;"/>
    </dxf>
    <dxf>
      <font>
        <b val="0"/>
        <i val="0"/>
        <strike val="0"/>
        <condense val="0"/>
        <extend val="0"/>
        <outline val="0"/>
        <shadow val="0"/>
        <u val="none"/>
        <vertAlign val="baseline"/>
        <sz val="11"/>
        <color theme="1"/>
        <name val="Cambria"/>
        <family val="1"/>
        <scheme val="minor"/>
      </font>
      <border diagonalUp="0" diagonalDown="0" outline="0">
        <left/>
        <right/>
        <top/>
        <bottom/>
      </border>
    </dxf>
    <dxf>
      <numFmt numFmtId="168" formatCode="#,##0\ &quot;€&quot;"/>
    </dxf>
    <dxf>
      <font>
        <b val="0"/>
        <i val="0"/>
        <strike val="0"/>
        <condense val="0"/>
        <extend val="0"/>
        <outline val="0"/>
        <shadow val="0"/>
        <u val="none"/>
        <vertAlign val="baseline"/>
        <sz val="11"/>
        <color theme="1"/>
        <name val="Cambria"/>
        <family val="1"/>
        <scheme val="minor"/>
      </font>
      <border diagonalUp="0" diagonalDown="0" outline="0">
        <left/>
        <right/>
        <top/>
        <bottom/>
      </border>
    </dxf>
    <dxf>
      <numFmt numFmtId="168" formatCode="#,##0\ &quot;€&quot;"/>
    </dxf>
    <dxf>
      <font>
        <b val="0"/>
        <i val="0"/>
        <strike val="0"/>
        <condense val="0"/>
        <extend val="0"/>
        <outline val="0"/>
        <shadow val="0"/>
        <u val="none"/>
        <vertAlign val="baseline"/>
        <sz val="11"/>
        <color theme="1"/>
        <name val="Cambria"/>
        <family val="1"/>
        <scheme val="minor"/>
      </font>
      <border diagonalUp="0" diagonalDown="0" outline="0">
        <left/>
        <right/>
        <top/>
        <bottom/>
      </border>
    </dxf>
    <dxf>
      <numFmt numFmtId="168" formatCode="#,##0\ &quot;€&quot;"/>
    </dxf>
    <dxf>
      <font>
        <b val="0"/>
        <i val="0"/>
        <strike val="0"/>
        <condense val="0"/>
        <extend val="0"/>
        <outline val="0"/>
        <shadow val="0"/>
        <u val="none"/>
        <vertAlign val="baseline"/>
        <sz val="11"/>
        <color theme="1"/>
        <name val="Cambria"/>
        <family val="1"/>
        <scheme val="minor"/>
      </font>
      <border diagonalUp="0" diagonalDown="0" outline="0">
        <left/>
        <right/>
        <top/>
        <bottom/>
      </border>
    </dxf>
    <dxf>
      <numFmt numFmtId="168" formatCode="#,##0\ &quot;€&quot;"/>
    </dxf>
    <dxf>
      <font>
        <b val="0"/>
        <i val="0"/>
        <strike val="0"/>
        <condense val="0"/>
        <extend val="0"/>
        <outline val="0"/>
        <shadow val="0"/>
        <u val="none"/>
        <vertAlign val="baseline"/>
        <sz val="11"/>
        <color theme="1"/>
        <name val="Cambria"/>
        <family val="1"/>
        <scheme val="minor"/>
      </font>
      <border diagonalUp="0" diagonalDown="0" outline="0">
        <left/>
        <right/>
        <top/>
        <bottom/>
      </border>
    </dxf>
    <dxf>
      <numFmt numFmtId="168" formatCode="#,##0\ &quot;€&quot;"/>
    </dxf>
    <dxf>
      <font>
        <b val="0"/>
        <i val="0"/>
        <strike val="0"/>
        <condense val="0"/>
        <extend val="0"/>
        <outline val="0"/>
        <shadow val="0"/>
        <u val="none"/>
        <vertAlign val="baseline"/>
        <sz val="11"/>
        <color theme="1"/>
        <name val="Cambria"/>
        <family val="1"/>
        <scheme val="minor"/>
      </font>
      <border diagonalUp="0" diagonalDown="0" outline="0">
        <left/>
        <right/>
        <top/>
        <bottom/>
      </border>
    </dxf>
    <dxf>
      <numFmt numFmtId="168" formatCode="#,##0\ &quot;€&quot;"/>
    </dxf>
    <dxf>
      <font>
        <b val="0"/>
        <i val="0"/>
        <strike val="0"/>
        <condense val="0"/>
        <extend val="0"/>
        <outline val="0"/>
        <shadow val="0"/>
        <u val="none"/>
        <vertAlign val="baseline"/>
        <sz val="11"/>
        <color theme="1"/>
        <name val="Cambria"/>
        <family val="1"/>
        <scheme val="minor"/>
      </font>
      <border diagonalUp="0" diagonalDown="0" outline="0">
        <left/>
        <right/>
        <top/>
        <bottom/>
      </border>
    </dxf>
    <dxf>
      <numFmt numFmtId="168" formatCode="#,##0\ &quot;€&quot;"/>
    </dxf>
    <dxf>
      <font>
        <b val="0"/>
        <i val="0"/>
        <strike val="0"/>
        <condense val="0"/>
        <extend val="0"/>
        <outline val="0"/>
        <shadow val="0"/>
        <u val="none"/>
        <vertAlign val="baseline"/>
        <sz val="11"/>
        <color theme="1"/>
        <name val="Cambria"/>
        <family val="1"/>
        <scheme val="minor"/>
      </font>
      <border diagonalUp="0" diagonalDown="0" outline="0">
        <left/>
        <right/>
        <top/>
        <bottom/>
      </border>
    </dxf>
    <dxf>
      <numFmt numFmtId="168" formatCode="#,##0\ &quot;€&quot;"/>
    </dxf>
    <dxf>
      <font>
        <b val="0"/>
        <i val="0"/>
        <strike val="0"/>
        <condense val="0"/>
        <extend val="0"/>
        <outline val="0"/>
        <shadow val="0"/>
        <u val="none"/>
        <vertAlign val="baseline"/>
        <sz val="11"/>
        <color theme="1"/>
        <name val="Cambria"/>
        <family val="1"/>
        <scheme val="minor"/>
      </font>
      <border diagonalUp="0" diagonalDown="0" outline="0">
        <left/>
        <right/>
        <top/>
        <bottom/>
      </border>
    </dxf>
    <dxf>
      <numFmt numFmtId="0" formatCode="General"/>
    </dxf>
    <dxf>
      <font>
        <b val="0"/>
        <i val="0"/>
        <strike val="0"/>
        <condense val="0"/>
        <extend val="0"/>
        <outline val="0"/>
        <shadow val="0"/>
        <u val="none"/>
        <vertAlign val="baseline"/>
        <sz val="11"/>
        <color theme="1"/>
        <name val="Cambria"/>
        <family val="1"/>
        <scheme val="minor"/>
      </font>
      <border diagonalUp="0" diagonalDown="0" outline="0">
        <left/>
        <right/>
        <top/>
        <bottom/>
      </border>
    </dxf>
    <dxf>
      <numFmt numFmtId="0" formatCode="General"/>
    </dxf>
    <dxf>
      <font>
        <b val="0"/>
        <i val="0"/>
        <strike val="0"/>
        <condense val="0"/>
        <extend val="0"/>
        <outline val="0"/>
        <shadow val="0"/>
        <u val="none"/>
        <vertAlign val="baseline"/>
        <sz val="11"/>
        <color theme="1"/>
        <name val="Cambria"/>
        <family val="1"/>
        <scheme val="minor"/>
      </font>
      <border diagonalUp="0" diagonalDown="0" outline="0">
        <left/>
        <right/>
        <top/>
        <bottom/>
      </border>
    </dxf>
    <dxf>
      <font>
        <b val="0"/>
        <i val="0"/>
        <strike val="0"/>
        <condense val="0"/>
        <extend val="0"/>
        <outline val="0"/>
        <shadow val="0"/>
        <u val="none"/>
        <vertAlign val="baseline"/>
        <sz val="11"/>
        <color theme="1"/>
        <name val="Cambria"/>
        <family val="1"/>
        <scheme val="minor"/>
      </font>
      <border diagonalUp="0" diagonalDown="0" outline="0">
        <left/>
        <right/>
        <top/>
        <bottom/>
      </border>
    </dxf>
    <dxf>
      <font>
        <b val="0"/>
        <i val="0"/>
        <strike val="0"/>
        <condense val="0"/>
        <extend val="0"/>
        <outline val="0"/>
        <shadow val="0"/>
        <u val="none"/>
        <vertAlign val="baseline"/>
        <sz val="11"/>
        <color theme="1"/>
        <name val="Cambria"/>
        <family val="1"/>
        <scheme val="minor"/>
      </font>
      <border diagonalUp="0" diagonalDown="0" outline="0">
        <left/>
        <right/>
        <top/>
        <bottom/>
      </border>
    </dxf>
    <dxf>
      <numFmt numFmtId="170" formatCode="m/d/yyyy"/>
      <alignment horizontal="general" vertical="bottom" textRotation="0" wrapText="0" indent="0" justifyLastLine="0" shrinkToFit="0" readingOrder="0"/>
    </dxf>
    <dxf>
      <font>
        <b val="0"/>
        <i val="0"/>
        <strike val="0"/>
        <condense val="0"/>
        <extend val="0"/>
        <outline val="0"/>
        <shadow val="0"/>
        <u val="none"/>
        <vertAlign val="baseline"/>
        <sz val="11"/>
        <color theme="1"/>
        <name val="Cambria"/>
        <family val="1"/>
        <scheme val="minor"/>
      </font>
      <border diagonalUp="0" diagonalDown="0" outline="0">
        <left/>
        <right/>
        <top/>
        <bottom/>
      </border>
    </dxf>
    <dxf>
      <numFmt numFmtId="170" formatCode="m/d/yyyy"/>
      <alignment horizontal="general" vertical="bottom" textRotation="0" wrapText="0" indent="0" justifyLastLine="0" shrinkToFit="0" readingOrder="0"/>
    </dxf>
    <dxf>
      <font>
        <b val="0"/>
        <i val="0"/>
        <strike val="0"/>
        <condense val="0"/>
        <extend val="0"/>
        <outline val="0"/>
        <shadow val="0"/>
        <u val="none"/>
        <vertAlign val="baseline"/>
        <sz val="11"/>
        <color theme="1"/>
        <name val="Cambria"/>
        <family val="1"/>
        <scheme val="minor"/>
      </font>
      <border diagonalUp="0" diagonalDown="0" outline="0">
        <left/>
        <right/>
        <top/>
        <bottom/>
      </border>
    </dxf>
    <dxf>
      <numFmt numFmtId="170" formatCode="m/d/yyyy"/>
      <alignment horizontal="general" vertical="bottom" textRotation="0" wrapText="0" indent="0" justifyLastLine="0" shrinkToFit="0" readingOrder="0"/>
    </dxf>
    <dxf>
      <font>
        <b val="0"/>
        <i val="0"/>
        <strike val="0"/>
        <condense val="0"/>
        <extend val="0"/>
        <outline val="0"/>
        <shadow val="0"/>
        <u val="none"/>
        <vertAlign val="baseline"/>
        <sz val="11"/>
        <color theme="1"/>
        <name val="Cambria"/>
        <family val="1"/>
        <scheme val="minor"/>
      </font>
      <border diagonalUp="0" diagonalDown="0" outline="0">
        <left/>
        <right/>
        <top/>
        <bottom/>
      </border>
    </dxf>
    <dxf>
      <numFmt numFmtId="170" formatCode="m/d/yyyy"/>
      <alignment horizontal="general" vertical="bottom" textRotation="0" wrapText="0" indent="0" justifyLastLine="0" shrinkToFit="0" readingOrder="0"/>
    </dxf>
    <dxf>
      <font>
        <b val="0"/>
        <i val="0"/>
        <strike val="0"/>
        <condense val="0"/>
        <extend val="0"/>
        <outline val="0"/>
        <shadow val="0"/>
        <u val="none"/>
        <vertAlign val="baseline"/>
        <sz val="11"/>
        <color theme="1"/>
        <name val="Cambria"/>
        <family val="1"/>
        <scheme val="minor"/>
      </font>
      <border diagonalUp="0" diagonalDown="0" outline="0">
        <left/>
        <right/>
        <top/>
        <bottom/>
      </border>
    </dxf>
    <dxf>
      <font>
        <b val="0"/>
        <i val="0"/>
        <strike val="0"/>
        <condense val="0"/>
        <extend val="0"/>
        <outline val="0"/>
        <shadow val="0"/>
        <u val="none"/>
        <vertAlign val="baseline"/>
        <sz val="11"/>
        <color theme="1"/>
        <name val="Cambria"/>
        <family val="1"/>
        <scheme val="minor"/>
      </font>
      <border diagonalUp="0" diagonalDown="0" outline="0">
        <left/>
        <right/>
        <top/>
        <bottom/>
      </border>
    </dxf>
    <dxf>
      <numFmt numFmtId="167" formatCode="&quot;$&quot;#,##0.00"/>
    </dxf>
    <dxf>
      <numFmt numFmtId="169" formatCode="#,##0.00\ &quot;€&quot;"/>
    </dxf>
    <dxf>
      <alignment wrapText="1"/>
    </dxf>
    <dxf>
      <numFmt numFmtId="167" formatCode="&quot;$&quot;#,##0.00"/>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alignment wrapText="1"/>
    </dxf>
    <dxf>
      <alignment wrapText="1"/>
    </dxf>
    <dxf>
      <alignment wrapText="1"/>
    </dxf>
    <dxf>
      <alignment wrapText="1"/>
    </dxf>
    <dxf>
      <alignment wrapText="1"/>
    </dxf>
    <dxf>
      <alignment wrapText="1"/>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7" formatCode="&quot;$&quot;#,##0.00"/>
    </dxf>
    <dxf>
      <numFmt numFmtId="169" formatCode="#,##0.00\ &quot;€&quot;"/>
    </dxf>
    <dxf>
      <alignment wrapText="1"/>
    </dxf>
    <dxf>
      <numFmt numFmtId="167" formatCode="&quot;$&quot;#,##0.00"/>
    </dxf>
    <dxf>
      <numFmt numFmtId="167" formatCode="&quot;$&quot;#,##0.00"/>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alignment wrapText="1"/>
    </dxf>
    <dxf>
      <alignment wrapText="1"/>
    </dxf>
    <dxf>
      <alignment wrapText="1"/>
    </dxf>
    <dxf>
      <alignment wrapText="1"/>
    </dxf>
    <dxf>
      <alignment wrapText="1"/>
    </dxf>
    <dxf>
      <alignment wrapText="1"/>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7" formatCode="&quot;$&quot;#,##0.00"/>
    </dxf>
    <dxf>
      <numFmt numFmtId="169" formatCode="#,##0.00\ &quot;€&quot;"/>
    </dxf>
    <dxf>
      <alignment wrapText="1"/>
    </dxf>
    <dxf>
      <numFmt numFmtId="167" formatCode="&quot;$&quot;#,##0.00"/>
    </dxf>
    <dxf>
      <numFmt numFmtId="167" formatCode="&quot;$&quot;#,##0.00"/>
    </dxf>
    <dxf>
      <numFmt numFmtId="167" formatCode="&quot;$&quot;#,##0.00"/>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alignment wrapText="1"/>
    </dxf>
    <dxf>
      <alignment wrapText="1"/>
    </dxf>
    <dxf>
      <alignment wrapText="1"/>
    </dxf>
    <dxf>
      <alignment wrapText="1"/>
    </dxf>
    <dxf>
      <alignment wrapText="1"/>
    </dxf>
    <dxf>
      <alignment wrapText="1"/>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7" formatCode="&quot;$&quot;#,##0.00"/>
    </dxf>
    <dxf>
      <numFmt numFmtId="169" formatCode="#,##0.00\ &quot;€&quot;"/>
    </dxf>
    <dxf>
      <alignment wrapText="1"/>
    </dxf>
    <dxf>
      <numFmt numFmtId="167" formatCode="&quot;$&quot;#,##0.00"/>
    </dxf>
    <dxf>
      <numFmt numFmtId="167" formatCode="&quot;$&quot;#,##0.00"/>
    </dxf>
    <dxf>
      <numFmt numFmtId="167" formatCode="&quot;$&quot;#,##0.00"/>
    </dxf>
    <dxf>
      <numFmt numFmtId="167" formatCode="&quot;$&quot;#,##0.00"/>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alignment wrapText="1"/>
    </dxf>
    <dxf>
      <alignment wrapText="1"/>
    </dxf>
    <dxf>
      <alignment wrapText="1"/>
    </dxf>
    <dxf>
      <alignment wrapText="1"/>
    </dxf>
    <dxf>
      <alignment wrapText="1"/>
    </dxf>
    <dxf>
      <alignment wrapText="1"/>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7" formatCode="&quot;$&quot;#,##0.00"/>
    </dxf>
    <dxf>
      <numFmt numFmtId="169" formatCode="#,##0.00\ &quot;€&quot;"/>
    </dxf>
    <dxf>
      <alignment wrapText="1"/>
    </dxf>
    <dxf>
      <numFmt numFmtId="167" formatCode="&quot;$&quot;#,##0.00"/>
    </dxf>
    <dxf>
      <numFmt numFmtId="167" formatCode="&quot;$&quot;#,##0.00"/>
    </dxf>
    <dxf>
      <numFmt numFmtId="167" formatCode="&quot;$&quot;#,##0.00"/>
    </dxf>
    <dxf>
      <numFmt numFmtId="167" formatCode="&quot;$&quot;#,##0.00"/>
    </dxf>
    <dxf>
      <numFmt numFmtId="167" formatCode="&quot;$&quot;#,##0.00"/>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alignment wrapText="1"/>
    </dxf>
    <dxf>
      <alignment wrapText="1"/>
    </dxf>
    <dxf>
      <alignment wrapText="1"/>
    </dxf>
    <dxf>
      <alignment wrapText="1"/>
    </dxf>
    <dxf>
      <alignment wrapText="1"/>
    </dxf>
    <dxf>
      <alignment wrapText="1"/>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7" formatCode="&quot;$&quot;#,##0.00"/>
    </dxf>
    <dxf>
      <numFmt numFmtId="169" formatCode="#,##0.00\ &quot;€&quot;"/>
    </dxf>
    <dxf>
      <alignment wrapText="1"/>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alignment wrapText="1"/>
    </dxf>
    <dxf>
      <alignment wrapText="1"/>
    </dxf>
    <dxf>
      <alignment wrapText="1"/>
    </dxf>
    <dxf>
      <alignment wrapText="1"/>
    </dxf>
    <dxf>
      <alignment wrapText="1"/>
    </dxf>
    <dxf>
      <alignment wrapText="1"/>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alignment wrapText="1"/>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alignment wrapText="1"/>
    </dxf>
    <dxf>
      <alignment wrapText="1"/>
    </dxf>
    <dxf>
      <alignment wrapText="1"/>
    </dxf>
    <dxf>
      <alignment wrapText="1"/>
    </dxf>
    <dxf>
      <alignment wrapText="1"/>
    </dxf>
    <dxf>
      <alignment wrapText="1"/>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alignment wrapText="1"/>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alignment wrapText="1"/>
    </dxf>
    <dxf>
      <alignment wrapText="1"/>
    </dxf>
    <dxf>
      <alignment wrapText="1"/>
    </dxf>
    <dxf>
      <alignment wrapText="1"/>
    </dxf>
    <dxf>
      <alignment wrapText="1"/>
    </dxf>
    <dxf>
      <alignment wrapText="1"/>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alignment wrapText="1"/>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alignment wrapText="1"/>
    </dxf>
    <dxf>
      <alignment wrapText="1"/>
    </dxf>
    <dxf>
      <alignment wrapText="1"/>
    </dxf>
    <dxf>
      <alignment wrapText="1"/>
    </dxf>
    <dxf>
      <alignment wrapText="1"/>
    </dxf>
    <dxf>
      <alignment wrapText="1"/>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alignment wrapText="1"/>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alignment wrapText="1"/>
    </dxf>
    <dxf>
      <alignment wrapText="1"/>
    </dxf>
    <dxf>
      <alignment wrapText="1"/>
    </dxf>
    <dxf>
      <alignment wrapText="1"/>
    </dxf>
    <dxf>
      <alignment wrapText="1"/>
    </dxf>
    <dxf>
      <alignment wrapText="1"/>
    </dxf>
    <dxf>
      <numFmt numFmtId="169" formatCode="#,##0.00\ &quot;€&quot;"/>
    </dxf>
    <dxf>
      <numFmt numFmtId="169" formatCode="#,##0.00\ &quot;€&quot;"/>
    </dxf>
    <dxf>
      <numFmt numFmtId="169" formatCode="#,##0.00\ &quot;€&quot;"/>
    </dxf>
    <dxf>
      <numFmt numFmtId="169" formatCode="#,##0.00\ &quot;€&quot;"/>
    </dxf>
    <dxf>
      <numFmt numFmtId="169" formatCode="#,##0.00\ &quot;€&quot;"/>
    </dxf>
    <dxf>
      <alignment wrapText="1"/>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alignment wrapText="1"/>
    </dxf>
    <dxf>
      <alignment wrapText="1"/>
    </dxf>
    <dxf>
      <alignment wrapText="1"/>
    </dxf>
    <dxf>
      <alignment wrapText="1"/>
    </dxf>
    <dxf>
      <alignment wrapText="1"/>
    </dxf>
    <dxf>
      <alignment wrapText="1"/>
    </dxf>
    <dxf>
      <numFmt numFmtId="169" formatCode="#,##0.00\ &quot;€&quot;"/>
    </dxf>
    <dxf>
      <numFmt numFmtId="169" formatCode="#,##0.00\ &quot;€&quot;"/>
    </dxf>
    <dxf>
      <numFmt numFmtId="169" formatCode="#,##0.00\ &quot;€&quot;"/>
    </dxf>
    <dxf>
      <numFmt numFmtId="169" formatCode="#,##0.00\ &quot;€&quot;"/>
    </dxf>
    <dxf>
      <alignment wrapText="1"/>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alignment wrapText="1"/>
    </dxf>
    <dxf>
      <alignment wrapText="1"/>
    </dxf>
    <dxf>
      <alignment wrapText="1"/>
    </dxf>
    <dxf>
      <alignment wrapText="1"/>
    </dxf>
    <dxf>
      <alignment wrapText="1"/>
    </dxf>
    <dxf>
      <alignment wrapText="1"/>
    </dxf>
    <dxf>
      <numFmt numFmtId="169" formatCode="#,##0.00\ &quot;€&quot;"/>
    </dxf>
    <dxf>
      <numFmt numFmtId="169" formatCode="#,##0.00\ &quot;€&quot;"/>
    </dxf>
    <dxf>
      <numFmt numFmtId="169" formatCode="#,##0.00\ &quot;€&quot;"/>
    </dxf>
    <dxf>
      <numFmt numFmtId="169" formatCode="#,##0.00\ &quot;€&quot;"/>
    </dxf>
    <dxf>
      <alignment wrapText="1"/>
    </dxf>
    <dxf>
      <alignment wrapText="1"/>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alignment wrapText="1"/>
    </dxf>
    <dxf>
      <alignment wrapText="1"/>
    </dxf>
    <dxf>
      <alignment wrapText="1"/>
    </dxf>
    <dxf>
      <alignment wrapText="1"/>
    </dxf>
    <dxf>
      <alignment wrapText="1"/>
    </dxf>
    <dxf>
      <alignment wrapText="1"/>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alignment wrapText="1"/>
    </dxf>
    <dxf>
      <alignment wrapText="1"/>
    </dxf>
    <dxf>
      <alignment wrapText="1"/>
    </dxf>
    <dxf>
      <alignment wrapText="1"/>
    </dxf>
    <dxf>
      <alignment wrapText="1"/>
    </dxf>
    <dxf>
      <alignment wrapText="1"/>
    </dxf>
    <dxf>
      <alignment wrapText="1"/>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alignment wrapText="1"/>
    </dxf>
    <dxf>
      <alignment wrapText="1"/>
    </dxf>
    <dxf>
      <alignment wrapText="1"/>
    </dxf>
    <dxf>
      <alignment wrapText="1"/>
    </dxf>
    <dxf>
      <alignment wrapText="1"/>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alignment wrapText="1"/>
    </dxf>
    <dxf>
      <alignment wrapText="1"/>
    </dxf>
    <dxf>
      <alignment wrapText="1"/>
    </dxf>
    <dxf>
      <alignment wrapText="1"/>
    </dxf>
    <dxf>
      <alignment wrapText="1"/>
    </dxf>
    <dxf>
      <alignment wrapText="1"/>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alignment wrapText="1"/>
    </dxf>
    <dxf>
      <alignment wrapText="1"/>
    </dxf>
    <dxf>
      <alignment wrapText="1"/>
    </dxf>
    <dxf>
      <alignment wrapText="1"/>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alignment wrapText="1"/>
    </dxf>
    <dxf>
      <alignment wrapText="1"/>
    </dxf>
    <dxf>
      <alignment wrapText="1"/>
    </dxf>
    <dxf>
      <alignment wrapText="1"/>
    </dxf>
    <dxf>
      <alignment wrapText="1"/>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alignment wrapText="1"/>
    </dxf>
    <dxf>
      <alignment wrapText="1"/>
    </dxf>
    <dxf>
      <alignment wrapText="1"/>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alignment wrapText="1"/>
    </dxf>
    <dxf>
      <alignment wrapText="1"/>
    </dxf>
    <dxf>
      <alignment wrapText="1"/>
    </dxf>
    <dxf>
      <alignment wrapText="1"/>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alignment wrapText="1"/>
    </dxf>
    <dxf>
      <alignment wrapText="1"/>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alignment wrapText="1"/>
    </dxf>
    <dxf>
      <alignment wrapText="1"/>
    </dxf>
    <dxf>
      <alignment wrapText="1"/>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alignment wrapText="1"/>
    </dxf>
    <dxf>
      <numFmt numFmtId="167" formatCode="&quot;$&quot;#,##0.00"/>
    </dxf>
    <dxf>
      <numFmt numFmtId="167" formatCode="&quot;$&quot;#,##0.00"/>
    </dxf>
    <dxf>
      <numFmt numFmtId="167" formatCode="&quot;$&quot;#,##0.00"/>
    </dxf>
    <dxf>
      <numFmt numFmtId="167" formatCode="&quot;$&quot;#,##0.00"/>
    </dxf>
    <dxf>
      <numFmt numFmtId="167" formatCode="&quot;$&quot;#,##0.00"/>
    </dxf>
    <dxf>
      <numFmt numFmtId="167" formatCode="&quot;$&quot;#,##0.00"/>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font>
        <b val="0"/>
        <i val="0"/>
        <strike val="0"/>
        <condense val="0"/>
        <extend val="0"/>
        <outline val="0"/>
        <shadow val="0"/>
        <u val="none"/>
        <vertAlign val="baseline"/>
        <sz val="11"/>
        <color theme="1"/>
        <name val="Cambria"/>
        <scheme val="minor"/>
      </font>
      <numFmt numFmtId="13" formatCode="0%"/>
      <fill>
        <patternFill patternType="solid">
          <fgColor indexed="64"/>
          <bgColor theme="0" tint="-0.14996795556505021"/>
        </patternFill>
      </fill>
    </dxf>
    <dxf>
      <font>
        <b val="0"/>
        <i val="0"/>
        <strike val="0"/>
        <condense val="0"/>
        <extend val="0"/>
        <outline val="0"/>
        <shadow val="0"/>
        <u val="none"/>
        <vertAlign val="baseline"/>
        <sz val="11"/>
        <color theme="1"/>
        <name val="Cambria"/>
        <scheme val="minor"/>
      </font>
      <numFmt numFmtId="13" formatCode="0%"/>
      <fill>
        <patternFill patternType="solid">
          <fgColor indexed="64"/>
          <bgColor theme="0" tint="-0.14996795556505021"/>
        </patternFill>
      </fill>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numFmt numFmtId="13" formatCode="0%"/>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dxf>
    <dxf>
      <font>
        <b val="0"/>
        <i val="0"/>
        <strike val="0"/>
        <condense val="0"/>
        <extend val="0"/>
        <outline val="0"/>
        <shadow val="0"/>
        <u val="none"/>
        <vertAlign val="baseline"/>
        <sz val="11"/>
        <color theme="1"/>
        <name val="Cambria"/>
        <scheme val="minor"/>
      </font>
    </dxf>
    <dxf>
      <alignment horizontal="general" vertical="bottom" textRotation="0" wrapText="1" indent="0" justifyLastLine="0" shrinkToFit="0" readingOrder="0"/>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alignment wrapText="1"/>
    </dxf>
    <dxf>
      <font>
        <b val="0"/>
        <i val="0"/>
        <strike val="0"/>
        <condense val="0"/>
        <extend val="0"/>
        <outline val="0"/>
        <shadow val="0"/>
        <u val="none"/>
        <vertAlign val="baseline"/>
        <sz val="10"/>
        <color theme="1"/>
        <name val="Tahoma"/>
        <scheme val="major"/>
      </font>
      <fill>
        <patternFill patternType="solid">
          <fgColor indexed="64"/>
          <bgColor theme="5" tint="-0.249977111117893"/>
        </patternFill>
      </fill>
      <alignment horizontal="general" vertical="bottom" textRotation="0" wrapText="1" indent="0" justifyLastLine="0" shrinkToFit="0" readingOrder="0"/>
    </dxf>
  </dxfs>
  <tableStyles count="0" defaultTableStyle="TableStyleMedium3"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r>
              <a:rPr lang="en-US"/>
              <a:t>KAVANDATUD JA TEGELIK HIND</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endParaRPr lang="et-EE"/>
        </a:p>
      </c:txPr>
    </c:title>
    <c:autoTitleDeleted val="0"/>
    <c:plotArea>
      <c:layout/>
      <c:barChart>
        <c:barDir val="col"/>
        <c:grouping val="clustered"/>
        <c:varyColors val="0"/>
        <c:ser>
          <c:idx val="0"/>
          <c:order val="0"/>
          <c:tx>
            <c:strRef>
              <c:f>'PROJEKTI PARAMEETRID'!$B$16</c:f>
              <c:strCache>
                <c:ptCount val="1"/>
                <c:pt idx="0">
                  <c:v>KAVANDATUD HIND</c:v>
                </c:pt>
              </c:strCache>
            </c:strRef>
          </c:tx>
          <c:spPr>
            <a:solidFill>
              <a:schemeClr val="accent1"/>
            </a:solidFill>
            <a:ln>
              <a:noFill/>
            </a:ln>
            <a:effectLst/>
          </c:spPr>
          <c:invertIfNegative val="0"/>
          <c:cat>
            <c:strRef>
              <c:f>'PROJEKTI PARAMEETRID'!$C$15:$H$15</c:f>
              <c:strCache>
                <c:ptCount val="6"/>
                <c:pt idx="0">
                  <c:v>KONTOHALDUR</c:v>
                </c:pt>
                <c:pt idx="1">
                  <c:v>PROJEKTIJUHT</c:v>
                </c:pt>
                <c:pt idx="2">
                  <c:v>STRATEEGIAJUHT</c:v>
                </c:pt>
                <c:pt idx="3">
                  <c:v>KUJUNDUSSPETSIALIST</c:v>
                </c:pt>
                <c:pt idx="4">
                  <c:v>ÜRITUSE PERSONAL</c:v>
                </c:pt>
                <c:pt idx="5">
                  <c:v>HALDUSPERSONAL</c:v>
                </c:pt>
              </c:strCache>
            </c:strRef>
          </c:cat>
          <c:val>
            <c:numRef>
              <c:f>'PROJEKTI PARAMEETRID'!$C$16:$H$16</c:f>
              <c:numCache>
                <c:formatCode>#\ ##0.00\ "€"</c:formatCode>
                <c:ptCount val="6"/>
                <c:pt idx="0">
                  <c:v>54000</c:v>
                </c:pt>
                <c:pt idx="1">
                  <c:v>52200</c:v>
                </c:pt>
                <c:pt idx="2">
                  <c:v>24000</c:v>
                </c:pt>
                <c:pt idx="3">
                  <c:v>29000</c:v>
                </c:pt>
                <c:pt idx="4">
                  <c:v>13200</c:v>
                </c:pt>
                <c:pt idx="5">
                  <c:v>9000</c:v>
                </c:pt>
              </c:numCache>
            </c:numRef>
          </c:val>
          <c:extLst>
            <c:ext xmlns:c16="http://schemas.microsoft.com/office/drawing/2014/chart" uri="{C3380CC4-5D6E-409C-BE32-E72D297353CC}">
              <c16:uniqueId val="{00000000-AAD0-4845-B60A-67B25D8A3957}"/>
            </c:ext>
          </c:extLst>
        </c:ser>
        <c:ser>
          <c:idx val="1"/>
          <c:order val="1"/>
          <c:tx>
            <c:strRef>
              <c:f>'PROJEKTI PARAMEETRID'!$B$17</c:f>
              <c:strCache>
                <c:ptCount val="1"/>
                <c:pt idx="0">
                  <c:v>TEGELIK HIND</c:v>
                </c:pt>
              </c:strCache>
            </c:strRef>
          </c:tx>
          <c:spPr>
            <a:solidFill>
              <a:schemeClr val="accent2"/>
            </a:solidFill>
            <a:ln>
              <a:noFill/>
            </a:ln>
            <a:effectLst/>
          </c:spPr>
          <c:invertIfNegative val="0"/>
          <c:cat>
            <c:strRef>
              <c:f>'PROJEKTI PARAMEETRID'!$C$15:$H$15</c:f>
              <c:strCache>
                <c:ptCount val="6"/>
                <c:pt idx="0">
                  <c:v>KONTOHALDUR</c:v>
                </c:pt>
                <c:pt idx="1">
                  <c:v>PROJEKTIJUHT</c:v>
                </c:pt>
                <c:pt idx="2">
                  <c:v>STRATEEGIAJUHT</c:v>
                </c:pt>
                <c:pt idx="3">
                  <c:v>KUJUNDUSSPETSIALIST</c:v>
                </c:pt>
                <c:pt idx="4">
                  <c:v>ÜRITUSE PERSONAL</c:v>
                </c:pt>
                <c:pt idx="5">
                  <c:v>HALDUSPERSONAL</c:v>
                </c:pt>
              </c:strCache>
            </c:strRef>
          </c:cat>
          <c:val>
            <c:numRef>
              <c:f>'PROJEKTI PARAMEETRID'!$C$17:$H$17</c:f>
              <c:numCache>
                <c:formatCode>#\ ##0.00\ "€"</c:formatCode>
                <c:ptCount val="6"/>
                <c:pt idx="0">
                  <c:v>54360</c:v>
                </c:pt>
                <c:pt idx="1">
                  <c:v>51540</c:v>
                </c:pt>
                <c:pt idx="2">
                  <c:v>25650</c:v>
                </c:pt>
                <c:pt idx="3">
                  <c:v>28900</c:v>
                </c:pt>
                <c:pt idx="4">
                  <c:v>13400</c:v>
                </c:pt>
                <c:pt idx="5">
                  <c:v>9060</c:v>
                </c:pt>
              </c:numCache>
            </c:numRef>
          </c:val>
          <c:extLst>
            <c:ext xmlns:c16="http://schemas.microsoft.com/office/drawing/2014/chart" uri="{C3380CC4-5D6E-409C-BE32-E72D297353CC}">
              <c16:uniqueId val="{00000001-AAD0-4845-B60A-67B25D8A3957}"/>
            </c:ext>
          </c:extLst>
        </c:ser>
        <c:dLbls>
          <c:showLegendKey val="0"/>
          <c:showVal val="0"/>
          <c:showCatName val="0"/>
          <c:showSerName val="0"/>
          <c:showPercent val="0"/>
          <c:showBubbleSize val="0"/>
        </c:dLbls>
        <c:gapWidth val="199"/>
        <c:axId val="235542680"/>
        <c:axId val="235555352"/>
      </c:barChart>
      <c:catAx>
        <c:axId val="235542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t-EE"/>
          </a:p>
        </c:txPr>
        <c:crossAx val="235555352"/>
        <c:crosses val="autoZero"/>
        <c:auto val="1"/>
        <c:lblAlgn val="ctr"/>
        <c:lblOffset val="100"/>
        <c:noMultiLvlLbl val="0"/>
      </c:catAx>
      <c:valAx>
        <c:axId val="23555535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 ##0.00\ &quot;€&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crossAx val="23554268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mbria"/>
              <a:ea typeface="Cambria"/>
              <a:cs typeface="Cambria"/>
            </a:defRPr>
          </a:pPr>
          <a:endParaRPr lang="et-E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t-E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r>
              <a:rPr lang="en-US"/>
              <a:t>KAVANDATUD JA TEGELIKUD TUNNID</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Tahoma"/>
              <a:ea typeface="Tahoma"/>
              <a:cs typeface="Tahoma"/>
            </a:defRPr>
          </a:pPr>
          <a:endParaRPr lang="et-EE"/>
        </a:p>
      </c:txPr>
    </c:title>
    <c:autoTitleDeleted val="0"/>
    <c:plotArea>
      <c:layout/>
      <c:barChart>
        <c:barDir val="col"/>
        <c:grouping val="clustered"/>
        <c:varyColors val="0"/>
        <c:ser>
          <c:idx val="0"/>
          <c:order val="0"/>
          <c:tx>
            <c:strRef>
              <c:f>'PROJEKTI PARAMEETRID'!$B$18</c:f>
              <c:strCache>
                <c:ptCount val="1"/>
                <c:pt idx="0">
                  <c:v>KAVANDATUD TUNNID</c:v>
                </c:pt>
              </c:strCache>
            </c:strRef>
          </c:tx>
          <c:spPr>
            <a:solidFill>
              <a:schemeClr val="accent1"/>
            </a:solidFill>
            <a:ln>
              <a:noFill/>
            </a:ln>
            <a:effectLst/>
          </c:spPr>
          <c:invertIfNegative val="0"/>
          <c:cat>
            <c:strRef>
              <c:f>'PROJEKTI PARAMEETRID'!$C$15:$H$15</c:f>
              <c:strCache>
                <c:ptCount val="6"/>
                <c:pt idx="0">
                  <c:v>KONTOHALDUR</c:v>
                </c:pt>
                <c:pt idx="1">
                  <c:v>PROJEKTIJUHT</c:v>
                </c:pt>
                <c:pt idx="2">
                  <c:v>STRATEEGIAJUHT</c:v>
                </c:pt>
                <c:pt idx="3">
                  <c:v>KUJUNDUSSPETSIALIST</c:v>
                </c:pt>
                <c:pt idx="4">
                  <c:v>ÜRITUSE PERSONAL</c:v>
                </c:pt>
                <c:pt idx="5">
                  <c:v>HALDUSPERSONAL</c:v>
                </c:pt>
              </c:strCache>
            </c:strRef>
          </c:cat>
          <c:val>
            <c:numRef>
              <c:f>'PROJEKTI PARAMEETRID'!$C$18:$H$18</c:f>
              <c:numCache>
                <c:formatCode>#,##0.00</c:formatCode>
                <c:ptCount val="6"/>
                <c:pt idx="0">
                  <c:v>300</c:v>
                </c:pt>
                <c:pt idx="1">
                  <c:v>290</c:v>
                </c:pt>
                <c:pt idx="2">
                  <c:v>133.33333333333334</c:v>
                </c:pt>
                <c:pt idx="3">
                  <c:v>161.11111111111111</c:v>
                </c:pt>
                <c:pt idx="4">
                  <c:v>73.333333333333329</c:v>
                </c:pt>
                <c:pt idx="5">
                  <c:v>50</c:v>
                </c:pt>
              </c:numCache>
            </c:numRef>
          </c:val>
          <c:extLst>
            <c:ext xmlns:c16="http://schemas.microsoft.com/office/drawing/2014/chart" uri="{C3380CC4-5D6E-409C-BE32-E72D297353CC}">
              <c16:uniqueId val="{00000000-A86A-44EC-9CDF-5C3EB0A17C14}"/>
            </c:ext>
          </c:extLst>
        </c:ser>
        <c:ser>
          <c:idx val="1"/>
          <c:order val="1"/>
          <c:tx>
            <c:strRef>
              <c:f>'PROJEKTI PARAMEETRID'!$B$19</c:f>
              <c:strCache>
                <c:ptCount val="1"/>
                <c:pt idx="0">
                  <c:v>TEGELIKUD TUNNID</c:v>
                </c:pt>
              </c:strCache>
            </c:strRef>
          </c:tx>
          <c:spPr>
            <a:solidFill>
              <a:schemeClr val="accent2"/>
            </a:solidFill>
            <a:ln>
              <a:noFill/>
            </a:ln>
            <a:effectLst/>
          </c:spPr>
          <c:invertIfNegative val="0"/>
          <c:cat>
            <c:strRef>
              <c:f>'PROJEKTI PARAMEETRID'!$C$15:$H$15</c:f>
              <c:strCache>
                <c:ptCount val="6"/>
                <c:pt idx="0">
                  <c:v>KONTOHALDUR</c:v>
                </c:pt>
                <c:pt idx="1">
                  <c:v>PROJEKTIJUHT</c:v>
                </c:pt>
                <c:pt idx="2">
                  <c:v>STRATEEGIAJUHT</c:v>
                </c:pt>
                <c:pt idx="3">
                  <c:v>KUJUNDUSSPETSIALIST</c:v>
                </c:pt>
                <c:pt idx="4">
                  <c:v>ÜRITUSE PERSONAL</c:v>
                </c:pt>
                <c:pt idx="5">
                  <c:v>HALDUSPERSONAL</c:v>
                </c:pt>
              </c:strCache>
            </c:strRef>
          </c:cat>
          <c:val>
            <c:numRef>
              <c:f>'PROJEKTI PARAMEETRID'!$C$19:$H$19</c:f>
              <c:numCache>
                <c:formatCode>#,##0.00</c:formatCode>
                <c:ptCount val="6"/>
                <c:pt idx="0">
                  <c:v>302</c:v>
                </c:pt>
                <c:pt idx="1">
                  <c:v>286.33333333333331</c:v>
                </c:pt>
                <c:pt idx="2">
                  <c:v>142.5</c:v>
                </c:pt>
                <c:pt idx="3">
                  <c:v>160.55555555555554</c:v>
                </c:pt>
                <c:pt idx="4">
                  <c:v>74.444444444444443</c:v>
                </c:pt>
                <c:pt idx="5">
                  <c:v>50.333333333333336</c:v>
                </c:pt>
              </c:numCache>
            </c:numRef>
          </c:val>
          <c:extLst>
            <c:ext xmlns:c16="http://schemas.microsoft.com/office/drawing/2014/chart" uri="{C3380CC4-5D6E-409C-BE32-E72D297353CC}">
              <c16:uniqueId val="{00000001-A86A-44EC-9CDF-5C3EB0A17C14}"/>
            </c:ext>
          </c:extLst>
        </c:ser>
        <c:dLbls>
          <c:showLegendKey val="0"/>
          <c:showVal val="0"/>
          <c:showCatName val="0"/>
          <c:showSerName val="0"/>
          <c:showPercent val="0"/>
          <c:showBubbleSize val="0"/>
        </c:dLbls>
        <c:gapWidth val="199"/>
        <c:axId val="235519648"/>
        <c:axId val="235697816"/>
      </c:barChart>
      <c:catAx>
        <c:axId val="235519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t-EE"/>
          </a:p>
        </c:txPr>
        <c:crossAx val="235697816"/>
        <c:crosses val="autoZero"/>
        <c:auto val="1"/>
        <c:lblAlgn val="ctr"/>
        <c:lblOffset val="100"/>
        <c:noMultiLvlLbl val="0"/>
      </c:catAx>
      <c:valAx>
        <c:axId val="23569781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t-EE"/>
          </a:p>
        </c:txPr>
        <c:crossAx val="2355196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ambria"/>
              <a:ea typeface="Cambria"/>
              <a:cs typeface="Cambria"/>
            </a:defRPr>
          </a:pPr>
          <a:endParaRPr lang="et-E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t-E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12</xdr:row>
      <xdr:rowOff>180974</xdr:rowOff>
    </xdr:from>
    <xdr:to>
      <xdr:col>4</xdr:col>
      <xdr:colOff>696900</xdr:colOff>
      <xdr:row>42</xdr:row>
      <xdr:rowOff>76200</xdr:rowOff>
    </xdr:to>
    <xdr:graphicFrame macro="">
      <xdr:nvGraphicFramePr>
        <xdr:cNvPr id="7" name="Diagramm 6" descr="Tulpdiagramm, kus on kujutatud plaanitud ja tegeliku kulu võrdlus.">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809625</xdr:colOff>
      <xdr:row>12</xdr:row>
      <xdr:rowOff>180974</xdr:rowOff>
    </xdr:from>
    <xdr:to>
      <xdr:col>9</xdr:col>
      <xdr:colOff>1575</xdr:colOff>
      <xdr:row>42</xdr:row>
      <xdr:rowOff>76200</xdr:rowOff>
    </xdr:to>
    <xdr:graphicFrame macro="">
      <xdr:nvGraphicFramePr>
        <xdr:cNvPr id="8" name="Diagramm 7" descr="Tulpdiagramm, kus on kujutatud plaanitud ja tegeliku ajakulu võrdlus.">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0</xdr:colOff>
      <xdr:row>2</xdr:row>
      <xdr:rowOff>371474</xdr:rowOff>
    </xdr:from>
    <xdr:to>
      <xdr:col>28</xdr:col>
      <xdr:colOff>590550</xdr:colOff>
      <xdr:row>20</xdr:row>
      <xdr:rowOff>123824</xdr:rowOff>
    </xdr:to>
    <xdr:sp macro="" textlink="">
      <xdr:nvSpPr>
        <xdr:cNvPr id="2" name="Ristkülik 1" descr="INFO:&#10;&#10;To add a row, select the bottom-right most cell in the body of the table (not the totals row) and press Tab, or press SHIFT+F10 key where you want the row inserted and select Insert | Table Rows Above/Below.&#10;&#10;Be sure all unused rows are deleted, as the PROJECT TOTALS PivotTable will use all of the tables cells, and otherwise would give erroneous results.&#10;&#10;To delete this info tip, select any edge and press Delete">
          <a:extLst>
            <a:ext uri="{FF2B5EF4-FFF2-40B4-BE49-F238E27FC236}">
              <a16:creationId xmlns:a16="http://schemas.microsoft.com/office/drawing/2014/main" id="{00000000-0008-0000-0100-000002000000}"/>
            </a:ext>
          </a:extLst>
        </xdr:cNvPr>
        <xdr:cNvSpPr/>
      </xdr:nvSpPr>
      <xdr:spPr>
        <a:xfrm>
          <a:off x="10572750" y="1066799"/>
          <a:ext cx="3028950" cy="3343275"/>
        </a:xfrm>
        <a:prstGeom prst="rect">
          <a:avLst/>
        </a:prstGeom>
        <a:solidFill>
          <a:schemeClr val="accent2">
            <a:lumMod val="20000"/>
            <a:lumOff val="80000"/>
          </a:schemeClr>
        </a:solidFill>
        <a:ln w="19050">
          <a:solidFill>
            <a:schemeClr val="accent2"/>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rtl="0"/>
          <a:r>
            <a:rPr lang="et" sz="1800">
              <a:solidFill>
                <a:schemeClr val="tx1">
                  <a:lumMod val="65000"/>
                  <a:lumOff val="35000"/>
                </a:schemeClr>
              </a:solidFill>
              <a:latin typeface="+mj-lt"/>
            </a:rPr>
            <a:t>TEAVE</a:t>
          </a:r>
        </a:p>
        <a:p>
          <a:pPr algn="l" rtl="0"/>
          <a:endParaRPr lang="en-US" sz="1100">
            <a:solidFill>
              <a:schemeClr val="tx1">
                <a:lumMod val="65000"/>
                <a:lumOff val="35000"/>
              </a:schemeClr>
            </a:solidFill>
          </a:endParaRPr>
        </a:p>
        <a:p>
          <a:pPr algn="l" rtl="0"/>
          <a:r>
            <a:rPr lang="et" sz="1100">
              <a:solidFill>
                <a:schemeClr val="tx1">
                  <a:lumMod val="65000"/>
                  <a:lumOff val="35000"/>
                </a:schemeClr>
              </a:solidFill>
            </a:rPr>
            <a:t>Rea lisamiseks valige</a:t>
          </a:r>
          <a:r>
            <a:rPr lang="et" sz="1100" baseline="0">
              <a:solidFill>
                <a:schemeClr val="tx1">
                  <a:lumMod val="65000"/>
                  <a:lumOff val="35000"/>
                </a:schemeClr>
              </a:solidFill>
            </a:rPr>
            <a:t> tabeli sisuosas paremas allnurgas lahter (mitte kokkuvõtterida) ja vajutage tabeldusklahvi (Tab) või paremklõpsake klahvi F10 seal, kuhu soovite rea lisada ning valige Lisa | Tabeliread üles/</a:t>
          </a:r>
          <a:r>
            <a:rPr lang="et-EE" sz="1100" baseline="0">
              <a:solidFill>
                <a:schemeClr val="tx1">
                  <a:lumMod val="65000"/>
                  <a:lumOff val="35000"/>
                </a:schemeClr>
              </a:solidFill>
            </a:rPr>
            <a:t>Tabelirida </a:t>
          </a:r>
          <a:r>
            <a:rPr lang="et" sz="1100" baseline="0">
              <a:solidFill>
                <a:schemeClr val="tx1">
                  <a:lumMod val="65000"/>
                  <a:lumOff val="35000"/>
                </a:schemeClr>
              </a:solidFill>
            </a:rPr>
            <a:t>alla.</a:t>
          </a:r>
        </a:p>
        <a:p>
          <a:pPr algn="l" rtl="0"/>
          <a:endParaRPr lang="en-US" sz="1100" baseline="0">
            <a:solidFill>
              <a:schemeClr val="tx1">
                <a:lumMod val="65000"/>
                <a:lumOff val="35000"/>
              </a:schemeClr>
            </a:solidFill>
          </a:endParaRPr>
        </a:p>
        <a:p>
          <a:pPr algn="l" rtl="0"/>
          <a:r>
            <a:rPr lang="et" sz="1100" baseline="0">
              <a:solidFill>
                <a:schemeClr val="tx1">
                  <a:lumMod val="65000"/>
                  <a:lumOff val="35000"/>
                </a:schemeClr>
              </a:solidFill>
            </a:rPr>
            <a:t>Veenduge, et kõik kasutamata read on kustutatud, kuna PivotTable-liigendtabel PROJEKTI KOKKUVÕTTED kasutab kõiki tabeli lahtreid ning annab vastasel korral vigaseid tulemeid.</a:t>
          </a:r>
        </a:p>
        <a:p>
          <a:pPr algn="l" rtl="0"/>
          <a:endParaRPr lang="en-US" sz="1100" baseline="0">
            <a:solidFill>
              <a:schemeClr val="tx1">
                <a:lumMod val="65000"/>
                <a:lumOff val="35000"/>
              </a:schemeClr>
            </a:solidFill>
          </a:endParaRPr>
        </a:p>
        <a:p>
          <a:pPr algn="l" rtl="0"/>
          <a:r>
            <a:rPr lang="et" sz="1100" baseline="0">
              <a:solidFill>
                <a:schemeClr val="tx1">
                  <a:lumMod val="65000"/>
                  <a:lumOff val="35000"/>
                </a:schemeClr>
              </a:solidFill>
            </a:rPr>
            <a:t>Selle näpunäite kustutamiseks valige mõni serv ja vajutage kustutusklahvi (Delete).</a:t>
          </a:r>
          <a:endParaRPr lang="en-US" sz="1100">
            <a:solidFill>
              <a:schemeClr val="tx1">
                <a:lumMod val="65000"/>
                <a:lumOff val="35000"/>
              </a:schemeClr>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15</xdr:col>
      <xdr:colOff>0</xdr:colOff>
      <xdr:row>3</xdr:row>
      <xdr:rowOff>0</xdr:rowOff>
    </xdr:from>
    <xdr:to>
      <xdr:col>19</xdr:col>
      <xdr:colOff>590550</xdr:colOff>
      <xdr:row>14</xdr:row>
      <xdr:rowOff>114300</xdr:rowOff>
    </xdr:to>
    <xdr:sp macro="" textlink="">
      <xdr:nvSpPr>
        <xdr:cNvPr id="2" name="Ristkülik 1" descr="INFO:&#10;&#10;This PivotTable will not refresh automatically.  To refresh it, select it (any cell within the PivotTable), on the PIVOTTABLE TOOLS | ANALYZE ribbon tab select Refresh.  Or press SHIFT+F10 key in any cell in the PivotTable, and then select Refresh.&#10;&#10;To delete this info tip, select any edge and press Delete.">
          <a:extLst>
            <a:ext uri="{FF2B5EF4-FFF2-40B4-BE49-F238E27FC236}">
              <a16:creationId xmlns:a16="http://schemas.microsoft.com/office/drawing/2014/main" id="{00000000-0008-0000-0200-000002000000}"/>
            </a:ext>
          </a:extLst>
        </xdr:cNvPr>
        <xdr:cNvSpPr/>
      </xdr:nvSpPr>
      <xdr:spPr>
        <a:xfrm>
          <a:off x="11953875" y="1066800"/>
          <a:ext cx="3028950" cy="2247900"/>
        </a:xfrm>
        <a:prstGeom prst="rect">
          <a:avLst/>
        </a:prstGeom>
        <a:solidFill>
          <a:schemeClr val="accent2">
            <a:lumMod val="20000"/>
            <a:lumOff val="80000"/>
          </a:schemeClr>
        </a:solidFill>
        <a:ln w="19050">
          <a:solidFill>
            <a:schemeClr val="accent2">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rtl="0"/>
          <a:r>
            <a:rPr lang="et" sz="1800">
              <a:solidFill>
                <a:schemeClr val="tx1">
                  <a:lumMod val="65000"/>
                  <a:lumOff val="35000"/>
                </a:schemeClr>
              </a:solidFill>
              <a:latin typeface="+mj-lt"/>
            </a:rPr>
            <a:t>TEAVE</a:t>
          </a:r>
        </a:p>
        <a:p>
          <a:pPr algn="l" rtl="0"/>
          <a:endParaRPr lang="en-US" sz="1100">
            <a:solidFill>
              <a:schemeClr val="tx1">
                <a:lumMod val="65000"/>
                <a:lumOff val="35000"/>
              </a:schemeClr>
            </a:solidFill>
          </a:endParaRPr>
        </a:p>
        <a:p>
          <a:pPr algn="l" rtl="0"/>
          <a:r>
            <a:rPr lang="et" sz="1100">
              <a:solidFill>
                <a:schemeClr val="tx1">
                  <a:lumMod val="65000"/>
                  <a:lumOff val="35000"/>
                </a:schemeClr>
              </a:solidFill>
            </a:rPr>
            <a:t>Seda PivotTable-liigendtabelit ei värskendata automaatselt.  Värskendamiseks valige</a:t>
          </a:r>
          <a:r>
            <a:rPr lang="et" sz="1100" baseline="0">
              <a:solidFill>
                <a:schemeClr val="tx1">
                  <a:lumMod val="65000"/>
                  <a:lumOff val="35000"/>
                </a:schemeClr>
              </a:solidFill>
            </a:rPr>
            <a:t> see (mis tahes PivotTable-liigendtabeli lahter) ja valige lindi menüüs PIVOTTABLE-LIIGENDTABELI TÖÖRIISTAD | ANALÜÜS klõpsake Värskenda.  Või paremklõpsake PivotTable-liigendtabelis suvalist lahtrit ja valige käsk Värskenda.</a:t>
          </a:r>
        </a:p>
        <a:p>
          <a:pPr algn="l" rtl="0"/>
          <a:endParaRPr lang="en-US" sz="1100" baseline="0">
            <a:solidFill>
              <a:schemeClr val="tx1">
                <a:lumMod val="65000"/>
                <a:lumOff val="35000"/>
              </a:schemeClr>
            </a:solidFill>
          </a:endParaRPr>
        </a:p>
        <a:p>
          <a:pPr algn="l" rtl="0"/>
          <a:r>
            <a:rPr lang="et" sz="1100" baseline="0">
              <a:solidFill>
                <a:schemeClr val="tx1">
                  <a:lumMod val="65000"/>
                  <a:lumOff val="35000"/>
                </a:schemeClr>
              </a:solidFill>
            </a:rPr>
            <a:t>Selle näpunäite kustutamiseks valige mõni serv ja vajutage kustutusklahvi (Delete).</a:t>
          </a:r>
          <a:endParaRPr lang="en-US" sz="1100">
            <a:solidFill>
              <a:schemeClr val="tx1">
                <a:lumMod val="65000"/>
                <a:lumOff val="35000"/>
              </a:schemeClr>
            </a:solidFill>
          </a:endParaRP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514.456135763889" createdVersion="5" refreshedVersion="6" minRefreshableVersion="3" recordCount="5" xr:uid="{00000000-000A-0000-FFFF-FFFF00000000}">
  <cacheSource type="worksheet">
    <worksheetSource name="ProjektiÜksikasjad"/>
  </cacheSource>
  <cacheFields count="22">
    <cacheField name="PROJEKTI NIMI" numFmtId="0">
      <sharedItems count="5">
        <s v="Projekt 1"/>
        <s v="Projekt 2"/>
        <s v="Projekt 3"/>
        <s v="Projekt 4"/>
        <s v="Projekt 5"/>
      </sharedItems>
    </cacheField>
    <cacheField name="PROJEKTI TÜÜP" numFmtId="0">
      <sharedItems/>
    </cacheField>
    <cacheField name="HINNANGULINE ALGUSAEG" numFmtId="14">
      <sharedItems containsSemiMixedTypes="0" containsNonDate="0" containsDate="1" containsString="0" minDate="2019-06-09T00:00:00" maxDate="2023-08-12T00:00:00"/>
    </cacheField>
    <cacheField name="HINNANGULINE LÕPPAEG" numFmtId="14">
      <sharedItems containsSemiMixedTypes="0" containsNonDate="0" containsDate="1" containsString="0" minDate="2019-08-07T00:00:00" maxDate="2023-08-22T00:00:00"/>
    </cacheField>
    <cacheField name="TEGELIK ALGUSAEG" numFmtId="14">
      <sharedItems containsSemiMixedTypes="0" containsNonDate="0" containsDate="1" containsString="0" minDate="2019-06-29T00:00:00" maxDate="2025-08-08T00:00:00"/>
    </cacheField>
    <cacheField name="TEGELIK LÕPPAEG" numFmtId="14">
      <sharedItems containsSemiMixedTypes="0" containsNonDate="0" containsDate="1" containsString="0" minDate="2019-09-03T00:00:00" maxDate="2025-10-11T00:00:00"/>
    </cacheField>
    <cacheField name="HINNANGULINE TÖÖ MAHT" numFmtId="0">
      <sharedItems containsSemiMixedTypes="0" containsString="0" containsNumber="1" containsInteger="1" minValue="150" maxValue="500"/>
    </cacheField>
    <cacheField name="TEGELIK TÖÖ MAHT" numFmtId="0">
      <sharedItems containsSemiMixedTypes="0" containsString="0" containsNumber="1" containsInteger="1" minValue="145" maxValue="500"/>
    </cacheField>
    <cacheField name="HINNANGULINE KESTUS" numFmtId="0">
      <sharedItems containsSemiMixedTypes="0" containsString="0" containsNumber="1" containsInteger="1" minValue="10" maxValue="67"/>
    </cacheField>
    <cacheField name="TEGELIK KESTUS" numFmtId="0">
      <sharedItems containsSemiMixedTypes="0" containsString="0" containsNumber="1" containsInteger="1" minValue="11" maxValue="400"/>
    </cacheField>
    <cacheField name="KONTOHALDUR" numFmtId="168">
      <sharedItems containsSemiMixedTypes="0" containsString="0" containsNumber="1" containsInteger="1" minValue="5400" maxValue="18000"/>
    </cacheField>
    <cacheField name="PROJEKTIJUHT" numFmtId="168">
      <sharedItems containsSemiMixedTypes="0" containsString="0" containsNumber="1" containsInteger="1" minValue="2400" maxValue="24000"/>
    </cacheField>
    <cacheField name="STRATEEGIAJUHT" numFmtId="168">
      <sharedItems containsSemiMixedTypes="0" containsString="0" containsNumber="1" containsInteger="1" minValue="0" maxValue="18000"/>
    </cacheField>
    <cacheField name="KUJUNDUSSPETSIALIST" numFmtId="168">
      <sharedItems containsSemiMixedTypes="0" containsString="0" containsNumber="1" containsInteger="1" minValue="0" maxValue="25000"/>
    </cacheField>
    <cacheField name="ÜRITUSE PERSONAL" numFmtId="168">
      <sharedItems containsSemiMixedTypes="0" containsString="0" containsNumber="1" containsInteger="1" minValue="0" maxValue="12000"/>
    </cacheField>
    <cacheField name="HALDUSPERSONAL" numFmtId="168">
      <sharedItems containsSemiMixedTypes="0" containsString="0" containsNumber="1" containsInteger="1" minValue="900" maxValue="3000"/>
    </cacheField>
    <cacheField name="KONTOHALDUR " numFmtId="168">
      <sharedItems containsSemiMixedTypes="0" containsString="0" containsNumber="1" containsInteger="1" minValue="5220" maxValue="18000"/>
    </cacheField>
    <cacheField name="PROJEKTIJUHT " numFmtId="168">
      <sharedItems containsSemiMixedTypes="0" containsString="0" containsNumber="1" containsInteger="1" minValue="2640" maxValue="23400"/>
    </cacheField>
    <cacheField name="STRATEEGIAJUHT " numFmtId="168">
      <sharedItems containsSemiMixedTypes="0" containsString="0" containsNumber="1" containsInteger="1" minValue="0" maxValue="19800"/>
    </cacheField>
    <cacheField name="KUJUNDUSSPETSIALIST " numFmtId="168">
      <sharedItems containsSemiMixedTypes="0" containsString="0" containsNumber="1" containsInteger="1" minValue="0" maxValue="25000"/>
    </cacheField>
    <cacheField name="ÜRITUSE PERSONAL " numFmtId="168">
      <sharedItems containsSemiMixedTypes="0" containsString="0" containsNumber="1" containsInteger="1" minValue="0" maxValue="12240"/>
    </cacheField>
    <cacheField name="HALDUSPERSONAL " numFmtId="168">
      <sharedItems containsSemiMixedTypes="0" containsString="0" containsNumber="1" containsInteger="1" minValue="870" maxValue="3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s v="Ürituse strateegia väljatöötamine"/>
    <d v="2019-06-09T00:00:00"/>
    <d v="2019-08-07T00:00:00"/>
    <d v="2019-06-29T00:00:00"/>
    <d v="2019-09-03T00:00:00"/>
    <n v="200"/>
    <n v="220"/>
    <n v="58"/>
    <n v="64"/>
    <n v="7200"/>
    <n v="2400"/>
    <n v="18000"/>
    <n v="0"/>
    <n v="0"/>
    <n v="1200"/>
    <n v="7920"/>
    <n v="2640"/>
    <n v="19800"/>
    <n v="0"/>
    <n v="0"/>
    <n v="1320"/>
  </r>
  <r>
    <x v="1"/>
    <s v="Ürituse plaanimine"/>
    <d v="2020-06-25T00:00:00"/>
    <d v="2020-07-27T00:00:00"/>
    <d v="2019-07-15T00:00:00"/>
    <d v="2020-08-25T00:00:00"/>
    <n v="400"/>
    <n v="390"/>
    <n v="32"/>
    <n v="400"/>
    <n v="14400"/>
    <n v="24000"/>
    <n v="6000"/>
    <n v="4000"/>
    <n v="0"/>
    <n v="2400"/>
    <n v="14040"/>
    <n v="23400"/>
    <n v="5850"/>
    <n v="3900"/>
    <n v="0"/>
    <n v="2340"/>
  </r>
  <r>
    <x v="2"/>
    <s v="Ürituse kujundus"/>
    <d v="2021-07-12T00:00:00"/>
    <d v="2021-09-19T00:00:00"/>
    <d v="2025-08-07T00:00:00"/>
    <d v="2025-10-10T00:00:00"/>
    <n v="500"/>
    <n v="500"/>
    <n v="67"/>
    <n v="63"/>
    <n v="18000"/>
    <n v="12000"/>
    <n v="0"/>
    <n v="25000"/>
    <n v="0"/>
    <n v="3000"/>
    <n v="18000"/>
    <n v="12000"/>
    <n v="0"/>
    <n v="25000"/>
    <n v="0"/>
    <n v="3000"/>
  </r>
  <r>
    <x v="3"/>
    <s v="Ürituse logistika"/>
    <d v="2022-07-30T00:00:00"/>
    <d v="2022-09-28T00:00:00"/>
    <d v="2022-09-14T00:00:00"/>
    <d v="2022-11-13T00:00:00"/>
    <n v="150"/>
    <n v="145"/>
    <n v="58"/>
    <n v="59"/>
    <n v="5400"/>
    <n v="10800"/>
    <n v="0"/>
    <n v="0"/>
    <n v="1200"/>
    <n v="900"/>
    <n v="5220"/>
    <n v="10440"/>
    <n v="0"/>
    <n v="0"/>
    <n v="1160"/>
    <n v="870"/>
  </r>
  <r>
    <x v="4"/>
    <s v="Ürituse personal"/>
    <d v="2023-08-11T00:00:00"/>
    <d v="2023-08-21T00:00:00"/>
    <d v="2023-09-14T00:00:00"/>
    <d v="2023-09-25T00:00:00"/>
    <n v="250"/>
    <n v="255"/>
    <n v="10"/>
    <n v="11"/>
    <n v="9000"/>
    <n v="3000"/>
    <n v="0"/>
    <n v="0"/>
    <n v="12000"/>
    <n v="1500"/>
    <n v="9180"/>
    <n v="3060"/>
    <n v="0"/>
    <n v="0"/>
    <n v="12240"/>
    <n v="153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Kokkuvõtted" cacheId="3" applyNumberFormats="0" applyBorderFormats="0" applyFontFormats="0" applyPatternFormats="0" applyAlignmentFormats="0" applyWidthHeightFormats="1" dataCaption="Values" updatedVersion="6" minRefreshableVersion="3" useAutoFormatting="1" itemPrintTitles="1" createdVersion="5" indent="0" compact="0" compactData="0" multipleFieldFilters="0" chartFormat="4">
  <location ref="B4:N10" firstHeaderRow="0" firstDataRow="1" firstDataCol="1"/>
  <pivotFields count="22">
    <pivotField axis="axisRow" compact="0" outline="0" showAll="0">
      <items count="6">
        <item x="0"/>
        <item x="1"/>
        <item x="2"/>
        <item x="3"/>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numFmtId="168" outline="0" showAll="0"/>
    <pivotField dataField="1" compact="0" numFmtId="168" outline="0" showAll="0"/>
    <pivotField dataField="1" compact="0" numFmtId="168" outline="0" showAll="0"/>
    <pivotField dataField="1" compact="0" numFmtId="168" outline="0" showAll="0"/>
    <pivotField dataField="1" compact="0" numFmtId="168" outline="0" showAll="0"/>
    <pivotField dataField="1" compact="0" numFmtId="168" outline="0" showAll="0"/>
  </pivotFields>
  <rowFields count="1">
    <field x="0"/>
  </rowFields>
  <rowItems count="6">
    <i>
      <x/>
    </i>
    <i>
      <x v="1"/>
    </i>
    <i>
      <x v="2"/>
    </i>
    <i>
      <x v="3"/>
    </i>
    <i>
      <x v="4"/>
    </i>
    <i t="grand">
      <x/>
    </i>
  </rowItems>
  <colFields count="1">
    <field x="-2"/>
  </colFields>
  <colItems count="12">
    <i>
      <x/>
    </i>
    <i i="1">
      <x v="1"/>
    </i>
    <i i="2">
      <x v="2"/>
    </i>
    <i i="3">
      <x v="3"/>
    </i>
    <i i="4">
      <x v="4"/>
    </i>
    <i i="5">
      <x v="5"/>
    </i>
    <i i="6">
      <x v="6"/>
    </i>
    <i i="7">
      <x v="7"/>
    </i>
    <i i="8">
      <x v="8"/>
    </i>
    <i i="9">
      <x v="9"/>
    </i>
    <i i="10">
      <x v="10"/>
    </i>
    <i i="11">
      <x v="11"/>
    </i>
  </colItems>
  <dataFields count="12">
    <dataField name="KONTOHALDURI HINNANGULINE TASU" fld="10" baseField="0" baseItem="0" numFmtId="169"/>
    <dataField name="PROJEKTIJUHI HINNANGULINE TASU" fld="11" baseField="0" baseItem="0" numFmtId="169"/>
    <dataField name="STRATEEGIAJUHI HINNANGULINE TASU" fld="12" baseField="0" baseItem="0" numFmtId="169"/>
    <dataField name="KUJUNDUSSPETSIALISTI HINNANGULINE TASU" fld="13" baseField="0" baseItem="0" numFmtId="169"/>
    <dataField name="ÜRITUSE PERSONALI HINNANGULINE TASU" fld="14" baseField="0" baseItem="0" numFmtId="169"/>
    <dataField name="HALDUSPERSONALI HINNANGULINE TASU" fld="15" baseField="0" baseItem="0" numFmtId="169"/>
    <dataField name="KONTOHALDURI TEGELIK TASU" fld="16" baseField="0" baseItem="0" numFmtId="169"/>
    <dataField name="PROJEKTIJUHI TEGELIK TASU" fld="17" baseField="0" baseItem="0" numFmtId="169"/>
    <dataField name="STRATEEGIAJUHT TEGELIK TASU" fld="18" baseField="0" baseItem="0" numFmtId="169"/>
    <dataField name="KUJUNDUSSPETSIALIST TEGELIK TASU" fld="19" baseField="0" baseItem="0" numFmtId="169"/>
    <dataField name="ÜRITUSE PERSONAL TEGELIK TASU" fld="20" baseField="0" baseItem="0" numFmtId="169"/>
    <dataField name="HALDUSPERSONAL TEGELIK TASU" fld="21" baseField="0" baseItem="0" numFmtId="169"/>
  </dataFields>
  <formats count="57">
    <format dxfId="1329">
      <pivotArea dataOnly="0" labelOnly="1" outline="0" fieldPosition="0">
        <references count="1">
          <reference field="4294967294" count="6">
            <x v="0"/>
            <x v="1"/>
            <x v="2"/>
            <x v="3"/>
            <x v="4"/>
            <x v="5"/>
          </reference>
        </references>
      </pivotArea>
    </format>
    <format dxfId="1328">
      <pivotArea outline="0" fieldPosition="0">
        <references count="2">
          <reference field="4294967294" count="1" selected="0">
            <x v="0"/>
          </reference>
          <reference field="0" count="1" selected="0">
            <x v="0"/>
          </reference>
        </references>
      </pivotArea>
    </format>
    <format dxfId="1327">
      <pivotArea outline="0" fieldPosition="0">
        <references count="2">
          <reference field="4294967294" count="1" selected="0">
            <x v="1"/>
          </reference>
          <reference field="0" count="1" selected="0">
            <x v="0"/>
          </reference>
        </references>
      </pivotArea>
    </format>
    <format dxfId="1326">
      <pivotArea outline="0" fieldPosition="0">
        <references count="2">
          <reference field="4294967294" count="1" selected="0">
            <x v="2"/>
          </reference>
          <reference field="0" count="1" selected="0">
            <x v="0"/>
          </reference>
        </references>
      </pivotArea>
    </format>
    <format dxfId="1325">
      <pivotArea outline="0" fieldPosition="0">
        <references count="2">
          <reference field="4294967294" count="1" selected="0">
            <x v="3"/>
          </reference>
          <reference field="0" count="1" selected="0">
            <x v="0"/>
          </reference>
        </references>
      </pivotArea>
    </format>
    <format dxfId="1324">
      <pivotArea outline="0" fieldPosition="0">
        <references count="2">
          <reference field="4294967294" count="1" selected="0">
            <x v="4"/>
          </reference>
          <reference field="0" count="1" selected="0">
            <x v="0"/>
          </reference>
        </references>
      </pivotArea>
    </format>
    <format dxfId="1323">
      <pivotArea outline="0" fieldPosition="0">
        <references count="2">
          <reference field="4294967294" count="1" selected="0">
            <x v="5"/>
          </reference>
          <reference field="0" count="1" selected="0">
            <x v="0"/>
          </reference>
        </references>
      </pivotArea>
    </format>
    <format dxfId="1322">
      <pivotArea outline="0" fieldPosition="0">
        <references count="2">
          <reference field="4294967294" count="1" selected="0">
            <x v="0"/>
          </reference>
          <reference field="0" count="1" selected="0">
            <x v="1"/>
          </reference>
        </references>
      </pivotArea>
    </format>
    <format dxfId="1321">
      <pivotArea outline="0" fieldPosition="0">
        <references count="2">
          <reference field="4294967294" count="1" selected="0">
            <x v="1"/>
          </reference>
          <reference field="0" count="1" selected="0">
            <x v="1"/>
          </reference>
        </references>
      </pivotArea>
    </format>
    <format dxfId="1320">
      <pivotArea outline="0" fieldPosition="0">
        <references count="2">
          <reference field="4294967294" count="1" selected="0">
            <x v="2"/>
          </reference>
          <reference field="0" count="1" selected="0">
            <x v="1"/>
          </reference>
        </references>
      </pivotArea>
    </format>
    <format dxfId="1319">
      <pivotArea outline="0" fieldPosition="0">
        <references count="2">
          <reference field="4294967294" count="1" selected="0">
            <x v="3"/>
          </reference>
          <reference field="0" count="1" selected="0">
            <x v="1"/>
          </reference>
        </references>
      </pivotArea>
    </format>
    <format dxfId="1318">
      <pivotArea outline="0" fieldPosition="0">
        <references count="2">
          <reference field="4294967294" count="1" selected="0">
            <x v="4"/>
          </reference>
          <reference field="0" count="1" selected="0">
            <x v="1"/>
          </reference>
        </references>
      </pivotArea>
    </format>
    <format dxfId="1317">
      <pivotArea outline="0" fieldPosition="0">
        <references count="2">
          <reference field="4294967294" count="1" selected="0">
            <x v="5"/>
          </reference>
          <reference field="0" count="1" selected="0">
            <x v="1"/>
          </reference>
        </references>
      </pivotArea>
    </format>
    <format dxfId="1316">
      <pivotArea outline="0" fieldPosition="0">
        <references count="2">
          <reference field="4294967294" count="1" selected="0">
            <x v="0"/>
          </reference>
          <reference field="0" count="1" selected="0">
            <x v="2"/>
          </reference>
        </references>
      </pivotArea>
    </format>
    <format dxfId="1315">
      <pivotArea outline="0" fieldPosition="0">
        <references count="2">
          <reference field="4294967294" count="1" selected="0">
            <x v="1"/>
          </reference>
          <reference field="0" count="1" selected="0">
            <x v="2"/>
          </reference>
        </references>
      </pivotArea>
    </format>
    <format dxfId="1314">
      <pivotArea outline="0" fieldPosition="0">
        <references count="2">
          <reference field="4294967294" count="1" selected="0">
            <x v="2"/>
          </reference>
          <reference field="0" count="1" selected="0">
            <x v="2"/>
          </reference>
        </references>
      </pivotArea>
    </format>
    <format dxfId="1313">
      <pivotArea outline="0" fieldPosition="0">
        <references count="2">
          <reference field="4294967294" count="1" selected="0">
            <x v="3"/>
          </reference>
          <reference field="0" count="1" selected="0">
            <x v="2"/>
          </reference>
        </references>
      </pivotArea>
    </format>
    <format dxfId="1312">
      <pivotArea outline="0" fieldPosition="0">
        <references count="2">
          <reference field="4294967294" count="1" selected="0">
            <x v="4"/>
          </reference>
          <reference field="0" count="1" selected="0">
            <x v="2"/>
          </reference>
        </references>
      </pivotArea>
    </format>
    <format dxfId="1311">
      <pivotArea outline="0" fieldPosition="0">
        <references count="2">
          <reference field="4294967294" count="1" selected="0">
            <x v="5"/>
          </reference>
          <reference field="0" count="1" selected="0">
            <x v="2"/>
          </reference>
        </references>
      </pivotArea>
    </format>
    <format dxfId="1310">
      <pivotArea outline="0" fieldPosition="0">
        <references count="2">
          <reference field="4294967294" count="1" selected="0">
            <x v="0"/>
          </reference>
          <reference field="0" count="1" selected="0">
            <x v="3"/>
          </reference>
        </references>
      </pivotArea>
    </format>
    <format dxfId="1309">
      <pivotArea outline="0" fieldPosition="0">
        <references count="2">
          <reference field="4294967294" count="1" selected="0">
            <x v="1"/>
          </reference>
          <reference field="0" count="1" selected="0">
            <x v="3"/>
          </reference>
        </references>
      </pivotArea>
    </format>
    <format dxfId="1308">
      <pivotArea outline="0" fieldPosition="0">
        <references count="2">
          <reference field="4294967294" count="1" selected="0">
            <x v="2"/>
          </reference>
          <reference field="0" count="1" selected="0">
            <x v="3"/>
          </reference>
        </references>
      </pivotArea>
    </format>
    <format dxfId="1307">
      <pivotArea outline="0" fieldPosition="0">
        <references count="2">
          <reference field="4294967294" count="1" selected="0">
            <x v="3"/>
          </reference>
          <reference field="0" count="1" selected="0">
            <x v="3"/>
          </reference>
        </references>
      </pivotArea>
    </format>
    <format dxfId="1306">
      <pivotArea outline="0" fieldPosition="0">
        <references count="2">
          <reference field="4294967294" count="1" selected="0">
            <x v="4"/>
          </reference>
          <reference field="0" count="1" selected="0">
            <x v="3"/>
          </reference>
        </references>
      </pivotArea>
    </format>
    <format dxfId="1305">
      <pivotArea outline="0" fieldPosition="0">
        <references count="2">
          <reference field="4294967294" count="1" selected="0">
            <x v="5"/>
          </reference>
          <reference field="0" count="1" selected="0">
            <x v="3"/>
          </reference>
        </references>
      </pivotArea>
    </format>
    <format dxfId="1304">
      <pivotArea outline="0" fieldPosition="0">
        <references count="2">
          <reference field="4294967294" count="1" selected="0">
            <x v="0"/>
          </reference>
          <reference field="0" count="1" selected="0">
            <x v="4"/>
          </reference>
        </references>
      </pivotArea>
    </format>
    <format dxfId="1303">
      <pivotArea outline="0" fieldPosition="0">
        <references count="2">
          <reference field="4294967294" count="1" selected="0">
            <x v="1"/>
          </reference>
          <reference field="0" count="1" selected="0">
            <x v="4"/>
          </reference>
        </references>
      </pivotArea>
    </format>
    <format dxfId="1302">
      <pivotArea outline="0" fieldPosition="0">
        <references count="2">
          <reference field="4294967294" count="1" selected="0">
            <x v="2"/>
          </reference>
          <reference field="0" count="1" selected="0">
            <x v="4"/>
          </reference>
        </references>
      </pivotArea>
    </format>
    <format dxfId="1301">
      <pivotArea outline="0" fieldPosition="0">
        <references count="2">
          <reference field="4294967294" count="1" selected="0">
            <x v="3"/>
          </reference>
          <reference field="0" count="1" selected="0">
            <x v="4"/>
          </reference>
        </references>
      </pivotArea>
    </format>
    <format dxfId="1300">
      <pivotArea outline="0" fieldPosition="0">
        <references count="2">
          <reference field="4294967294" count="1" selected="0">
            <x v="4"/>
          </reference>
          <reference field="0" count="1" selected="0">
            <x v="4"/>
          </reference>
        </references>
      </pivotArea>
    </format>
    <format dxfId="1299">
      <pivotArea outline="0" fieldPosition="0">
        <references count="2">
          <reference field="4294967294" count="1" selected="0">
            <x v="5"/>
          </reference>
          <reference field="0" count="1" selected="0">
            <x v="4"/>
          </reference>
        </references>
      </pivotArea>
    </format>
    <format dxfId="1298">
      <pivotArea field="0" grandRow="1" outline="0" axis="axisRow" fieldPosition="0">
        <references count="1">
          <reference field="4294967294" count="1" selected="0">
            <x v="0"/>
          </reference>
        </references>
      </pivotArea>
    </format>
    <format dxfId="1297">
      <pivotArea field="0" grandRow="1" outline="0" axis="axisRow" fieldPosition="0">
        <references count="1">
          <reference field="4294967294" count="1" selected="0">
            <x v="1"/>
          </reference>
        </references>
      </pivotArea>
    </format>
    <format dxfId="1296">
      <pivotArea field="0" grandRow="1" outline="0" axis="axisRow" fieldPosition="0">
        <references count="1">
          <reference field="4294967294" count="1" selected="0">
            <x v="2"/>
          </reference>
        </references>
      </pivotArea>
    </format>
    <format dxfId="1295">
      <pivotArea field="0" grandRow="1" outline="0" axis="axisRow" fieldPosition="0">
        <references count="1">
          <reference field="4294967294" count="1" selected="0">
            <x v="3"/>
          </reference>
        </references>
      </pivotArea>
    </format>
    <format dxfId="1294">
      <pivotArea field="0" grandRow="1" outline="0" axis="axisRow" fieldPosition="0">
        <references count="1">
          <reference field="4294967294" count="1" selected="0">
            <x v="4"/>
          </reference>
        </references>
      </pivotArea>
    </format>
    <format dxfId="1293">
      <pivotArea field="0" grandRow="1" outline="0" axis="axisRow" fieldPosition="0">
        <references count="1">
          <reference field="4294967294" count="1" selected="0">
            <x v="5"/>
          </reference>
        </references>
      </pivotArea>
    </format>
    <format dxfId="1188">
      <pivotArea dataOnly="0" labelOnly="1" outline="0" fieldPosition="0">
        <references count="1">
          <reference field="4294967294" count="1">
            <x v="6"/>
          </reference>
        </references>
      </pivotArea>
    </format>
    <format dxfId="1099">
      <pivotArea dataOnly="0" labelOnly="1" outline="0" fieldPosition="0">
        <references count="1">
          <reference field="4294967294" count="1">
            <x v="7"/>
          </reference>
        </references>
      </pivotArea>
    </format>
    <format dxfId="1008">
      <pivotArea dataOnly="0" labelOnly="1" outline="0" fieldPosition="0">
        <references count="1">
          <reference field="4294967294" count="1">
            <x v="8"/>
          </reference>
        </references>
      </pivotArea>
    </format>
    <format dxfId="915">
      <pivotArea dataOnly="0" labelOnly="1" outline="0" fieldPosition="0">
        <references count="1">
          <reference field="4294967294" count="1">
            <x v="9"/>
          </reference>
        </references>
      </pivotArea>
    </format>
    <format dxfId="820">
      <pivotArea dataOnly="0" labelOnly="1" outline="0" fieldPosition="0">
        <references count="1">
          <reference field="4294967294" count="1">
            <x v="10"/>
          </reference>
        </references>
      </pivotArea>
    </format>
    <format dxfId="723">
      <pivotArea dataOnly="0" labelOnly="1" outline="0" fieldPosition="0">
        <references count="1">
          <reference field="4294967294" count="1">
            <x v="11"/>
          </reference>
        </references>
      </pivotArea>
    </format>
    <format dxfId="722">
      <pivotArea outline="0" fieldPosition="0">
        <references count="2">
          <reference field="4294967294" count="6" selected="0">
            <x v="6"/>
            <x v="7"/>
            <x v="8"/>
            <x v="9"/>
            <x v="10"/>
            <x v="11"/>
          </reference>
          <reference field="0" count="0" selected="0"/>
        </references>
      </pivotArea>
    </format>
    <format dxfId="721">
      <pivotArea grandRow="1" outline="0" collapsedLevelsAreSubtotals="1" fieldPosition="0"/>
    </format>
    <format dxfId="669">
      <pivotArea outline="0" fieldPosition="0">
        <references count="1">
          <reference field="4294967294" count="1">
            <x v="6"/>
          </reference>
        </references>
      </pivotArea>
    </format>
    <format dxfId="616">
      <pivotArea outline="0" fieldPosition="0">
        <references count="1">
          <reference field="4294967294" count="1">
            <x v="7"/>
          </reference>
        </references>
      </pivotArea>
    </format>
    <format dxfId="562">
      <pivotArea outline="0" fieldPosition="0">
        <references count="1">
          <reference field="4294967294" count="1">
            <x v="8"/>
          </reference>
        </references>
      </pivotArea>
    </format>
    <format dxfId="507">
      <pivotArea outline="0" fieldPosition="0">
        <references count="1">
          <reference field="4294967294" count="1">
            <x v="9"/>
          </reference>
        </references>
      </pivotArea>
    </format>
    <format dxfId="451">
      <pivotArea outline="0" fieldPosition="0">
        <references count="1">
          <reference field="4294967294" count="1">
            <x v="10"/>
          </reference>
        </references>
      </pivotArea>
    </format>
    <format dxfId="394">
      <pivotArea outline="0" fieldPosition="0">
        <references count="1">
          <reference field="4294967294" count="1">
            <x v="11"/>
          </reference>
        </references>
      </pivotArea>
    </format>
    <format dxfId="336">
      <pivotArea outline="0" fieldPosition="0">
        <references count="1">
          <reference field="4294967294" count="1">
            <x v="0"/>
          </reference>
        </references>
      </pivotArea>
    </format>
    <format dxfId="277">
      <pivotArea outline="0" fieldPosition="0">
        <references count="1">
          <reference field="4294967294" count="1">
            <x v="1"/>
          </reference>
        </references>
      </pivotArea>
    </format>
    <format dxfId="218">
      <pivotArea outline="0" fieldPosition="0">
        <references count="1">
          <reference field="4294967294" count="1">
            <x v="2"/>
          </reference>
        </references>
      </pivotArea>
    </format>
    <format dxfId="159">
      <pivotArea outline="0" fieldPosition="0">
        <references count="1">
          <reference field="4294967294" count="1">
            <x v="3"/>
          </reference>
        </references>
      </pivotArea>
    </format>
    <format dxfId="100">
      <pivotArea outline="0" fieldPosition="0">
        <references count="1">
          <reference field="4294967294" count="1">
            <x v="4"/>
          </reference>
        </references>
      </pivotArea>
    </format>
    <format dxfId="41">
      <pivotArea outline="0" fieldPosition="0">
        <references count="1">
          <reference field="4294967294" count="1">
            <x v="5"/>
          </reference>
        </references>
      </pivotArea>
    </format>
  </formats>
  <pivotTableStyleInfo name="PivotStyleMedium3" showRowHeaders="1" showColHeaders="1" showRowStripes="0" showColStripes="0" showLastColumn="1"/>
  <extLst>
    <ext xmlns:x14="http://schemas.microsoft.com/office/spreadsheetml/2009/9/main" uri="{962EF5D1-5CA2-4c93-8EF4-DBF5C05439D2}">
      <x14:pivotTableDefinition xmlns:xm="http://schemas.microsoft.com/office/excel/2006/main" altTextSummary="Selles PivotTable-liigendtabelis on projektide nimed ja kõigi üksuste arvutatud väärtused ära toodud töölehel PROJEKTI PARAMEETRID; arvutamiseks on korrutatud lehel PROJEKTI ÜKSIKASJAD leiduv kestus (tundides)."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arameetrid" displayName="Parameetrid" ref="B5:I11" headerRowDxfId="1292" dataDxfId="1291">
  <autoFilter ref="B5:I11"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PROJEKTI TÜÜP" totalsRowLabel="Kokku" dataDxfId="1290" totalsRowDxfId="1289"/>
    <tableColumn id="2" xr3:uid="{00000000-0010-0000-0000-000002000000}" name="KONTOHALDUR" dataDxfId="1288" totalsRowDxfId="1287"/>
    <tableColumn id="3" xr3:uid="{00000000-0010-0000-0000-000003000000}" name="PROJEKTIJUHT" dataDxfId="1286" totalsRowDxfId="1285"/>
    <tableColumn id="4" xr3:uid="{00000000-0010-0000-0000-000004000000}" name="STRATEEGIAJUHT" dataDxfId="1284" totalsRowDxfId="1283"/>
    <tableColumn id="5" xr3:uid="{00000000-0010-0000-0000-000005000000}" name="KUJUNDUSSPETSIALIST" dataDxfId="1282" totalsRowDxfId="1281"/>
    <tableColumn id="6" xr3:uid="{00000000-0010-0000-0000-000006000000}" name="ÜRITUSE PERSONAL" dataDxfId="1280" totalsRowDxfId="1279"/>
    <tableColumn id="7" xr3:uid="{00000000-0010-0000-0000-000007000000}" name="HALDUSPERSONAL" dataDxfId="1278" totalsRowDxfId="1277"/>
    <tableColumn id="8" xr3:uid="{00000000-0010-0000-0000-000008000000}" name="Kokku" totalsRowFunction="sum" dataDxfId="1276" totalsRowDxfId="1275">
      <calculatedColumnFormula>SUM(Parameetrid[[#This Row],[KONTOHALDUR]:[HALDUSPERSONAL]])</calculatedColumnFormula>
    </tableColumn>
  </tableColumns>
  <tableStyleInfo name="TableStyleLight11" showFirstColumn="0" showLastColumn="0" showRowStripes="1" showColumnStripes="0"/>
  <extLst>
    <ext xmlns:x14="http://schemas.microsoft.com/office/spreadsheetml/2009/9/main" uri="{504A1905-F514-4f6f-8877-14C23A59335A}">
      <x14:table altTextSummary="Sisestage projekti tüüp ning kontohalduri, projektijuhi, strateegiahalduri, kujundusspetsialisti, ürituse personali ja administraatorite protsendid. Kogusumma arvutatakse automaatsel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rojektiÜksikasjad" displayName="ProjektiÜksikasjad" ref="B4:W10" totalsRowCount="1" headerRowDxfId="1330">
  <tableColumns count="22">
    <tableColumn id="1" xr3:uid="{00000000-0010-0000-0100-000001000000}" name="PROJEKTI NIMI" totalsRowLabel="KOKKU" totalsRowDxfId="39"/>
    <tableColumn id="2" xr3:uid="{00000000-0010-0000-0100-000002000000}" name="PROJEKTI TÜÜP" totalsRowDxfId="38"/>
    <tableColumn id="3" xr3:uid="{00000000-0010-0000-0100-000003000000}" name="HINNANGULINE ALGUSAEG" dataDxfId="37" totalsRowDxfId="36"/>
    <tableColumn id="4" xr3:uid="{00000000-0010-0000-0100-000004000000}" name="HINNANGULINE LÕPPAEG" dataDxfId="35" totalsRowDxfId="34"/>
    <tableColumn id="7" xr3:uid="{00000000-0010-0000-0100-000007000000}" name="TEGELIK ALGUSAEG" dataDxfId="33" totalsRowDxfId="32"/>
    <tableColumn id="8" xr3:uid="{00000000-0010-0000-0100-000008000000}" name="TEGELIK LÕPPAEG" dataDxfId="31" totalsRowDxfId="30"/>
    <tableColumn id="5" xr3:uid="{00000000-0010-0000-0100-000005000000}" name="HINNANGULINE TÖÖ MAHT" totalsRowFunction="sum" totalsRowDxfId="29"/>
    <tableColumn id="9" xr3:uid="{00000000-0010-0000-0100-000009000000}" name="TEGELIK TÖÖ MAHT" totalsRowFunction="sum" totalsRowDxfId="28"/>
    <tableColumn id="6" xr3:uid="{00000000-0010-0000-0100-000006000000}" name="HINNANGULINE KESTUS" totalsRowFunction="sum" dataDxfId="27" totalsRowDxfId="26">
      <calculatedColumnFormula>DAYS360(ProjektiÜksikasjad[[#This Row],[HINNANGULINE ALGUSAEG]],ProjektiÜksikasjad[[#This Row],[HINNANGULINE LÕPPAEG]],FALSE)</calculatedColumnFormula>
    </tableColumn>
    <tableColumn id="10" xr3:uid="{00000000-0010-0000-0100-00000A000000}" name="TEGELIK KESTUS" totalsRowFunction="sum" dataDxfId="25" totalsRowDxfId="24">
      <calculatedColumnFormula>DAYS360(ProjektiÜksikasjad[[#This Row],[TEGELIK ALGUSAEG]],ProjektiÜksikasjad[[#This Row],[TEGELIK LÕPPAEG]],FALSE)</calculatedColumnFormula>
    </tableColumn>
    <tableColumn id="11" xr3:uid="{00000000-0010-0000-0100-00000B000000}" name="KONTOHALDUR" dataDxfId="23" totalsRowDxfId="22">
      <calculatedColumnFormula>INDEX(Parameetrid[],MATCH(ProjektiÜksikasjad[[#This Row],[PROJEKTI TÜÜP]],Parameetrid[PROJEKTI TÜÜP],0),MATCH(ProjektiÜksikasjad[[#Headers],[KONTOHALDUR]],Parameetrid[#Headers],0))*INDEX('PROJEKTI PARAMEETRID'!$B$12:$H$12,1,MATCH(ProjektiÜksikasjad[[#Headers],[KONTOHALDUR]],Parameetrid[#Headers],0))*ProjektiÜksikasjad[[#This Row],[HINNANGULINE TÖÖ MAHT]]</calculatedColumnFormula>
    </tableColumn>
    <tableColumn id="12" xr3:uid="{00000000-0010-0000-0100-00000C000000}" name="PROJEKTIJUHT" dataDxfId="21" totalsRowDxfId="20">
      <calculatedColumnFormula>INDEX(Parameetrid[],MATCH(ProjektiÜksikasjad[[#This Row],[PROJEKTI TÜÜP]],Parameetrid[PROJEKTI TÜÜP],0),MATCH(ProjektiÜksikasjad[[#Headers],[PROJEKTIJUHT]],Parameetrid[#Headers],0))*INDEX('PROJEKTI PARAMEETRID'!$B$12:$H$12,1,MATCH(ProjektiÜksikasjad[[#Headers],[PROJEKTIJUHT]],Parameetrid[#Headers],0))*ProjektiÜksikasjad[[#This Row],[HINNANGULINE TÖÖ MAHT]]</calculatedColumnFormula>
    </tableColumn>
    <tableColumn id="13" xr3:uid="{00000000-0010-0000-0100-00000D000000}" name="STRATEEGIAJUHT" dataDxfId="19" totalsRowDxfId="18">
      <calculatedColumnFormula>INDEX(Parameetrid[],MATCH(ProjektiÜksikasjad[[#This Row],[PROJEKTI TÜÜP]],Parameetrid[PROJEKTI TÜÜP],0),MATCH(ProjektiÜksikasjad[[#Headers],[STRATEEGIAJUHT]],Parameetrid[#Headers],0))*INDEX('PROJEKTI PARAMEETRID'!$B$12:$H$12,1,MATCH(ProjektiÜksikasjad[[#Headers],[STRATEEGIAJUHT]],Parameetrid[#Headers],0))*ProjektiÜksikasjad[[#This Row],[HINNANGULINE TÖÖ MAHT]]</calculatedColumnFormula>
    </tableColumn>
    <tableColumn id="14" xr3:uid="{00000000-0010-0000-0100-00000E000000}" name="KUJUNDUSSPETSIALIST" dataDxfId="17" totalsRowDxfId="16">
      <calculatedColumnFormula>INDEX(Parameetrid[],MATCH(ProjektiÜksikasjad[[#This Row],[PROJEKTI TÜÜP]],Parameetrid[PROJEKTI TÜÜP],0),MATCH(ProjektiÜksikasjad[[#Headers],[KUJUNDUSSPETSIALIST]],Parameetrid[#Headers],0))*INDEX('PROJEKTI PARAMEETRID'!$B$12:$H$12,1,MATCH(ProjektiÜksikasjad[[#Headers],[KUJUNDUSSPETSIALIST]],Parameetrid[#Headers],0))*ProjektiÜksikasjad[[#This Row],[HINNANGULINE TÖÖ MAHT]]</calculatedColumnFormula>
    </tableColumn>
    <tableColumn id="15" xr3:uid="{00000000-0010-0000-0100-00000F000000}" name="ÜRITUSE PERSONAL" dataDxfId="15" totalsRowDxfId="14">
      <calculatedColumnFormula>INDEX(Parameetrid[],MATCH(ProjektiÜksikasjad[[#This Row],[PROJEKTI TÜÜP]],Parameetrid[PROJEKTI TÜÜP],0),MATCH(ProjektiÜksikasjad[[#Headers],[ÜRITUSE PERSONAL]],Parameetrid[#Headers],0))*INDEX('PROJEKTI PARAMEETRID'!$B$12:$H$12,1,MATCH(ProjektiÜksikasjad[[#Headers],[ÜRITUSE PERSONAL]],Parameetrid[#Headers],0))*ProjektiÜksikasjad[[#This Row],[HINNANGULINE TÖÖ MAHT]]</calculatedColumnFormula>
    </tableColumn>
    <tableColumn id="16" xr3:uid="{00000000-0010-0000-0100-000010000000}" name="HALDUSPERSONAL" dataDxfId="13" totalsRowDxfId="12">
      <calculatedColumnFormula>INDEX(Parameetrid[],MATCH(ProjektiÜksikasjad[[#This Row],[PROJEKTI TÜÜP]],Parameetrid[PROJEKTI TÜÜP],0),MATCH(ProjektiÜksikasjad[[#Headers],[HALDUSPERSONAL]],Parameetrid[#Headers],0))*INDEX('PROJEKTI PARAMEETRID'!$B$12:$H$12,1,MATCH(ProjektiÜksikasjad[[#Headers],[HALDUSPERSONAL]],Parameetrid[#Headers],0))*ProjektiÜksikasjad[[#This Row],[HINNANGULINE TÖÖ MAHT]]</calculatedColumnFormula>
    </tableColumn>
    <tableColumn id="17" xr3:uid="{00000000-0010-0000-0100-000011000000}" name="KONTOHALDUR " dataDxfId="11" totalsRowDxfId="10">
      <calculatedColumnFormula>INDEX(Parameetrid[],MATCH(ProjektiÜksikasjad[[#This Row],[PROJEKTI TÜÜP]],Parameetrid[PROJEKTI TÜÜP],0),MATCH(ProjektiÜksikasjad[[#Headers],[KONTOHALDUR]],Parameetrid[#Headers],0))*INDEX('PROJEKTI PARAMEETRID'!$B$12:$H$12,1,MATCH(ProjektiÜksikasjad[[#Headers],[KONTOHALDUR]],Parameetrid[#Headers],0))*ProjektiÜksikasjad[[#This Row],[TEGELIK TÖÖ MAHT]]</calculatedColumnFormula>
    </tableColumn>
    <tableColumn id="18" xr3:uid="{00000000-0010-0000-0100-000012000000}" name="PROJEKTIJUHT " dataDxfId="9" totalsRowDxfId="8">
      <calculatedColumnFormula>INDEX(Parameetrid[],MATCH(ProjektiÜksikasjad[[#This Row],[PROJEKTI TÜÜP]],Parameetrid[PROJEKTI TÜÜP],0),MATCH(ProjektiÜksikasjad[[#Headers],[PROJEKTIJUHT]],Parameetrid[#Headers],0))*INDEX('PROJEKTI PARAMEETRID'!$B$12:$H$12,1,MATCH(ProjektiÜksikasjad[[#Headers],[PROJEKTIJUHT]],Parameetrid[#Headers],0))*ProjektiÜksikasjad[[#This Row],[TEGELIK TÖÖ MAHT]]</calculatedColumnFormula>
    </tableColumn>
    <tableColumn id="19" xr3:uid="{00000000-0010-0000-0100-000013000000}" name="STRATEEGIAJUHT " dataDxfId="7" totalsRowDxfId="6">
      <calculatedColumnFormula>INDEX(Parameetrid[],MATCH(ProjektiÜksikasjad[[#This Row],[PROJEKTI TÜÜP]],Parameetrid[PROJEKTI TÜÜP],0),MATCH(ProjektiÜksikasjad[[#Headers],[STRATEEGIAJUHT]],Parameetrid[#Headers],0))*INDEX('PROJEKTI PARAMEETRID'!$B$12:$H$12,1,MATCH(ProjektiÜksikasjad[[#Headers],[STRATEEGIAJUHT]],Parameetrid[#Headers],0))*ProjektiÜksikasjad[[#This Row],[TEGELIK TÖÖ MAHT]]</calculatedColumnFormula>
    </tableColumn>
    <tableColumn id="20" xr3:uid="{00000000-0010-0000-0100-000014000000}" name="KUJUNDUSSPETSIALIST " dataDxfId="5" totalsRowDxfId="4">
      <calculatedColumnFormula>INDEX(Parameetrid[],MATCH(ProjektiÜksikasjad[[#This Row],[PROJEKTI TÜÜP]],Parameetrid[PROJEKTI TÜÜP],0),MATCH(ProjektiÜksikasjad[[#Headers],[KUJUNDUSSPETSIALIST]],Parameetrid[#Headers],0))*INDEX('PROJEKTI PARAMEETRID'!$B$12:$H$12,1,MATCH(ProjektiÜksikasjad[[#Headers],[KUJUNDUSSPETSIALIST]],Parameetrid[#Headers],0))*ProjektiÜksikasjad[[#This Row],[TEGELIK TÖÖ MAHT]]</calculatedColumnFormula>
    </tableColumn>
    <tableColumn id="21" xr3:uid="{00000000-0010-0000-0100-000015000000}" name="ÜRITUSE PERSONAL " dataDxfId="3" totalsRowDxfId="2">
      <calculatedColumnFormula>INDEX(Parameetrid[],MATCH(ProjektiÜksikasjad[[#This Row],[PROJEKTI TÜÜP]],Parameetrid[PROJEKTI TÜÜP],0),MATCH(ProjektiÜksikasjad[[#Headers],[ÜRITUSE PERSONAL]],Parameetrid[#Headers],0))*INDEX('PROJEKTI PARAMEETRID'!$B$12:$H$12,1,MATCH(ProjektiÜksikasjad[[#Headers],[ÜRITUSE PERSONAL]],Parameetrid[#Headers],0))*ProjektiÜksikasjad[[#This Row],[TEGELIK TÖÖ MAHT]]</calculatedColumnFormula>
    </tableColumn>
    <tableColumn id="22" xr3:uid="{00000000-0010-0000-0100-000016000000}" name="HALDUSPERSONAL " dataDxfId="1" totalsRowDxfId="0">
      <calculatedColumnFormula>INDEX(Parameetrid[],MATCH(ProjektiÜksikasjad[[#This Row],[PROJEKTI TÜÜP]],Parameetrid[PROJEKTI TÜÜP],0),MATCH(ProjektiÜksikasjad[[#Headers],[HALDUSPERSONAL]],Parameetrid[#Headers],0))*INDEX('PROJEKTI PARAMEETRID'!$B$12:$H$12,1,MATCH(ProjektiÜksikasjad[[#Headers],[HALDUSPERSONAL]],Parameetrid[#Headers],0))*ProjektiÜksikasjad[[#This Row],[TEGELIK TÖÖ MAHT]]</calculatedColumnFormula>
    </tableColumn>
  </tableColumns>
  <tableStyleInfo name="TableStyleMedium3" showFirstColumn="0" showLastColumn="0" showRowStripes="1" showColumnStripes="0"/>
  <extLst>
    <ext xmlns:x14="http://schemas.microsoft.com/office/spreadsheetml/2009/9/main" uri="{504A1905-F514-4f6f-8877-14C23A59335A}">
      <x14:table altTextSummary="Sellesse tabelisse sisestage projekti nimi, prognoositud algus- ja lõppkuupäev, tegelik algus- ja lõppkuupäev ning prognoositud ja tegelik töö. Valige projekti tüüp. Prognoositud ja tegelik kestus arvutatakse automaatselt."/>
    </ext>
  </extLst>
</table>
</file>

<file path=xl/theme/theme1.xml><?xml version="1.0" encoding="utf-8"?>
<a:theme xmlns:a="http://schemas.openxmlformats.org/drawingml/2006/main" name="MarketingProjectPlan">
  <a:themeElements>
    <a:clrScheme name="MarketingProjectPlan_colors">
      <a:dk1>
        <a:srgbClr val="000000"/>
      </a:dk1>
      <a:lt1>
        <a:srgbClr val="FFFFFF"/>
      </a:lt1>
      <a:dk2>
        <a:srgbClr val="636466"/>
      </a:dk2>
      <a:lt2>
        <a:srgbClr val="F2F2F2"/>
      </a:lt2>
      <a:accent1>
        <a:srgbClr val="BE870E"/>
      </a:accent1>
      <a:accent2>
        <a:srgbClr val="1A86B6"/>
      </a:accent2>
      <a:accent3>
        <a:srgbClr val="5F781B"/>
      </a:accent3>
      <a:accent4>
        <a:srgbClr val="C45808"/>
      </a:accent4>
      <a:accent5>
        <a:srgbClr val="6B3489"/>
      </a:accent5>
      <a:accent6>
        <a:srgbClr val="C2344E"/>
      </a:accent6>
      <a:hlink>
        <a:srgbClr val="3778A9"/>
      </a:hlink>
      <a:folHlink>
        <a:srgbClr val="6B3489"/>
      </a:folHlink>
    </a:clrScheme>
    <a:fontScheme name="Invoice with Sales Tax">
      <a:majorFont>
        <a:latin typeface="Tahoma"/>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02267-7996-4DFE-B69E-896B28477E48}">
  <sheetPr>
    <tabColor theme="9"/>
  </sheetPr>
  <dimension ref="B1:B7"/>
  <sheetViews>
    <sheetView showGridLines="0" tabSelected="1" workbookViewId="0"/>
  </sheetViews>
  <sheetFormatPr defaultRowHeight="12.75" x14ac:dyDescent="0.2"/>
  <cols>
    <col min="1" max="1" width="2.7109375" customWidth="1"/>
    <col min="2" max="2" width="93.28515625" customWidth="1"/>
    <col min="3" max="3" width="2.7109375" customWidth="1"/>
  </cols>
  <sheetData>
    <row r="1" spans="2:2" ht="19.5" x14ac:dyDescent="0.25">
      <c r="B1" s="17" t="s">
        <v>0</v>
      </c>
    </row>
    <row r="2" spans="2:2" ht="27" customHeight="1" x14ac:dyDescent="0.2">
      <c r="B2" s="19" t="s">
        <v>73</v>
      </c>
    </row>
    <row r="3" spans="2:2" ht="39.75" customHeight="1" x14ac:dyDescent="0.2">
      <c r="B3" s="19" t="s">
        <v>1</v>
      </c>
    </row>
    <row r="4" spans="2:2" ht="18" customHeight="1" x14ac:dyDescent="0.2">
      <c r="B4" s="19" t="s">
        <v>2</v>
      </c>
    </row>
    <row r="5" spans="2:2" ht="16.5" customHeight="1" x14ac:dyDescent="0.2">
      <c r="B5" s="21" t="s">
        <v>3</v>
      </c>
    </row>
    <row r="6" spans="2:2" ht="43.5" customHeight="1" x14ac:dyDescent="0.2">
      <c r="B6" s="20" t="s">
        <v>4</v>
      </c>
    </row>
    <row r="7" spans="2:2" ht="29.25" customHeight="1" x14ac:dyDescent="0.2">
      <c r="B7" s="20" t="s">
        <v>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pageSetUpPr autoPageBreaks="0" fitToPage="1"/>
  </sheetPr>
  <dimension ref="A1:I43"/>
  <sheetViews>
    <sheetView showGridLines="0" workbookViewId="0"/>
  </sheetViews>
  <sheetFormatPr defaultColWidth="9.140625" defaultRowHeight="14.25" x14ac:dyDescent="0.2"/>
  <cols>
    <col min="1" max="1" width="1.7109375" style="11" customWidth="1"/>
    <col min="2" max="2" width="32.5703125" style="5" customWidth="1"/>
    <col min="3" max="3" width="21.42578125" style="5" bestFit="1" customWidth="1"/>
    <col min="4" max="4" width="20.85546875" style="5" bestFit="1" customWidth="1"/>
    <col min="5" max="5" width="22.42578125" style="5" bestFit="1" customWidth="1"/>
    <col min="6" max="6" width="27.7109375" style="5" customWidth="1"/>
    <col min="7" max="7" width="20.28515625" style="5" bestFit="1" customWidth="1"/>
    <col min="8" max="8" width="19.140625" style="5" bestFit="1" customWidth="1"/>
    <col min="9" max="9" width="7.85546875" style="5" bestFit="1" customWidth="1"/>
    <col min="10" max="10" width="2.7109375" style="5" customWidth="1"/>
    <col min="11" max="16384" width="9.140625" style="5"/>
  </cols>
  <sheetData>
    <row r="1" spans="1:9" ht="35.450000000000003" customHeight="1" x14ac:dyDescent="0.35">
      <c r="A1" s="11" t="s">
        <v>6</v>
      </c>
      <c r="B1" s="2" t="s">
        <v>12</v>
      </c>
      <c r="C1" s="2"/>
      <c r="D1" s="2"/>
      <c r="E1" s="2"/>
      <c r="F1" s="2"/>
      <c r="G1" s="2"/>
      <c r="H1" s="2"/>
      <c r="I1" s="2"/>
    </row>
    <row r="2" spans="1:9" ht="19.5" x14ac:dyDescent="0.25">
      <c r="A2" s="11" t="s">
        <v>7</v>
      </c>
      <c r="B2" s="3" t="s">
        <v>13</v>
      </c>
      <c r="C2" s="3"/>
      <c r="D2" s="3"/>
      <c r="E2" s="3"/>
      <c r="F2" s="3"/>
      <c r="G2" s="3"/>
      <c r="H2" s="3"/>
      <c r="I2" s="3"/>
    </row>
    <row r="3" spans="1:9" ht="15" x14ac:dyDescent="0.2">
      <c r="A3" s="11" t="s">
        <v>8</v>
      </c>
      <c r="B3" s="4" t="str">
        <f>B1&amp;"  – konfidentsiaalne"</f>
        <v>Ettevõtte nimi  – konfidentsiaalne</v>
      </c>
      <c r="C3" s="4"/>
      <c r="D3" s="4"/>
      <c r="E3" s="4"/>
      <c r="F3" s="4"/>
      <c r="G3" s="4"/>
      <c r="H3" s="4"/>
      <c r="I3" s="4"/>
    </row>
    <row r="4" spans="1:9" ht="28.5" customHeight="1" x14ac:dyDescent="0.2">
      <c r="A4" s="11" t="s">
        <v>9</v>
      </c>
      <c r="B4" s="8" t="s">
        <v>14</v>
      </c>
    </row>
    <row r="5" spans="1:9" x14ac:dyDescent="0.2">
      <c r="A5" s="11" t="s">
        <v>10</v>
      </c>
      <c r="B5" s="9" t="s">
        <v>15</v>
      </c>
      <c r="C5" s="9" t="s">
        <v>28</v>
      </c>
      <c r="D5" s="9" t="s">
        <v>29</v>
      </c>
      <c r="E5" s="9" t="s">
        <v>30</v>
      </c>
      <c r="F5" s="9" t="s">
        <v>31</v>
      </c>
      <c r="G5" s="9" t="s">
        <v>33</v>
      </c>
      <c r="H5" s="9" t="s">
        <v>34</v>
      </c>
      <c r="I5" s="9" t="s">
        <v>35</v>
      </c>
    </row>
    <row r="6" spans="1:9" x14ac:dyDescent="0.2">
      <c r="B6" s="5" t="s">
        <v>16</v>
      </c>
      <c r="C6" s="6">
        <v>0.2</v>
      </c>
      <c r="D6" s="6">
        <v>0.1</v>
      </c>
      <c r="E6" s="6">
        <v>0.6</v>
      </c>
      <c r="F6" s="6">
        <v>0</v>
      </c>
      <c r="G6" s="6">
        <v>0</v>
      </c>
      <c r="H6" s="6">
        <v>0.1</v>
      </c>
      <c r="I6" s="7">
        <f>SUM(Parameetrid[[#This Row],[KONTOHALDUR]:[HALDUSPERSONAL]])</f>
        <v>1</v>
      </c>
    </row>
    <row r="7" spans="1:9" x14ac:dyDescent="0.2">
      <c r="B7" s="5" t="s">
        <v>17</v>
      </c>
      <c r="C7" s="6">
        <v>0.2</v>
      </c>
      <c r="D7" s="6">
        <v>0.5</v>
      </c>
      <c r="E7" s="6">
        <v>0.1</v>
      </c>
      <c r="F7" s="6">
        <v>0.1</v>
      </c>
      <c r="G7" s="6">
        <v>0</v>
      </c>
      <c r="H7" s="6">
        <v>0.1</v>
      </c>
      <c r="I7" s="7">
        <f>SUM(Parameetrid[[#This Row],[KONTOHALDUR]:[HALDUSPERSONAL]])</f>
        <v>0.99999999999999989</v>
      </c>
    </row>
    <row r="8" spans="1:9" x14ac:dyDescent="0.2">
      <c r="B8" s="5" t="s">
        <v>18</v>
      </c>
      <c r="C8" s="6">
        <v>0.2</v>
      </c>
      <c r="D8" s="6">
        <v>0.2</v>
      </c>
      <c r="E8" s="6">
        <v>0</v>
      </c>
      <c r="F8" s="6">
        <v>0.5</v>
      </c>
      <c r="G8" s="6">
        <v>0</v>
      </c>
      <c r="H8" s="6">
        <v>0.1</v>
      </c>
      <c r="I8" s="7">
        <f>SUM(Parameetrid[[#This Row],[KONTOHALDUR]:[HALDUSPERSONAL]])</f>
        <v>1</v>
      </c>
    </row>
    <row r="9" spans="1:9" x14ac:dyDescent="0.2">
      <c r="B9" s="5" t="s">
        <v>19</v>
      </c>
      <c r="C9" s="6">
        <v>0.2</v>
      </c>
      <c r="D9" s="6">
        <v>0.6</v>
      </c>
      <c r="E9" s="6">
        <v>0</v>
      </c>
      <c r="F9" s="6">
        <v>0</v>
      </c>
      <c r="G9" s="6">
        <v>0.1</v>
      </c>
      <c r="H9" s="6">
        <v>0.1</v>
      </c>
      <c r="I9" s="7">
        <f>SUM(Parameetrid[[#This Row],[KONTOHALDUR]:[HALDUSPERSONAL]])</f>
        <v>1</v>
      </c>
    </row>
    <row r="10" spans="1:9" x14ac:dyDescent="0.2">
      <c r="B10" s="5" t="s">
        <v>20</v>
      </c>
      <c r="C10" s="6">
        <v>0.2</v>
      </c>
      <c r="D10" s="6">
        <v>0.1</v>
      </c>
      <c r="E10" s="6">
        <v>0</v>
      </c>
      <c r="F10" s="6">
        <v>0</v>
      </c>
      <c r="G10" s="6">
        <v>0.6</v>
      </c>
      <c r="H10" s="6">
        <v>0.1</v>
      </c>
      <c r="I10" s="7">
        <f>SUM(Parameetrid[[#This Row],[KONTOHALDUR]:[HALDUSPERSONAL]])</f>
        <v>1</v>
      </c>
    </row>
    <row r="11" spans="1:9" x14ac:dyDescent="0.2">
      <c r="B11" s="5" t="s">
        <v>21</v>
      </c>
      <c r="C11" s="6">
        <v>0.2</v>
      </c>
      <c r="D11" s="6">
        <v>0.2</v>
      </c>
      <c r="E11" s="6">
        <v>0.2</v>
      </c>
      <c r="F11" s="6">
        <v>0.2</v>
      </c>
      <c r="G11" s="6">
        <v>0</v>
      </c>
      <c r="H11" s="6">
        <v>0.2</v>
      </c>
      <c r="I11" s="7">
        <f>SUM(Parameetrid[[#This Row],[KONTOHALDUR]:[HALDUSPERSONAL]])</f>
        <v>1</v>
      </c>
    </row>
    <row r="12" spans="1:9" x14ac:dyDescent="0.2">
      <c r="A12" s="11" t="s">
        <v>11</v>
      </c>
      <c r="B12" s="5" t="s">
        <v>22</v>
      </c>
      <c r="C12" s="24">
        <v>180</v>
      </c>
      <c r="D12" s="24">
        <v>120</v>
      </c>
      <c r="E12" s="24">
        <v>150</v>
      </c>
      <c r="F12" s="24">
        <v>100</v>
      </c>
      <c r="G12" s="24">
        <v>80</v>
      </c>
      <c r="H12" s="24">
        <v>60</v>
      </c>
      <c r="I12" s="6"/>
    </row>
    <row r="14" spans="1:9" x14ac:dyDescent="0.2">
      <c r="A14" s="11" t="s">
        <v>74</v>
      </c>
      <c r="F14" s="1" t="s">
        <v>32</v>
      </c>
    </row>
    <row r="15" spans="1:9" x14ac:dyDescent="0.2">
      <c r="B15" s="11"/>
      <c r="C15" s="11" t="s">
        <v>28</v>
      </c>
      <c r="D15" s="11" t="s">
        <v>29</v>
      </c>
      <c r="E15" s="11" t="s">
        <v>30</v>
      </c>
      <c r="F15" s="11" t="s">
        <v>31</v>
      </c>
      <c r="G15" s="11" t="s">
        <v>33</v>
      </c>
      <c r="H15" s="11" t="s">
        <v>34</v>
      </c>
    </row>
    <row r="16" spans="1:9" x14ac:dyDescent="0.2">
      <c r="B16" s="11" t="s">
        <v>23</v>
      </c>
      <c r="C16" s="25">
        <f>SUBTOTAL(109,ProjektiÜksikasjad[KONTOHALDUR])</f>
        <v>54000</v>
      </c>
      <c r="D16" s="25">
        <f>SUBTOTAL(109,ProjektiÜksikasjad[PROJEKTIJUHT])</f>
        <v>52200</v>
      </c>
      <c r="E16" s="25">
        <f>SUBTOTAL(109,ProjektiÜksikasjad[STRATEEGIAJUHT])</f>
        <v>24000</v>
      </c>
      <c r="F16" s="25">
        <f>SUBTOTAL(109,ProjektiÜksikasjad[KUJUNDUSSPETSIALIST])</f>
        <v>29000</v>
      </c>
      <c r="G16" s="25">
        <f>SUBTOTAL(109,ProjektiÜksikasjad[ÜRITUSE PERSONAL])</f>
        <v>13200</v>
      </c>
      <c r="H16" s="25">
        <f>SUBTOTAL(109,ProjektiÜksikasjad[HALDUSPERSONAL])</f>
        <v>9000</v>
      </c>
    </row>
    <row r="17" spans="2:9" x14ac:dyDescent="0.2">
      <c r="B17" s="11" t="s">
        <v>24</v>
      </c>
      <c r="C17" s="25">
        <f>SUBTOTAL(109,ProjektiÜksikasjad[[KONTOHALDUR ]])</f>
        <v>54360</v>
      </c>
      <c r="D17" s="25">
        <f>SUBTOTAL(109,ProjektiÜksikasjad[[PROJEKTIJUHT ]])</f>
        <v>51540</v>
      </c>
      <c r="E17" s="25">
        <f>SUBTOTAL(109,ProjektiÜksikasjad[[STRATEEGIAJUHT ]])</f>
        <v>25650</v>
      </c>
      <c r="F17" s="25">
        <f>SUBTOTAL(109,ProjektiÜksikasjad[[KUJUNDUSSPETSIALIST ]])</f>
        <v>28900</v>
      </c>
      <c r="G17" s="25">
        <f>SUBTOTAL(109,ProjektiÜksikasjad[[ÜRITUSE PERSONAL ]])</f>
        <v>13400</v>
      </c>
      <c r="H17" s="25">
        <f>SUBTOTAL(109,ProjektiÜksikasjad[[HALDUSPERSONAL ]])</f>
        <v>9060</v>
      </c>
    </row>
    <row r="18" spans="2:9" x14ac:dyDescent="0.2">
      <c r="B18" s="11" t="s">
        <v>25</v>
      </c>
      <c r="C18" s="12">
        <f>C16/$C$12</f>
        <v>300</v>
      </c>
      <c r="D18" s="12">
        <f t="shared" ref="D18:H18" si="0">D16/$C$12</f>
        <v>290</v>
      </c>
      <c r="E18" s="12">
        <f t="shared" si="0"/>
        <v>133.33333333333334</v>
      </c>
      <c r="F18" s="12">
        <f t="shared" si="0"/>
        <v>161.11111111111111</v>
      </c>
      <c r="G18" s="12">
        <f t="shared" si="0"/>
        <v>73.333333333333329</v>
      </c>
      <c r="H18" s="12">
        <f t="shared" si="0"/>
        <v>50</v>
      </c>
    </row>
    <row r="19" spans="2:9" x14ac:dyDescent="0.2">
      <c r="B19" s="11" t="s">
        <v>26</v>
      </c>
      <c r="C19" s="12">
        <f>C17/$C$12</f>
        <v>302</v>
      </c>
      <c r="D19" s="12">
        <f>D17/$C$12</f>
        <v>286.33333333333331</v>
      </c>
      <c r="E19" s="12">
        <f>E17/$C$12</f>
        <v>142.5</v>
      </c>
      <c r="F19" s="12">
        <f>F17/$C$12</f>
        <v>160.55555555555554</v>
      </c>
      <c r="G19" s="12">
        <f>G17/$C$12</f>
        <v>74.444444444444443</v>
      </c>
      <c r="H19" s="12">
        <f>H17/$C$12</f>
        <v>50.333333333333336</v>
      </c>
    </row>
    <row r="20" spans="2:9" x14ac:dyDescent="0.2">
      <c r="F20" s="11"/>
      <c r="G20" s="11"/>
      <c r="H20" s="11"/>
      <c r="I20" s="11"/>
    </row>
    <row r="21" spans="2:9" x14ac:dyDescent="0.2">
      <c r="F21" s="11"/>
      <c r="G21" s="11"/>
      <c r="H21" s="11"/>
      <c r="I21" s="11"/>
    </row>
    <row r="22" spans="2:9" x14ac:dyDescent="0.2">
      <c r="F22" s="11"/>
      <c r="G22" s="11"/>
      <c r="H22" s="11"/>
      <c r="I22" s="11"/>
    </row>
    <row r="23" spans="2:9" x14ac:dyDescent="0.2">
      <c r="F23" s="11"/>
      <c r="G23" s="11"/>
      <c r="H23" s="11"/>
      <c r="I23" s="11"/>
    </row>
    <row r="24" spans="2:9" x14ac:dyDescent="0.2">
      <c r="B24" s="28" t="s">
        <v>27</v>
      </c>
      <c r="C24" s="28"/>
      <c r="D24" s="28"/>
      <c r="F24" s="11"/>
      <c r="G24" s="11"/>
      <c r="H24" s="11"/>
      <c r="I24" s="11"/>
    </row>
    <row r="25" spans="2:9" x14ac:dyDescent="0.2">
      <c r="B25" s="28"/>
      <c r="C25" s="28"/>
      <c r="D25" s="28"/>
      <c r="F25" s="11"/>
      <c r="G25" s="11"/>
      <c r="H25" s="11"/>
      <c r="I25" s="11"/>
    </row>
    <row r="26" spans="2:9" x14ac:dyDescent="0.2">
      <c r="B26" s="28"/>
      <c r="C26" s="28"/>
      <c r="D26" s="28"/>
      <c r="F26" s="11"/>
      <c r="G26" s="11"/>
      <c r="H26" s="11"/>
      <c r="I26" s="11"/>
    </row>
    <row r="27" spans="2:9" x14ac:dyDescent="0.2">
      <c r="B27" s="28"/>
      <c r="C27" s="28"/>
      <c r="D27" s="28"/>
      <c r="F27" s="11"/>
      <c r="G27" s="11"/>
      <c r="H27" s="11"/>
      <c r="I27" s="11"/>
    </row>
    <row r="28" spans="2:9" x14ac:dyDescent="0.2">
      <c r="B28" s="28"/>
      <c r="C28" s="28"/>
      <c r="D28" s="28"/>
      <c r="F28" s="11"/>
      <c r="G28" s="11"/>
      <c r="H28" s="11"/>
      <c r="I28" s="11"/>
    </row>
    <row r="29" spans="2:9" x14ac:dyDescent="0.2">
      <c r="B29" s="28"/>
      <c r="C29" s="28"/>
      <c r="D29" s="28"/>
      <c r="F29" s="11"/>
      <c r="G29" s="11"/>
      <c r="H29" s="11"/>
      <c r="I29" s="11"/>
    </row>
    <row r="30" spans="2:9" x14ac:dyDescent="0.2">
      <c r="B30" s="28"/>
      <c r="C30" s="28"/>
      <c r="D30" s="28"/>
      <c r="F30" s="11"/>
      <c r="G30" s="11"/>
      <c r="H30" s="11"/>
      <c r="I30" s="11"/>
    </row>
    <row r="31" spans="2:9" x14ac:dyDescent="0.2">
      <c r="B31" s="28"/>
      <c r="C31" s="28"/>
      <c r="D31" s="28"/>
      <c r="F31" s="11"/>
      <c r="G31" s="11"/>
      <c r="H31" s="11"/>
      <c r="I31" s="11"/>
    </row>
    <row r="32" spans="2:9" x14ac:dyDescent="0.2">
      <c r="B32" s="28"/>
      <c r="C32" s="28"/>
      <c r="D32" s="28"/>
      <c r="F32" s="11"/>
      <c r="G32" s="11"/>
      <c r="H32" s="11"/>
      <c r="I32" s="11"/>
    </row>
    <row r="33" spans="2:9" x14ac:dyDescent="0.2">
      <c r="B33" s="28"/>
      <c r="C33" s="28"/>
      <c r="D33" s="28"/>
      <c r="F33" s="11"/>
      <c r="G33" s="11"/>
      <c r="H33" s="11"/>
      <c r="I33" s="11"/>
    </row>
    <row r="34" spans="2:9" x14ac:dyDescent="0.2">
      <c r="B34" s="28"/>
      <c r="C34" s="28"/>
      <c r="D34" s="28"/>
      <c r="F34" s="11"/>
      <c r="G34" s="11"/>
      <c r="H34" s="11"/>
      <c r="I34" s="11"/>
    </row>
    <row r="35" spans="2:9" x14ac:dyDescent="0.2">
      <c r="B35" s="28"/>
      <c r="C35" s="28"/>
      <c r="D35" s="28"/>
      <c r="F35" s="11"/>
      <c r="G35" s="11"/>
      <c r="H35" s="11"/>
      <c r="I35" s="11"/>
    </row>
    <row r="36" spans="2:9" x14ac:dyDescent="0.2">
      <c r="B36" s="28"/>
      <c r="C36" s="28"/>
      <c r="D36" s="28"/>
      <c r="F36" s="11"/>
      <c r="G36" s="11"/>
      <c r="H36" s="11"/>
      <c r="I36" s="11"/>
    </row>
    <row r="37" spans="2:9" x14ac:dyDescent="0.2">
      <c r="B37" s="28"/>
      <c r="C37" s="28"/>
      <c r="D37" s="28"/>
      <c r="F37" s="11"/>
      <c r="G37" s="11"/>
      <c r="H37" s="11"/>
      <c r="I37" s="11"/>
    </row>
    <row r="38" spans="2:9" x14ac:dyDescent="0.2">
      <c r="B38" s="28"/>
      <c r="C38" s="28"/>
      <c r="D38" s="28"/>
      <c r="F38" s="11"/>
      <c r="G38" s="11"/>
      <c r="H38" s="11"/>
      <c r="I38" s="11"/>
    </row>
    <row r="39" spans="2:9" x14ac:dyDescent="0.2">
      <c r="B39" s="28"/>
      <c r="C39" s="28"/>
      <c r="D39" s="28"/>
      <c r="F39" s="11"/>
      <c r="G39" s="11"/>
      <c r="H39" s="11"/>
      <c r="I39" s="11"/>
    </row>
    <row r="40" spans="2:9" x14ac:dyDescent="0.2">
      <c r="B40" s="28"/>
      <c r="C40" s="28"/>
      <c r="D40" s="28"/>
      <c r="F40" s="11"/>
      <c r="G40" s="11"/>
      <c r="H40" s="11"/>
      <c r="I40" s="11"/>
    </row>
    <row r="41" spans="2:9" x14ac:dyDescent="0.2">
      <c r="B41" s="28"/>
      <c r="C41" s="28"/>
      <c r="D41" s="28"/>
      <c r="F41" s="11"/>
      <c r="G41" s="11"/>
      <c r="H41" s="11"/>
      <c r="I41" s="11"/>
    </row>
    <row r="42" spans="2:9" x14ac:dyDescent="0.2">
      <c r="B42" s="28"/>
      <c r="C42" s="28"/>
      <c r="D42" s="28"/>
      <c r="F42" s="11"/>
      <c r="G42" s="11"/>
      <c r="H42" s="11"/>
      <c r="I42" s="11"/>
    </row>
    <row r="43" spans="2:9" x14ac:dyDescent="0.2">
      <c r="B43" s="28"/>
      <c r="C43" s="28"/>
      <c r="D43" s="28"/>
      <c r="F43" s="11"/>
      <c r="G43" s="11"/>
      <c r="H43" s="11"/>
      <c r="I43" s="11"/>
    </row>
  </sheetData>
  <mergeCells count="1">
    <mergeCell ref="B24:D43"/>
  </mergeCells>
  <printOptions horizontalCentered="1"/>
  <pageMargins left="0.4" right="0.4" top="0.4" bottom="0.4" header="0.3" footer="0.3"/>
  <pageSetup paperSize="9" orientation="landscape" horizontalDpi="4294967293" verticalDpi="4294967295"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pageSetUpPr fitToPage="1"/>
  </sheetPr>
  <dimension ref="A1:W10"/>
  <sheetViews>
    <sheetView showGridLines="0" workbookViewId="0"/>
  </sheetViews>
  <sheetFormatPr defaultColWidth="9.140625" defaultRowHeight="14.25" x14ac:dyDescent="0.2"/>
  <cols>
    <col min="1" max="1" width="1.7109375" style="11" customWidth="1"/>
    <col min="2" max="2" width="25.5703125" style="1" customWidth="1"/>
    <col min="3" max="3" width="23.85546875" style="1" customWidth="1"/>
    <col min="4" max="4" width="15.140625" style="1" customWidth="1"/>
    <col min="5" max="5" width="14.5703125" style="1" customWidth="1"/>
    <col min="6" max="7" width="11.85546875" style="1" customWidth="1"/>
    <col min="8" max="8" width="15.7109375" style="1" customWidth="1"/>
    <col min="9" max="9" width="10.28515625" style="1" bestFit="1" customWidth="1"/>
    <col min="10" max="10" width="15" style="1" customWidth="1"/>
    <col min="11" max="11" width="10.28515625" style="1" customWidth="1"/>
    <col min="12" max="12" width="14.5703125" style="1" hidden="1" customWidth="1"/>
    <col min="13" max="13" width="14.28515625" style="1" hidden="1" customWidth="1"/>
    <col min="14" max="14" width="16.140625" style="1" hidden="1" customWidth="1"/>
    <col min="15" max="15" width="21.5703125" style="1" hidden="1" customWidth="1"/>
    <col min="16" max="16" width="10.28515625" style="1" hidden="1" customWidth="1"/>
    <col min="17" max="17" width="17.85546875" style="1" hidden="1" customWidth="1"/>
    <col min="18" max="18" width="14.7109375" style="1" hidden="1" customWidth="1"/>
    <col min="19" max="19" width="14.28515625" style="1" hidden="1" customWidth="1"/>
    <col min="20" max="20" width="16.5703125" style="1" hidden="1" customWidth="1"/>
    <col min="21" max="21" width="21.42578125" style="1" hidden="1" customWidth="1"/>
    <col min="22" max="22" width="10.28515625" style="1" hidden="1" customWidth="1"/>
    <col min="23" max="23" width="17.7109375" style="1" hidden="1" customWidth="1"/>
    <col min="24" max="24" width="2.7109375" style="1" customWidth="1"/>
    <col min="25" max="16384" width="9.140625" style="1"/>
  </cols>
  <sheetData>
    <row r="1" spans="1:23" ht="35.450000000000003" customHeight="1" x14ac:dyDescent="0.35">
      <c r="A1" s="11" t="s">
        <v>36</v>
      </c>
      <c r="B1" s="2" t="str">
        <f>'PROJEKTI PARAMEETRID'!B1</f>
        <v>Ettevõtte nimi</v>
      </c>
      <c r="C1" s="2"/>
      <c r="D1" s="2"/>
      <c r="E1" s="2"/>
      <c r="F1" s="2"/>
      <c r="G1" s="2"/>
      <c r="H1" s="2"/>
      <c r="I1" s="2"/>
      <c r="J1" s="2"/>
      <c r="K1" s="2"/>
    </row>
    <row r="2" spans="1:23" ht="19.5" x14ac:dyDescent="0.25">
      <c r="A2" s="11" t="s">
        <v>7</v>
      </c>
      <c r="B2" s="3" t="s">
        <v>13</v>
      </c>
      <c r="C2" s="3"/>
      <c r="D2" s="3"/>
      <c r="E2" s="3"/>
      <c r="F2" s="3"/>
      <c r="G2" s="3"/>
      <c r="H2" s="3"/>
      <c r="I2" s="3"/>
      <c r="J2" s="3"/>
      <c r="K2" s="3"/>
    </row>
    <row r="3" spans="1:23" s="15" customFormat="1" ht="29.25" customHeight="1" x14ac:dyDescent="0.2">
      <c r="A3" s="18" t="s">
        <v>8</v>
      </c>
      <c r="B3" s="16" t="str">
        <f>'PROJEKTI PARAMEETRID'!B3</f>
        <v>Ettevõtte nimi  – konfidentsiaalne</v>
      </c>
      <c r="C3" s="16"/>
      <c r="D3" s="16"/>
      <c r="E3" s="16"/>
      <c r="F3" s="16"/>
      <c r="G3" s="16"/>
      <c r="H3" s="16"/>
      <c r="I3" s="16"/>
      <c r="J3" s="16"/>
      <c r="K3" s="16"/>
    </row>
    <row r="4" spans="1:23" ht="25.5" customHeight="1" x14ac:dyDescent="0.2">
      <c r="A4" s="22" t="s">
        <v>75</v>
      </c>
      <c r="B4" s="13" t="s">
        <v>37</v>
      </c>
      <c r="C4" s="13" t="s">
        <v>15</v>
      </c>
      <c r="D4" s="13" t="s">
        <v>44</v>
      </c>
      <c r="E4" s="13" t="s">
        <v>45</v>
      </c>
      <c r="F4" s="13" t="s">
        <v>46</v>
      </c>
      <c r="G4" s="13" t="s">
        <v>47</v>
      </c>
      <c r="H4" s="13" t="s">
        <v>48</v>
      </c>
      <c r="I4" s="13" t="s">
        <v>49</v>
      </c>
      <c r="J4" s="13" t="s">
        <v>50</v>
      </c>
      <c r="K4" s="13" t="s">
        <v>51</v>
      </c>
      <c r="L4" s="13" t="s">
        <v>28</v>
      </c>
      <c r="M4" s="13" t="s">
        <v>29</v>
      </c>
      <c r="N4" s="13" t="s">
        <v>30</v>
      </c>
      <c r="O4" s="13" t="s">
        <v>31</v>
      </c>
      <c r="P4" s="13" t="s">
        <v>33</v>
      </c>
      <c r="Q4" s="13" t="s">
        <v>34</v>
      </c>
      <c r="R4" s="13" t="s">
        <v>52</v>
      </c>
      <c r="S4" s="13" t="s">
        <v>53</v>
      </c>
      <c r="T4" s="13" t="s">
        <v>54</v>
      </c>
      <c r="U4" s="13" t="s">
        <v>55</v>
      </c>
      <c r="V4" s="13" t="s">
        <v>56</v>
      </c>
      <c r="W4" s="13" t="s">
        <v>57</v>
      </c>
    </row>
    <row r="5" spans="1:23" x14ac:dyDescent="0.2">
      <c r="B5" t="s">
        <v>38</v>
      </c>
      <c r="C5" t="s">
        <v>16</v>
      </c>
      <c r="D5" s="14">
        <f ca="1">DATE(YEAR(TODAY()),6,9)</f>
        <v>43625</v>
      </c>
      <c r="E5" s="14">
        <f ca="1">DATE(YEAR(TODAY()),8,7)</f>
        <v>43684</v>
      </c>
      <c r="F5" s="14">
        <f ca="1">DATE(YEAR(TODAY()),6,29)</f>
        <v>43645</v>
      </c>
      <c r="G5" s="14">
        <f ca="1">DATE(YEAR(TODAY()),9,3)</f>
        <v>43711</v>
      </c>
      <c r="H5">
        <v>200</v>
      </c>
      <c r="I5">
        <v>220</v>
      </c>
      <c r="J5">
        <f ca="1">DAYS360(ProjektiÜksikasjad[[#This Row],[HINNANGULINE ALGUSAEG]],ProjektiÜksikasjad[[#This Row],[HINNANGULINE LÕPPAEG]],FALSE)</f>
        <v>58</v>
      </c>
      <c r="K5">
        <f ca="1">DAYS360(ProjektiÜksikasjad[[#This Row],[TEGELIK ALGUSAEG]],ProjektiÜksikasjad[[#This Row],[TEGELIK LÕPPAEG]],FALSE)</f>
        <v>64</v>
      </c>
      <c r="L5" s="26">
        <f>INDEX(Parameetrid[],MATCH(ProjektiÜksikasjad[[#This Row],[PROJEKTI TÜÜP]],Parameetrid[PROJEKTI TÜÜP],0),MATCH(ProjektiÜksikasjad[[#Headers],[KONTOHALDUR]],Parameetrid[#Headers],0))*INDEX('PROJEKTI PARAMEETRID'!$B$12:$H$12,1,MATCH(ProjektiÜksikasjad[[#Headers],[KONTOHALDUR]],Parameetrid[#Headers],0))*ProjektiÜksikasjad[[#This Row],[HINNANGULINE TÖÖ MAHT]]</f>
        <v>7200</v>
      </c>
      <c r="M5" s="26">
        <f>INDEX(Parameetrid[],MATCH(ProjektiÜksikasjad[[#This Row],[PROJEKTI TÜÜP]],Parameetrid[PROJEKTI TÜÜP],0),MATCH(ProjektiÜksikasjad[[#Headers],[PROJEKTIJUHT]],Parameetrid[#Headers],0))*INDEX('PROJEKTI PARAMEETRID'!$B$12:$H$12,1,MATCH(ProjektiÜksikasjad[[#Headers],[PROJEKTIJUHT]],Parameetrid[#Headers],0))*ProjektiÜksikasjad[[#This Row],[HINNANGULINE TÖÖ MAHT]]</f>
        <v>2400</v>
      </c>
      <c r="N5" s="26">
        <f>INDEX(Parameetrid[],MATCH(ProjektiÜksikasjad[[#This Row],[PROJEKTI TÜÜP]],Parameetrid[PROJEKTI TÜÜP],0),MATCH(ProjektiÜksikasjad[[#Headers],[STRATEEGIAJUHT]],Parameetrid[#Headers],0))*INDEX('PROJEKTI PARAMEETRID'!$B$12:$H$12,1,MATCH(ProjektiÜksikasjad[[#Headers],[STRATEEGIAJUHT]],Parameetrid[#Headers],0))*ProjektiÜksikasjad[[#This Row],[HINNANGULINE TÖÖ MAHT]]</f>
        <v>18000</v>
      </c>
      <c r="O5" s="26">
        <f>INDEX(Parameetrid[],MATCH(ProjektiÜksikasjad[[#This Row],[PROJEKTI TÜÜP]],Parameetrid[PROJEKTI TÜÜP],0),MATCH(ProjektiÜksikasjad[[#Headers],[KUJUNDUSSPETSIALIST]],Parameetrid[#Headers],0))*INDEX('PROJEKTI PARAMEETRID'!$B$12:$H$12,1,MATCH(ProjektiÜksikasjad[[#Headers],[KUJUNDUSSPETSIALIST]],Parameetrid[#Headers],0))*ProjektiÜksikasjad[[#This Row],[HINNANGULINE TÖÖ MAHT]]</f>
        <v>0</v>
      </c>
      <c r="P5" s="26">
        <f>INDEX(Parameetrid[],MATCH(ProjektiÜksikasjad[[#This Row],[PROJEKTI TÜÜP]],Parameetrid[PROJEKTI TÜÜP],0),MATCH(ProjektiÜksikasjad[[#Headers],[ÜRITUSE PERSONAL]],Parameetrid[#Headers],0))*INDEX('PROJEKTI PARAMEETRID'!$B$12:$H$12,1,MATCH(ProjektiÜksikasjad[[#Headers],[ÜRITUSE PERSONAL]],Parameetrid[#Headers],0))*ProjektiÜksikasjad[[#This Row],[HINNANGULINE TÖÖ MAHT]]</f>
        <v>0</v>
      </c>
      <c r="Q5" s="26">
        <f>INDEX(Parameetrid[],MATCH(ProjektiÜksikasjad[[#This Row],[PROJEKTI TÜÜP]],Parameetrid[PROJEKTI TÜÜP],0),MATCH(ProjektiÜksikasjad[[#Headers],[HALDUSPERSONAL]],Parameetrid[#Headers],0))*INDEX('PROJEKTI PARAMEETRID'!$B$12:$H$12,1,MATCH(ProjektiÜksikasjad[[#Headers],[HALDUSPERSONAL]],Parameetrid[#Headers],0))*ProjektiÜksikasjad[[#This Row],[HINNANGULINE TÖÖ MAHT]]</f>
        <v>1200</v>
      </c>
      <c r="R5" s="26">
        <f>INDEX(Parameetrid[],MATCH(ProjektiÜksikasjad[[#This Row],[PROJEKTI TÜÜP]],Parameetrid[PROJEKTI TÜÜP],0),MATCH(ProjektiÜksikasjad[[#Headers],[KONTOHALDUR]],Parameetrid[#Headers],0))*INDEX('PROJEKTI PARAMEETRID'!$B$12:$H$12,1,MATCH(ProjektiÜksikasjad[[#Headers],[KONTOHALDUR]],Parameetrid[#Headers],0))*ProjektiÜksikasjad[[#This Row],[TEGELIK TÖÖ MAHT]]</f>
        <v>7920</v>
      </c>
      <c r="S5" s="26">
        <f>INDEX(Parameetrid[],MATCH(ProjektiÜksikasjad[[#This Row],[PROJEKTI TÜÜP]],Parameetrid[PROJEKTI TÜÜP],0),MATCH(ProjektiÜksikasjad[[#Headers],[PROJEKTIJUHT]],Parameetrid[#Headers],0))*INDEX('PROJEKTI PARAMEETRID'!$B$12:$H$12,1,MATCH(ProjektiÜksikasjad[[#Headers],[PROJEKTIJUHT]],Parameetrid[#Headers],0))*ProjektiÜksikasjad[[#This Row],[TEGELIK TÖÖ MAHT]]</f>
        <v>2640</v>
      </c>
      <c r="T5" s="26">
        <f>INDEX(Parameetrid[],MATCH(ProjektiÜksikasjad[[#This Row],[PROJEKTI TÜÜP]],Parameetrid[PROJEKTI TÜÜP],0),MATCH(ProjektiÜksikasjad[[#Headers],[STRATEEGIAJUHT]],Parameetrid[#Headers],0))*INDEX('PROJEKTI PARAMEETRID'!$B$12:$H$12,1,MATCH(ProjektiÜksikasjad[[#Headers],[STRATEEGIAJUHT]],Parameetrid[#Headers],0))*ProjektiÜksikasjad[[#This Row],[TEGELIK TÖÖ MAHT]]</f>
        <v>19800</v>
      </c>
      <c r="U5" s="26">
        <f>INDEX(Parameetrid[],MATCH(ProjektiÜksikasjad[[#This Row],[PROJEKTI TÜÜP]],Parameetrid[PROJEKTI TÜÜP],0),MATCH(ProjektiÜksikasjad[[#Headers],[KUJUNDUSSPETSIALIST]],Parameetrid[#Headers],0))*INDEX('PROJEKTI PARAMEETRID'!$B$12:$H$12,1,MATCH(ProjektiÜksikasjad[[#Headers],[KUJUNDUSSPETSIALIST]],Parameetrid[#Headers],0))*ProjektiÜksikasjad[[#This Row],[TEGELIK TÖÖ MAHT]]</f>
        <v>0</v>
      </c>
      <c r="V5" s="26">
        <f>INDEX(Parameetrid[],MATCH(ProjektiÜksikasjad[[#This Row],[PROJEKTI TÜÜP]],Parameetrid[PROJEKTI TÜÜP],0),MATCH(ProjektiÜksikasjad[[#Headers],[ÜRITUSE PERSONAL]],Parameetrid[#Headers],0))*INDEX('PROJEKTI PARAMEETRID'!$B$12:$H$12,1,MATCH(ProjektiÜksikasjad[[#Headers],[ÜRITUSE PERSONAL]],Parameetrid[#Headers],0))*ProjektiÜksikasjad[[#This Row],[TEGELIK TÖÖ MAHT]]</f>
        <v>0</v>
      </c>
      <c r="W5" s="26">
        <f>INDEX(Parameetrid[],MATCH(ProjektiÜksikasjad[[#This Row],[PROJEKTI TÜÜP]],Parameetrid[PROJEKTI TÜÜP],0),MATCH(ProjektiÜksikasjad[[#Headers],[HALDUSPERSONAL]],Parameetrid[#Headers],0))*INDEX('PROJEKTI PARAMEETRID'!$B$12:$H$12,1,MATCH(ProjektiÜksikasjad[[#Headers],[HALDUSPERSONAL]],Parameetrid[#Headers],0))*ProjektiÜksikasjad[[#This Row],[TEGELIK TÖÖ MAHT]]</f>
        <v>1320</v>
      </c>
    </row>
    <row r="6" spans="1:23" x14ac:dyDescent="0.2">
      <c r="B6" t="s">
        <v>39</v>
      </c>
      <c r="C6" t="s">
        <v>17</v>
      </c>
      <c r="D6" s="14">
        <f ca="1">DATE(YEAR(TODAY())+1,6,25)</f>
        <v>44007</v>
      </c>
      <c r="E6" s="14">
        <f ca="1">DATE(YEAR(TODAY())+1,7,27)</f>
        <v>44039</v>
      </c>
      <c r="F6" s="14">
        <f ca="1">DATE(YEAR(TODAY()),7,15)</f>
        <v>43661</v>
      </c>
      <c r="G6" s="14">
        <f ca="1">DATE(YEAR(TODAY())+1,8,25)</f>
        <v>44068</v>
      </c>
      <c r="H6">
        <v>400</v>
      </c>
      <c r="I6">
        <v>390</v>
      </c>
      <c r="J6">
        <f ca="1">DAYS360(ProjektiÜksikasjad[[#This Row],[HINNANGULINE ALGUSAEG]],ProjektiÜksikasjad[[#This Row],[HINNANGULINE LÕPPAEG]],FALSE)</f>
        <v>32</v>
      </c>
      <c r="K6">
        <f ca="1">DAYS360(ProjektiÜksikasjad[[#This Row],[TEGELIK ALGUSAEG]],ProjektiÜksikasjad[[#This Row],[TEGELIK LÕPPAEG]],FALSE)</f>
        <v>400</v>
      </c>
      <c r="L6" s="26">
        <f>INDEX(Parameetrid[],MATCH(ProjektiÜksikasjad[[#This Row],[PROJEKTI TÜÜP]],Parameetrid[PROJEKTI TÜÜP],0),MATCH(ProjektiÜksikasjad[[#Headers],[KONTOHALDUR]],Parameetrid[#Headers],0))*INDEX('PROJEKTI PARAMEETRID'!$B$12:$H$12,1,MATCH(ProjektiÜksikasjad[[#Headers],[KONTOHALDUR]],Parameetrid[#Headers],0))*ProjektiÜksikasjad[[#This Row],[HINNANGULINE TÖÖ MAHT]]</f>
        <v>14400</v>
      </c>
      <c r="M6" s="26">
        <f>INDEX(Parameetrid[],MATCH(ProjektiÜksikasjad[[#This Row],[PROJEKTI TÜÜP]],Parameetrid[PROJEKTI TÜÜP],0),MATCH(ProjektiÜksikasjad[[#Headers],[PROJEKTIJUHT]],Parameetrid[#Headers],0))*INDEX('PROJEKTI PARAMEETRID'!$B$12:$H$12,1,MATCH(ProjektiÜksikasjad[[#Headers],[PROJEKTIJUHT]],Parameetrid[#Headers],0))*ProjektiÜksikasjad[[#This Row],[HINNANGULINE TÖÖ MAHT]]</f>
        <v>24000</v>
      </c>
      <c r="N6" s="26">
        <f>INDEX(Parameetrid[],MATCH(ProjektiÜksikasjad[[#This Row],[PROJEKTI TÜÜP]],Parameetrid[PROJEKTI TÜÜP],0),MATCH(ProjektiÜksikasjad[[#Headers],[STRATEEGIAJUHT]],Parameetrid[#Headers],0))*INDEX('PROJEKTI PARAMEETRID'!$B$12:$H$12,1,MATCH(ProjektiÜksikasjad[[#Headers],[STRATEEGIAJUHT]],Parameetrid[#Headers],0))*ProjektiÜksikasjad[[#This Row],[HINNANGULINE TÖÖ MAHT]]</f>
        <v>6000</v>
      </c>
      <c r="O6" s="26">
        <f>INDEX(Parameetrid[],MATCH(ProjektiÜksikasjad[[#This Row],[PROJEKTI TÜÜP]],Parameetrid[PROJEKTI TÜÜP],0),MATCH(ProjektiÜksikasjad[[#Headers],[KUJUNDUSSPETSIALIST]],Parameetrid[#Headers],0))*INDEX('PROJEKTI PARAMEETRID'!$B$12:$H$12,1,MATCH(ProjektiÜksikasjad[[#Headers],[KUJUNDUSSPETSIALIST]],Parameetrid[#Headers],0))*ProjektiÜksikasjad[[#This Row],[HINNANGULINE TÖÖ MAHT]]</f>
        <v>4000</v>
      </c>
      <c r="P6" s="26">
        <f>INDEX(Parameetrid[],MATCH(ProjektiÜksikasjad[[#This Row],[PROJEKTI TÜÜP]],Parameetrid[PROJEKTI TÜÜP],0),MATCH(ProjektiÜksikasjad[[#Headers],[ÜRITUSE PERSONAL]],Parameetrid[#Headers],0))*INDEX('PROJEKTI PARAMEETRID'!$B$12:$H$12,1,MATCH(ProjektiÜksikasjad[[#Headers],[ÜRITUSE PERSONAL]],Parameetrid[#Headers],0))*ProjektiÜksikasjad[[#This Row],[HINNANGULINE TÖÖ MAHT]]</f>
        <v>0</v>
      </c>
      <c r="Q6" s="26">
        <f>INDEX(Parameetrid[],MATCH(ProjektiÜksikasjad[[#This Row],[PROJEKTI TÜÜP]],Parameetrid[PROJEKTI TÜÜP],0),MATCH(ProjektiÜksikasjad[[#Headers],[HALDUSPERSONAL]],Parameetrid[#Headers],0))*INDEX('PROJEKTI PARAMEETRID'!$B$12:$H$12,1,MATCH(ProjektiÜksikasjad[[#Headers],[HALDUSPERSONAL]],Parameetrid[#Headers],0))*ProjektiÜksikasjad[[#This Row],[HINNANGULINE TÖÖ MAHT]]</f>
        <v>2400</v>
      </c>
      <c r="R6" s="26">
        <f>INDEX(Parameetrid[],MATCH(ProjektiÜksikasjad[[#This Row],[PROJEKTI TÜÜP]],Parameetrid[PROJEKTI TÜÜP],0),MATCH(ProjektiÜksikasjad[[#Headers],[KONTOHALDUR]],Parameetrid[#Headers],0))*INDEX('PROJEKTI PARAMEETRID'!$B$12:$H$12,1,MATCH(ProjektiÜksikasjad[[#Headers],[KONTOHALDUR]],Parameetrid[#Headers],0))*ProjektiÜksikasjad[[#This Row],[TEGELIK TÖÖ MAHT]]</f>
        <v>14040</v>
      </c>
      <c r="S6" s="26">
        <f>INDEX(Parameetrid[],MATCH(ProjektiÜksikasjad[[#This Row],[PROJEKTI TÜÜP]],Parameetrid[PROJEKTI TÜÜP],0),MATCH(ProjektiÜksikasjad[[#Headers],[PROJEKTIJUHT]],Parameetrid[#Headers],0))*INDEX('PROJEKTI PARAMEETRID'!$B$12:$H$12,1,MATCH(ProjektiÜksikasjad[[#Headers],[PROJEKTIJUHT]],Parameetrid[#Headers],0))*ProjektiÜksikasjad[[#This Row],[TEGELIK TÖÖ MAHT]]</f>
        <v>23400</v>
      </c>
      <c r="T6" s="26">
        <f>INDEX(Parameetrid[],MATCH(ProjektiÜksikasjad[[#This Row],[PROJEKTI TÜÜP]],Parameetrid[PROJEKTI TÜÜP],0),MATCH(ProjektiÜksikasjad[[#Headers],[STRATEEGIAJUHT]],Parameetrid[#Headers],0))*INDEX('PROJEKTI PARAMEETRID'!$B$12:$H$12,1,MATCH(ProjektiÜksikasjad[[#Headers],[STRATEEGIAJUHT]],Parameetrid[#Headers],0))*ProjektiÜksikasjad[[#This Row],[TEGELIK TÖÖ MAHT]]</f>
        <v>5850</v>
      </c>
      <c r="U6" s="26">
        <f>INDEX(Parameetrid[],MATCH(ProjektiÜksikasjad[[#This Row],[PROJEKTI TÜÜP]],Parameetrid[PROJEKTI TÜÜP],0),MATCH(ProjektiÜksikasjad[[#Headers],[KUJUNDUSSPETSIALIST]],Parameetrid[#Headers],0))*INDEX('PROJEKTI PARAMEETRID'!$B$12:$H$12,1,MATCH(ProjektiÜksikasjad[[#Headers],[KUJUNDUSSPETSIALIST]],Parameetrid[#Headers],0))*ProjektiÜksikasjad[[#This Row],[TEGELIK TÖÖ MAHT]]</f>
        <v>3900</v>
      </c>
      <c r="V6" s="26">
        <f>INDEX(Parameetrid[],MATCH(ProjektiÜksikasjad[[#This Row],[PROJEKTI TÜÜP]],Parameetrid[PROJEKTI TÜÜP],0),MATCH(ProjektiÜksikasjad[[#Headers],[ÜRITUSE PERSONAL]],Parameetrid[#Headers],0))*INDEX('PROJEKTI PARAMEETRID'!$B$12:$H$12,1,MATCH(ProjektiÜksikasjad[[#Headers],[ÜRITUSE PERSONAL]],Parameetrid[#Headers],0))*ProjektiÜksikasjad[[#This Row],[TEGELIK TÖÖ MAHT]]</f>
        <v>0</v>
      </c>
      <c r="W6" s="26">
        <f>INDEX(Parameetrid[],MATCH(ProjektiÜksikasjad[[#This Row],[PROJEKTI TÜÜP]],Parameetrid[PROJEKTI TÜÜP],0),MATCH(ProjektiÜksikasjad[[#Headers],[HALDUSPERSONAL]],Parameetrid[#Headers],0))*INDEX('PROJEKTI PARAMEETRID'!$B$12:$H$12,1,MATCH(ProjektiÜksikasjad[[#Headers],[HALDUSPERSONAL]],Parameetrid[#Headers],0))*ProjektiÜksikasjad[[#This Row],[TEGELIK TÖÖ MAHT]]</f>
        <v>2340</v>
      </c>
    </row>
    <row r="7" spans="1:23" x14ac:dyDescent="0.2">
      <c r="B7" t="s">
        <v>40</v>
      </c>
      <c r="C7" t="s">
        <v>18</v>
      </c>
      <c r="D7" s="14">
        <f ca="1">DATE(YEAR(TODAY())+2,7,12)</f>
        <v>44389</v>
      </c>
      <c r="E7" s="14">
        <f ca="1">DATE(YEAR(TODAY())+2,9,19)</f>
        <v>44458</v>
      </c>
      <c r="F7" s="14">
        <f ca="1">DATE(YEAR(TODAY())+6,8,7)</f>
        <v>45876</v>
      </c>
      <c r="G7" s="14">
        <f ca="1">DATE(YEAR(TODAY())+6,10,10)</f>
        <v>45940</v>
      </c>
      <c r="H7">
        <v>500</v>
      </c>
      <c r="I7">
        <v>500</v>
      </c>
      <c r="J7">
        <f ca="1">DAYS360(ProjektiÜksikasjad[[#This Row],[HINNANGULINE ALGUSAEG]],ProjektiÜksikasjad[[#This Row],[HINNANGULINE LÕPPAEG]],FALSE)</f>
        <v>67</v>
      </c>
      <c r="K7">
        <f ca="1">DAYS360(ProjektiÜksikasjad[[#This Row],[TEGELIK ALGUSAEG]],ProjektiÜksikasjad[[#This Row],[TEGELIK LÕPPAEG]],FALSE)</f>
        <v>63</v>
      </c>
      <c r="L7" s="26">
        <f>INDEX(Parameetrid[],MATCH(ProjektiÜksikasjad[[#This Row],[PROJEKTI TÜÜP]],Parameetrid[PROJEKTI TÜÜP],0),MATCH(ProjektiÜksikasjad[[#Headers],[KONTOHALDUR]],Parameetrid[#Headers],0))*INDEX('PROJEKTI PARAMEETRID'!$B$12:$H$12,1,MATCH(ProjektiÜksikasjad[[#Headers],[KONTOHALDUR]],Parameetrid[#Headers],0))*ProjektiÜksikasjad[[#This Row],[HINNANGULINE TÖÖ MAHT]]</f>
        <v>18000</v>
      </c>
      <c r="M7" s="26">
        <f>INDEX(Parameetrid[],MATCH(ProjektiÜksikasjad[[#This Row],[PROJEKTI TÜÜP]],Parameetrid[PROJEKTI TÜÜP],0),MATCH(ProjektiÜksikasjad[[#Headers],[PROJEKTIJUHT]],Parameetrid[#Headers],0))*INDEX('PROJEKTI PARAMEETRID'!$B$12:$H$12,1,MATCH(ProjektiÜksikasjad[[#Headers],[PROJEKTIJUHT]],Parameetrid[#Headers],0))*ProjektiÜksikasjad[[#This Row],[HINNANGULINE TÖÖ MAHT]]</f>
        <v>12000</v>
      </c>
      <c r="N7" s="26">
        <f>INDEX(Parameetrid[],MATCH(ProjektiÜksikasjad[[#This Row],[PROJEKTI TÜÜP]],Parameetrid[PROJEKTI TÜÜP],0),MATCH(ProjektiÜksikasjad[[#Headers],[STRATEEGIAJUHT]],Parameetrid[#Headers],0))*INDEX('PROJEKTI PARAMEETRID'!$B$12:$H$12,1,MATCH(ProjektiÜksikasjad[[#Headers],[STRATEEGIAJUHT]],Parameetrid[#Headers],0))*ProjektiÜksikasjad[[#This Row],[HINNANGULINE TÖÖ MAHT]]</f>
        <v>0</v>
      </c>
      <c r="O7" s="26">
        <f>INDEX(Parameetrid[],MATCH(ProjektiÜksikasjad[[#This Row],[PROJEKTI TÜÜP]],Parameetrid[PROJEKTI TÜÜP],0),MATCH(ProjektiÜksikasjad[[#Headers],[KUJUNDUSSPETSIALIST]],Parameetrid[#Headers],0))*INDEX('PROJEKTI PARAMEETRID'!$B$12:$H$12,1,MATCH(ProjektiÜksikasjad[[#Headers],[KUJUNDUSSPETSIALIST]],Parameetrid[#Headers],0))*ProjektiÜksikasjad[[#This Row],[HINNANGULINE TÖÖ MAHT]]</f>
        <v>25000</v>
      </c>
      <c r="P7" s="26">
        <f>INDEX(Parameetrid[],MATCH(ProjektiÜksikasjad[[#This Row],[PROJEKTI TÜÜP]],Parameetrid[PROJEKTI TÜÜP],0),MATCH(ProjektiÜksikasjad[[#Headers],[ÜRITUSE PERSONAL]],Parameetrid[#Headers],0))*INDEX('PROJEKTI PARAMEETRID'!$B$12:$H$12,1,MATCH(ProjektiÜksikasjad[[#Headers],[ÜRITUSE PERSONAL]],Parameetrid[#Headers],0))*ProjektiÜksikasjad[[#This Row],[HINNANGULINE TÖÖ MAHT]]</f>
        <v>0</v>
      </c>
      <c r="Q7" s="26">
        <f>INDEX(Parameetrid[],MATCH(ProjektiÜksikasjad[[#This Row],[PROJEKTI TÜÜP]],Parameetrid[PROJEKTI TÜÜP],0),MATCH(ProjektiÜksikasjad[[#Headers],[HALDUSPERSONAL]],Parameetrid[#Headers],0))*INDEX('PROJEKTI PARAMEETRID'!$B$12:$H$12,1,MATCH(ProjektiÜksikasjad[[#Headers],[HALDUSPERSONAL]],Parameetrid[#Headers],0))*ProjektiÜksikasjad[[#This Row],[HINNANGULINE TÖÖ MAHT]]</f>
        <v>3000</v>
      </c>
      <c r="R7" s="26">
        <f>INDEX(Parameetrid[],MATCH(ProjektiÜksikasjad[[#This Row],[PROJEKTI TÜÜP]],Parameetrid[PROJEKTI TÜÜP],0),MATCH(ProjektiÜksikasjad[[#Headers],[KONTOHALDUR]],Parameetrid[#Headers],0))*INDEX('PROJEKTI PARAMEETRID'!$B$12:$H$12,1,MATCH(ProjektiÜksikasjad[[#Headers],[KONTOHALDUR]],Parameetrid[#Headers],0))*ProjektiÜksikasjad[[#This Row],[TEGELIK TÖÖ MAHT]]</f>
        <v>18000</v>
      </c>
      <c r="S7" s="26">
        <f>INDEX(Parameetrid[],MATCH(ProjektiÜksikasjad[[#This Row],[PROJEKTI TÜÜP]],Parameetrid[PROJEKTI TÜÜP],0),MATCH(ProjektiÜksikasjad[[#Headers],[PROJEKTIJUHT]],Parameetrid[#Headers],0))*INDEX('PROJEKTI PARAMEETRID'!$B$12:$H$12,1,MATCH(ProjektiÜksikasjad[[#Headers],[PROJEKTIJUHT]],Parameetrid[#Headers],0))*ProjektiÜksikasjad[[#This Row],[TEGELIK TÖÖ MAHT]]</f>
        <v>12000</v>
      </c>
      <c r="T7" s="26">
        <f>INDEX(Parameetrid[],MATCH(ProjektiÜksikasjad[[#This Row],[PROJEKTI TÜÜP]],Parameetrid[PROJEKTI TÜÜP],0),MATCH(ProjektiÜksikasjad[[#Headers],[STRATEEGIAJUHT]],Parameetrid[#Headers],0))*INDEX('PROJEKTI PARAMEETRID'!$B$12:$H$12,1,MATCH(ProjektiÜksikasjad[[#Headers],[STRATEEGIAJUHT]],Parameetrid[#Headers],0))*ProjektiÜksikasjad[[#This Row],[TEGELIK TÖÖ MAHT]]</f>
        <v>0</v>
      </c>
      <c r="U7" s="26">
        <f>INDEX(Parameetrid[],MATCH(ProjektiÜksikasjad[[#This Row],[PROJEKTI TÜÜP]],Parameetrid[PROJEKTI TÜÜP],0),MATCH(ProjektiÜksikasjad[[#Headers],[KUJUNDUSSPETSIALIST]],Parameetrid[#Headers],0))*INDEX('PROJEKTI PARAMEETRID'!$B$12:$H$12,1,MATCH(ProjektiÜksikasjad[[#Headers],[KUJUNDUSSPETSIALIST]],Parameetrid[#Headers],0))*ProjektiÜksikasjad[[#This Row],[TEGELIK TÖÖ MAHT]]</f>
        <v>25000</v>
      </c>
      <c r="V7" s="26">
        <f>INDEX(Parameetrid[],MATCH(ProjektiÜksikasjad[[#This Row],[PROJEKTI TÜÜP]],Parameetrid[PROJEKTI TÜÜP],0),MATCH(ProjektiÜksikasjad[[#Headers],[ÜRITUSE PERSONAL]],Parameetrid[#Headers],0))*INDEX('PROJEKTI PARAMEETRID'!$B$12:$H$12,1,MATCH(ProjektiÜksikasjad[[#Headers],[ÜRITUSE PERSONAL]],Parameetrid[#Headers],0))*ProjektiÜksikasjad[[#This Row],[TEGELIK TÖÖ MAHT]]</f>
        <v>0</v>
      </c>
      <c r="W7" s="26">
        <f>INDEX(Parameetrid[],MATCH(ProjektiÜksikasjad[[#This Row],[PROJEKTI TÜÜP]],Parameetrid[PROJEKTI TÜÜP],0),MATCH(ProjektiÜksikasjad[[#Headers],[HALDUSPERSONAL]],Parameetrid[#Headers],0))*INDEX('PROJEKTI PARAMEETRID'!$B$12:$H$12,1,MATCH(ProjektiÜksikasjad[[#Headers],[HALDUSPERSONAL]],Parameetrid[#Headers],0))*ProjektiÜksikasjad[[#This Row],[TEGELIK TÖÖ MAHT]]</f>
        <v>3000</v>
      </c>
    </row>
    <row r="8" spans="1:23" x14ac:dyDescent="0.2">
      <c r="B8" t="s">
        <v>41</v>
      </c>
      <c r="C8" t="s">
        <v>19</v>
      </c>
      <c r="D8" s="14">
        <f ca="1">DATE(YEAR(TODAY())+3,7,30)</f>
        <v>44772</v>
      </c>
      <c r="E8" s="14">
        <f ca="1">DATE(YEAR(TODAY())+3,9,28)</f>
        <v>44832</v>
      </c>
      <c r="F8" s="14">
        <f ca="1">DATE(YEAR(TODAY())+3,9,14)</f>
        <v>44818</v>
      </c>
      <c r="G8" s="14">
        <f ca="1">DATE(YEAR(TODAY())+3,11,13)</f>
        <v>44878</v>
      </c>
      <c r="H8">
        <v>150</v>
      </c>
      <c r="I8">
        <v>145</v>
      </c>
      <c r="J8">
        <f ca="1">DAYS360(ProjektiÜksikasjad[[#This Row],[HINNANGULINE ALGUSAEG]],ProjektiÜksikasjad[[#This Row],[HINNANGULINE LÕPPAEG]],FALSE)</f>
        <v>58</v>
      </c>
      <c r="K8">
        <f ca="1">DAYS360(ProjektiÜksikasjad[[#This Row],[TEGELIK ALGUSAEG]],ProjektiÜksikasjad[[#This Row],[TEGELIK LÕPPAEG]],FALSE)</f>
        <v>59</v>
      </c>
      <c r="L8" s="26">
        <f>INDEX(Parameetrid[],MATCH(ProjektiÜksikasjad[[#This Row],[PROJEKTI TÜÜP]],Parameetrid[PROJEKTI TÜÜP],0),MATCH(ProjektiÜksikasjad[[#Headers],[KONTOHALDUR]],Parameetrid[#Headers],0))*INDEX('PROJEKTI PARAMEETRID'!$B$12:$H$12,1,MATCH(ProjektiÜksikasjad[[#Headers],[KONTOHALDUR]],Parameetrid[#Headers],0))*ProjektiÜksikasjad[[#This Row],[HINNANGULINE TÖÖ MAHT]]</f>
        <v>5400</v>
      </c>
      <c r="M8" s="26">
        <f>INDEX(Parameetrid[],MATCH(ProjektiÜksikasjad[[#This Row],[PROJEKTI TÜÜP]],Parameetrid[PROJEKTI TÜÜP],0),MATCH(ProjektiÜksikasjad[[#Headers],[PROJEKTIJUHT]],Parameetrid[#Headers],0))*INDEX('PROJEKTI PARAMEETRID'!$B$12:$H$12,1,MATCH(ProjektiÜksikasjad[[#Headers],[PROJEKTIJUHT]],Parameetrid[#Headers],0))*ProjektiÜksikasjad[[#This Row],[HINNANGULINE TÖÖ MAHT]]</f>
        <v>10800</v>
      </c>
      <c r="N8" s="26">
        <f>INDEX(Parameetrid[],MATCH(ProjektiÜksikasjad[[#This Row],[PROJEKTI TÜÜP]],Parameetrid[PROJEKTI TÜÜP],0),MATCH(ProjektiÜksikasjad[[#Headers],[STRATEEGIAJUHT]],Parameetrid[#Headers],0))*INDEX('PROJEKTI PARAMEETRID'!$B$12:$H$12,1,MATCH(ProjektiÜksikasjad[[#Headers],[STRATEEGIAJUHT]],Parameetrid[#Headers],0))*ProjektiÜksikasjad[[#This Row],[HINNANGULINE TÖÖ MAHT]]</f>
        <v>0</v>
      </c>
      <c r="O8" s="26">
        <f>INDEX(Parameetrid[],MATCH(ProjektiÜksikasjad[[#This Row],[PROJEKTI TÜÜP]],Parameetrid[PROJEKTI TÜÜP],0),MATCH(ProjektiÜksikasjad[[#Headers],[KUJUNDUSSPETSIALIST]],Parameetrid[#Headers],0))*INDEX('PROJEKTI PARAMEETRID'!$B$12:$H$12,1,MATCH(ProjektiÜksikasjad[[#Headers],[KUJUNDUSSPETSIALIST]],Parameetrid[#Headers],0))*ProjektiÜksikasjad[[#This Row],[HINNANGULINE TÖÖ MAHT]]</f>
        <v>0</v>
      </c>
      <c r="P8" s="26">
        <f>INDEX(Parameetrid[],MATCH(ProjektiÜksikasjad[[#This Row],[PROJEKTI TÜÜP]],Parameetrid[PROJEKTI TÜÜP],0),MATCH(ProjektiÜksikasjad[[#Headers],[ÜRITUSE PERSONAL]],Parameetrid[#Headers],0))*INDEX('PROJEKTI PARAMEETRID'!$B$12:$H$12,1,MATCH(ProjektiÜksikasjad[[#Headers],[ÜRITUSE PERSONAL]],Parameetrid[#Headers],0))*ProjektiÜksikasjad[[#This Row],[HINNANGULINE TÖÖ MAHT]]</f>
        <v>1200</v>
      </c>
      <c r="Q8" s="26">
        <f>INDEX(Parameetrid[],MATCH(ProjektiÜksikasjad[[#This Row],[PROJEKTI TÜÜP]],Parameetrid[PROJEKTI TÜÜP],0),MATCH(ProjektiÜksikasjad[[#Headers],[HALDUSPERSONAL]],Parameetrid[#Headers],0))*INDEX('PROJEKTI PARAMEETRID'!$B$12:$H$12,1,MATCH(ProjektiÜksikasjad[[#Headers],[HALDUSPERSONAL]],Parameetrid[#Headers],0))*ProjektiÜksikasjad[[#This Row],[HINNANGULINE TÖÖ MAHT]]</f>
        <v>900</v>
      </c>
      <c r="R8" s="26">
        <f>INDEX(Parameetrid[],MATCH(ProjektiÜksikasjad[[#This Row],[PROJEKTI TÜÜP]],Parameetrid[PROJEKTI TÜÜP],0),MATCH(ProjektiÜksikasjad[[#Headers],[KONTOHALDUR]],Parameetrid[#Headers],0))*INDEX('PROJEKTI PARAMEETRID'!$B$12:$H$12,1,MATCH(ProjektiÜksikasjad[[#Headers],[KONTOHALDUR]],Parameetrid[#Headers],0))*ProjektiÜksikasjad[[#This Row],[TEGELIK TÖÖ MAHT]]</f>
        <v>5220</v>
      </c>
      <c r="S8" s="26">
        <f>INDEX(Parameetrid[],MATCH(ProjektiÜksikasjad[[#This Row],[PROJEKTI TÜÜP]],Parameetrid[PROJEKTI TÜÜP],0),MATCH(ProjektiÜksikasjad[[#Headers],[PROJEKTIJUHT]],Parameetrid[#Headers],0))*INDEX('PROJEKTI PARAMEETRID'!$B$12:$H$12,1,MATCH(ProjektiÜksikasjad[[#Headers],[PROJEKTIJUHT]],Parameetrid[#Headers],0))*ProjektiÜksikasjad[[#This Row],[TEGELIK TÖÖ MAHT]]</f>
        <v>10440</v>
      </c>
      <c r="T8" s="26">
        <f>INDEX(Parameetrid[],MATCH(ProjektiÜksikasjad[[#This Row],[PROJEKTI TÜÜP]],Parameetrid[PROJEKTI TÜÜP],0),MATCH(ProjektiÜksikasjad[[#Headers],[STRATEEGIAJUHT]],Parameetrid[#Headers],0))*INDEX('PROJEKTI PARAMEETRID'!$B$12:$H$12,1,MATCH(ProjektiÜksikasjad[[#Headers],[STRATEEGIAJUHT]],Parameetrid[#Headers],0))*ProjektiÜksikasjad[[#This Row],[TEGELIK TÖÖ MAHT]]</f>
        <v>0</v>
      </c>
      <c r="U8" s="26">
        <f>INDEX(Parameetrid[],MATCH(ProjektiÜksikasjad[[#This Row],[PROJEKTI TÜÜP]],Parameetrid[PROJEKTI TÜÜP],0),MATCH(ProjektiÜksikasjad[[#Headers],[KUJUNDUSSPETSIALIST]],Parameetrid[#Headers],0))*INDEX('PROJEKTI PARAMEETRID'!$B$12:$H$12,1,MATCH(ProjektiÜksikasjad[[#Headers],[KUJUNDUSSPETSIALIST]],Parameetrid[#Headers],0))*ProjektiÜksikasjad[[#This Row],[TEGELIK TÖÖ MAHT]]</f>
        <v>0</v>
      </c>
      <c r="V8" s="26">
        <f>INDEX(Parameetrid[],MATCH(ProjektiÜksikasjad[[#This Row],[PROJEKTI TÜÜP]],Parameetrid[PROJEKTI TÜÜP],0),MATCH(ProjektiÜksikasjad[[#Headers],[ÜRITUSE PERSONAL]],Parameetrid[#Headers],0))*INDEX('PROJEKTI PARAMEETRID'!$B$12:$H$12,1,MATCH(ProjektiÜksikasjad[[#Headers],[ÜRITUSE PERSONAL]],Parameetrid[#Headers],0))*ProjektiÜksikasjad[[#This Row],[TEGELIK TÖÖ MAHT]]</f>
        <v>1160</v>
      </c>
      <c r="W8" s="26">
        <f>INDEX(Parameetrid[],MATCH(ProjektiÜksikasjad[[#This Row],[PROJEKTI TÜÜP]],Parameetrid[PROJEKTI TÜÜP],0),MATCH(ProjektiÜksikasjad[[#Headers],[HALDUSPERSONAL]],Parameetrid[#Headers],0))*INDEX('PROJEKTI PARAMEETRID'!$B$12:$H$12,1,MATCH(ProjektiÜksikasjad[[#Headers],[HALDUSPERSONAL]],Parameetrid[#Headers],0))*ProjektiÜksikasjad[[#This Row],[TEGELIK TÖÖ MAHT]]</f>
        <v>870</v>
      </c>
    </row>
    <row r="9" spans="1:23" x14ac:dyDescent="0.2">
      <c r="B9" t="s">
        <v>42</v>
      </c>
      <c r="C9" t="s">
        <v>20</v>
      </c>
      <c r="D9" s="14">
        <f ca="1">DATE(YEAR(TODAY())+4,8,11)</f>
        <v>45149</v>
      </c>
      <c r="E9" s="14">
        <f ca="1">DATE(YEAR(TODAY())+4,8,21)</f>
        <v>45159</v>
      </c>
      <c r="F9" s="14">
        <f ca="1">DATE(YEAR(TODAY())+4,9,14)</f>
        <v>45183</v>
      </c>
      <c r="G9" s="14">
        <f ca="1">DATE(YEAR(TODAY())+4,9,25)</f>
        <v>45194</v>
      </c>
      <c r="H9">
        <v>250</v>
      </c>
      <c r="I9">
        <v>255</v>
      </c>
      <c r="J9">
        <f ca="1">DAYS360(ProjektiÜksikasjad[[#This Row],[HINNANGULINE ALGUSAEG]],ProjektiÜksikasjad[[#This Row],[HINNANGULINE LÕPPAEG]],FALSE)</f>
        <v>10</v>
      </c>
      <c r="K9">
        <f ca="1">DAYS360(ProjektiÜksikasjad[[#This Row],[TEGELIK ALGUSAEG]],ProjektiÜksikasjad[[#This Row],[TEGELIK LÕPPAEG]],FALSE)</f>
        <v>11</v>
      </c>
      <c r="L9" s="26">
        <f>INDEX(Parameetrid[],MATCH(ProjektiÜksikasjad[[#This Row],[PROJEKTI TÜÜP]],Parameetrid[PROJEKTI TÜÜP],0),MATCH(ProjektiÜksikasjad[[#Headers],[KONTOHALDUR]],Parameetrid[#Headers],0))*INDEX('PROJEKTI PARAMEETRID'!$B$12:$H$12,1,MATCH(ProjektiÜksikasjad[[#Headers],[KONTOHALDUR]],Parameetrid[#Headers],0))*ProjektiÜksikasjad[[#This Row],[HINNANGULINE TÖÖ MAHT]]</f>
        <v>9000</v>
      </c>
      <c r="M9" s="26">
        <f>INDEX(Parameetrid[],MATCH(ProjektiÜksikasjad[[#This Row],[PROJEKTI TÜÜP]],Parameetrid[PROJEKTI TÜÜP],0),MATCH(ProjektiÜksikasjad[[#Headers],[PROJEKTIJUHT]],Parameetrid[#Headers],0))*INDEX('PROJEKTI PARAMEETRID'!$B$12:$H$12,1,MATCH(ProjektiÜksikasjad[[#Headers],[PROJEKTIJUHT]],Parameetrid[#Headers],0))*ProjektiÜksikasjad[[#This Row],[HINNANGULINE TÖÖ MAHT]]</f>
        <v>3000</v>
      </c>
      <c r="N9" s="26">
        <f>INDEX(Parameetrid[],MATCH(ProjektiÜksikasjad[[#This Row],[PROJEKTI TÜÜP]],Parameetrid[PROJEKTI TÜÜP],0),MATCH(ProjektiÜksikasjad[[#Headers],[STRATEEGIAJUHT]],Parameetrid[#Headers],0))*INDEX('PROJEKTI PARAMEETRID'!$B$12:$H$12,1,MATCH(ProjektiÜksikasjad[[#Headers],[STRATEEGIAJUHT]],Parameetrid[#Headers],0))*ProjektiÜksikasjad[[#This Row],[HINNANGULINE TÖÖ MAHT]]</f>
        <v>0</v>
      </c>
      <c r="O9" s="26">
        <f>INDEX(Parameetrid[],MATCH(ProjektiÜksikasjad[[#This Row],[PROJEKTI TÜÜP]],Parameetrid[PROJEKTI TÜÜP],0),MATCH(ProjektiÜksikasjad[[#Headers],[KUJUNDUSSPETSIALIST]],Parameetrid[#Headers],0))*INDEX('PROJEKTI PARAMEETRID'!$B$12:$H$12,1,MATCH(ProjektiÜksikasjad[[#Headers],[KUJUNDUSSPETSIALIST]],Parameetrid[#Headers],0))*ProjektiÜksikasjad[[#This Row],[HINNANGULINE TÖÖ MAHT]]</f>
        <v>0</v>
      </c>
      <c r="P9" s="26">
        <f>INDEX(Parameetrid[],MATCH(ProjektiÜksikasjad[[#This Row],[PROJEKTI TÜÜP]],Parameetrid[PROJEKTI TÜÜP],0),MATCH(ProjektiÜksikasjad[[#Headers],[ÜRITUSE PERSONAL]],Parameetrid[#Headers],0))*INDEX('PROJEKTI PARAMEETRID'!$B$12:$H$12,1,MATCH(ProjektiÜksikasjad[[#Headers],[ÜRITUSE PERSONAL]],Parameetrid[#Headers],0))*ProjektiÜksikasjad[[#This Row],[HINNANGULINE TÖÖ MAHT]]</f>
        <v>12000</v>
      </c>
      <c r="Q9" s="26">
        <f>INDEX(Parameetrid[],MATCH(ProjektiÜksikasjad[[#This Row],[PROJEKTI TÜÜP]],Parameetrid[PROJEKTI TÜÜP],0),MATCH(ProjektiÜksikasjad[[#Headers],[HALDUSPERSONAL]],Parameetrid[#Headers],0))*INDEX('PROJEKTI PARAMEETRID'!$B$12:$H$12,1,MATCH(ProjektiÜksikasjad[[#Headers],[HALDUSPERSONAL]],Parameetrid[#Headers],0))*ProjektiÜksikasjad[[#This Row],[HINNANGULINE TÖÖ MAHT]]</f>
        <v>1500</v>
      </c>
      <c r="R9" s="26">
        <f>INDEX(Parameetrid[],MATCH(ProjektiÜksikasjad[[#This Row],[PROJEKTI TÜÜP]],Parameetrid[PROJEKTI TÜÜP],0),MATCH(ProjektiÜksikasjad[[#Headers],[KONTOHALDUR]],Parameetrid[#Headers],0))*INDEX('PROJEKTI PARAMEETRID'!$B$12:$H$12,1,MATCH(ProjektiÜksikasjad[[#Headers],[KONTOHALDUR]],Parameetrid[#Headers],0))*ProjektiÜksikasjad[[#This Row],[TEGELIK TÖÖ MAHT]]</f>
        <v>9180</v>
      </c>
      <c r="S9" s="26">
        <f>INDEX(Parameetrid[],MATCH(ProjektiÜksikasjad[[#This Row],[PROJEKTI TÜÜP]],Parameetrid[PROJEKTI TÜÜP],0),MATCH(ProjektiÜksikasjad[[#Headers],[PROJEKTIJUHT]],Parameetrid[#Headers],0))*INDEX('PROJEKTI PARAMEETRID'!$B$12:$H$12,1,MATCH(ProjektiÜksikasjad[[#Headers],[PROJEKTIJUHT]],Parameetrid[#Headers],0))*ProjektiÜksikasjad[[#This Row],[TEGELIK TÖÖ MAHT]]</f>
        <v>3060</v>
      </c>
      <c r="T9" s="26">
        <f>INDEX(Parameetrid[],MATCH(ProjektiÜksikasjad[[#This Row],[PROJEKTI TÜÜP]],Parameetrid[PROJEKTI TÜÜP],0),MATCH(ProjektiÜksikasjad[[#Headers],[STRATEEGIAJUHT]],Parameetrid[#Headers],0))*INDEX('PROJEKTI PARAMEETRID'!$B$12:$H$12,1,MATCH(ProjektiÜksikasjad[[#Headers],[STRATEEGIAJUHT]],Parameetrid[#Headers],0))*ProjektiÜksikasjad[[#This Row],[TEGELIK TÖÖ MAHT]]</f>
        <v>0</v>
      </c>
      <c r="U9" s="26">
        <f>INDEX(Parameetrid[],MATCH(ProjektiÜksikasjad[[#This Row],[PROJEKTI TÜÜP]],Parameetrid[PROJEKTI TÜÜP],0),MATCH(ProjektiÜksikasjad[[#Headers],[KUJUNDUSSPETSIALIST]],Parameetrid[#Headers],0))*INDEX('PROJEKTI PARAMEETRID'!$B$12:$H$12,1,MATCH(ProjektiÜksikasjad[[#Headers],[KUJUNDUSSPETSIALIST]],Parameetrid[#Headers],0))*ProjektiÜksikasjad[[#This Row],[TEGELIK TÖÖ MAHT]]</f>
        <v>0</v>
      </c>
      <c r="V9" s="26">
        <f>INDEX(Parameetrid[],MATCH(ProjektiÜksikasjad[[#This Row],[PROJEKTI TÜÜP]],Parameetrid[PROJEKTI TÜÜP],0),MATCH(ProjektiÜksikasjad[[#Headers],[ÜRITUSE PERSONAL]],Parameetrid[#Headers],0))*INDEX('PROJEKTI PARAMEETRID'!$B$12:$H$12,1,MATCH(ProjektiÜksikasjad[[#Headers],[ÜRITUSE PERSONAL]],Parameetrid[#Headers],0))*ProjektiÜksikasjad[[#This Row],[TEGELIK TÖÖ MAHT]]</f>
        <v>12240</v>
      </c>
      <c r="W9" s="26">
        <f>INDEX(Parameetrid[],MATCH(ProjektiÜksikasjad[[#This Row],[PROJEKTI TÜÜP]],Parameetrid[PROJEKTI TÜÜP],0),MATCH(ProjektiÜksikasjad[[#Headers],[HALDUSPERSONAL]],Parameetrid[#Headers],0))*INDEX('PROJEKTI PARAMEETRID'!$B$12:$H$12,1,MATCH(ProjektiÜksikasjad[[#Headers],[HALDUSPERSONAL]],Parameetrid[#Headers],0))*ProjektiÜksikasjad[[#This Row],[TEGELIK TÖÖ MAHT]]</f>
        <v>1530</v>
      </c>
    </row>
    <row r="10" spans="1:23" x14ac:dyDescent="0.2">
      <c r="B10" s="1" t="s">
        <v>43</v>
      </c>
      <c r="H10" s="1">
        <f>SUBTOTAL(109,ProjektiÜksikasjad[HINNANGULINE TÖÖ MAHT])</f>
        <v>1500</v>
      </c>
      <c r="I10" s="1">
        <f>SUBTOTAL(109,ProjektiÜksikasjad[TEGELIK TÖÖ MAHT])</f>
        <v>1510</v>
      </c>
      <c r="J10" s="1">
        <f ca="1">SUBTOTAL(109,ProjektiÜksikasjad[HINNANGULINE KESTUS])</f>
        <v>225</v>
      </c>
      <c r="K10" s="1">
        <f ca="1">SUBTOTAL(109,ProjektiÜksikasjad[TEGELIK KESTUS])</f>
        <v>597</v>
      </c>
    </row>
  </sheetData>
  <dataValidations count="1">
    <dataValidation type="list" allowBlank="1" showInputMessage="1" showErrorMessage="1" sqref="C5:C9" xr:uid="{00000000-0002-0000-0100-000000000000}">
      <formula1>Projektitüüp</formula1>
    </dataValidation>
  </dataValidations>
  <printOptions horizontalCentered="1"/>
  <pageMargins left="0.4" right="0.4" top="0.4" bottom="0.4" header="0.3" footer="0.3"/>
  <pageSetup paperSize="9" fitToHeight="0" orientation="landscape" horizontalDpi="4294967293"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pageSetUpPr fitToPage="1"/>
  </sheetPr>
  <dimension ref="A1:N27"/>
  <sheetViews>
    <sheetView showGridLines="0" zoomScaleNormal="100" workbookViewId="0"/>
  </sheetViews>
  <sheetFormatPr defaultColWidth="9.140625" defaultRowHeight="14.25" x14ac:dyDescent="0.2"/>
  <cols>
    <col min="1" max="1" width="1.7109375" style="11" customWidth="1"/>
    <col min="2" max="2" width="15.7109375" style="1" bestFit="1" customWidth="1"/>
    <col min="3" max="3" width="14.85546875" style="1" bestFit="1" customWidth="1"/>
    <col min="4" max="4" width="14.140625" style="1" bestFit="1" customWidth="1"/>
    <col min="5" max="5" width="15" style="1" bestFit="1" customWidth="1"/>
    <col min="6" max="6" width="20" style="1" bestFit="1" customWidth="1"/>
    <col min="7" max="7" width="17.85546875" style="1" customWidth="1"/>
    <col min="8" max="8" width="17.28515625" style="1" customWidth="1"/>
    <col min="9" max="9" width="14.85546875" style="1" bestFit="1" customWidth="1"/>
    <col min="10" max="10" width="12.7109375" style="1" bestFit="1" customWidth="1"/>
    <col min="11" max="11" width="15.5703125" style="1" bestFit="1" customWidth="1"/>
    <col min="12" max="12" width="20" style="1" bestFit="1" customWidth="1"/>
    <col min="13" max="13" width="17.42578125" style="1" bestFit="1" customWidth="1"/>
    <col min="14" max="14" width="16.5703125" style="1" bestFit="1" customWidth="1"/>
    <col min="15" max="15" width="2.7109375" style="1" customWidth="1"/>
    <col min="16" max="16384" width="9.140625" style="1"/>
  </cols>
  <sheetData>
    <row r="1" spans="1:14" ht="35.450000000000003" customHeight="1" x14ac:dyDescent="0.35">
      <c r="A1" s="11" t="s">
        <v>58</v>
      </c>
      <c r="B1" s="2" t="str">
        <f>'PROJEKTI PARAMEETRID'!B1</f>
        <v>Ettevõtte nimi</v>
      </c>
      <c r="C1" s="2"/>
      <c r="D1" s="2"/>
      <c r="E1" s="2"/>
      <c r="F1" s="2"/>
      <c r="G1" s="2"/>
      <c r="H1" s="2"/>
      <c r="I1" s="2"/>
      <c r="J1" s="2"/>
      <c r="K1" s="2"/>
    </row>
    <row r="2" spans="1:14" ht="19.5" x14ac:dyDescent="0.25">
      <c r="A2" s="11" t="s">
        <v>7</v>
      </c>
      <c r="B2" s="3" t="s">
        <v>13</v>
      </c>
      <c r="C2" s="3"/>
      <c r="D2" s="3"/>
      <c r="E2" s="3"/>
      <c r="F2" s="3"/>
      <c r="G2" s="3"/>
      <c r="H2" s="3"/>
      <c r="I2" s="3"/>
      <c r="J2" s="3"/>
      <c r="K2" s="3"/>
    </row>
    <row r="3" spans="1:14" s="15" customFormat="1" ht="29.25" customHeight="1" x14ac:dyDescent="0.2">
      <c r="A3" s="18" t="s">
        <v>8</v>
      </c>
      <c r="B3" s="16" t="str">
        <f>'PROJEKTI PARAMEETRID'!B3</f>
        <v>Ettevõtte nimi  – konfidentsiaalne</v>
      </c>
      <c r="C3" s="16"/>
      <c r="D3" s="16"/>
      <c r="E3" s="16"/>
      <c r="F3" s="16"/>
      <c r="G3" s="16"/>
      <c r="H3" s="16"/>
      <c r="I3" s="16"/>
      <c r="J3" s="16"/>
      <c r="K3" s="16"/>
    </row>
    <row r="4" spans="1:14" s="10" customFormat="1" ht="38.25" customHeight="1" x14ac:dyDescent="0.2">
      <c r="A4" s="11" t="s">
        <v>59</v>
      </c>
      <c r="B4" s="23" t="s">
        <v>37</v>
      </c>
      <c r="C4" s="9" t="s">
        <v>60</v>
      </c>
      <c r="D4" s="9" t="s">
        <v>61</v>
      </c>
      <c r="E4" s="9" t="s">
        <v>62</v>
      </c>
      <c r="F4" s="9" t="s">
        <v>63</v>
      </c>
      <c r="G4" s="9" t="s">
        <v>64</v>
      </c>
      <c r="H4" s="9" t="s">
        <v>65</v>
      </c>
      <c r="I4" s="9" t="s">
        <v>66</v>
      </c>
      <c r="J4" s="9" t="s">
        <v>67</v>
      </c>
      <c r="K4" s="9" t="s">
        <v>69</v>
      </c>
      <c r="L4" s="9" t="s">
        <v>70</v>
      </c>
      <c r="M4" s="9" t="s">
        <v>71</v>
      </c>
      <c r="N4" s="9" t="s">
        <v>72</v>
      </c>
    </row>
    <row r="5" spans="1:14" x14ac:dyDescent="0.2">
      <c r="B5" t="s">
        <v>38</v>
      </c>
      <c r="C5" s="27">
        <v>7200</v>
      </c>
      <c r="D5" s="27">
        <v>2400</v>
      </c>
      <c r="E5" s="27">
        <v>18000</v>
      </c>
      <c r="F5" s="27">
        <v>0</v>
      </c>
      <c r="G5" s="27">
        <v>0</v>
      </c>
      <c r="H5" s="27">
        <v>1200</v>
      </c>
      <c r="I5" s="27">
        <v>7920</v>
      </c>
      <c r="J5" s="27">
        <v>2640</v>
      </c>
      <c r="K5" s="27">
        <v>19800</v>
      </c>
      <c r="L5" s="27">
        <v>0</v>
      </c>
      <c r="M5" s="27">
        <v>0</v>
      </c>
      <c r="N5" s="27">
        <v>1320</v>
      </c>
    </row>
    <row r="6" spans="1:14" x14ac:dyDescent="0.2">
      <c r="B6" t="s">
        <v>39</v>
      </c>
      <c r="C6" s="27">
        <v>14400</v>
      </c>
      <c r="D6" s="27">
        <v>24000</v>
      </c>
      <c r="E6" s="27">
        <v>6000</v>
      </c>
      <c r="F6" s="27">
        <v>4000</v>
      </c>
      <c r="G6" s="27">
        <v>0</v>
      </c>
      <c r="H6" s="27">
        <v>2400</v>
      </c>
      <c r="I6" s="27">
        <v>14040</v>
      </c>
      <c r="J6" s="27">
        <v>23400</v>
      </c>
      <c r="K6" s="27">
        <v>5850</v>
      </c>
      <c r="L6" s="27">
        <v>3900</v>
      </c>
      <c r="M6" s="27">
        <v>0</v>
      </c>
      <c r="N6" s="27">
        <v>2340</v>
      </c>
    </row>
    <row r="7" spans="1:14" x14ac:dyDescent="0.2">
      <c r="B7" t="s">
        <v>40</v>
      </c>
      <c r="C7" s="27">
        <v>18000</v>
      </c>
      <c r="D7" s="27">
        <v>12000</v>
      </c>
      <c r="E7" s="27">
        <v>0</v>
      </c>
      <c r="F7" s="27">
        <v>25000</v>
      </c>
      <c r="G7" s="27">
        <v>0</v>
      </c>
      <c r="H7" s="27">
        <v>3000</v>
      </c>
      <c r="I7" s="27">
        <v>18000</v>
      </c>
      <c r="J7" s="27">
        <v>12000</v>
      </c>
      <c r="K7" s="27">
        <v>0</v>
      </c>
      <c r="L7" s="27">
        <v>25000</v>
      </c>
      <c r="M7" s="27">
        <v>0</v>
      </c>
      <c r="N7" s="27">
        <v>3000</v>
      </c>
    </row>
    <row r="8" spans="1:14" x14ac:dyDescent="0.2">
      <c r="B8" t="s">
        <v>41</v>
      </c>
      <c r="C8" s="27">
        <v>5400</v>
      </c>
      <c r="D8" s="27">
        <v>10800</v>
      </c>
      <c r="E8" s="27">
        <v>0</v>
      </c>
      <c r="F8" s="27">
        <v>0</v>
      </c>
      <c r="G8" s="27">
        <v>1200</v>
      </c>
      <c r="H8" s="27">
        <v>900</v>
      </c>
      <c r="I8" s="27">
        <v>5220</v>
      </c>
      <c r="J8" s="27">
        <v>10440</v>
      </c>
      <c r="K8" s="27">
        <v>0</v>
      </c>
      <c r="L8" s="27">
        <v>0</v>
      </c>
      <c r="M8" s="27">
        <v>1160</v>
      </c>
      <c r="N8" s="27">
        <v>870</v>
      </c>
    </row>
    <row r="9" spans="1:14" x14ac:dyDescent="0.2">
      <c r="B9" t="s">
        <v>42</v>
      </c>
      <c r="C9" s="27">
        <v>9000</v>
      </c>
      <c r="D9" s="27">
        <v>3000</v>
      </c>
      <c r="E9" s="27">
        <v>0</v>
      </c>
      <c r="F9" s="27">
        <v>0</v>
      </c>
      <c r="G9" s="27">
        <v>12000</v>
      </c>
      <c r="H9" s="27">
        <v>1500</v>
      </c>
      <c r="I9" s="27">
        <v>9180</v>
      </c>
      <c r="J9" s="27">
        <v>3060</v>
      </c>
      <c r="K9" s="27">
        <v>0</v>
      </c>
      <c r="L9" s="27">
        <v>0</v>
      </c>
      <c r="M9" s="27">
        <v>12240</v>
      </c>
      <c r="N9" s="27">
        <v>1530</v>
      </c>
    </row>
    <row r="10" spans="1:14" x14ac:dyDescent="0.2">
      <c r="B10" t="s">
        <v>68</v>
      </c>
      <c r="C10" s="27">
        <v>54000</v>
      </c>
      <c r="D10" s="27">
        <v>52200</v>
      </c>
      <c r="E10" s="27">
        <v>24000</v>
      </c>
      <c r="F10" s="27">
        <v>29000</v>
      </c>
      <c r="G10" s="27">
        <v>13200</v>
      </c>
      <c r="H10" s="27">
        <v>9000</v>
      </c>
      <c r="I10" s="27">
        <v>54360</v>
      </c>
      <c r="J10" s="27">
        <v>51540</v>
      </c>
      <c r="K10" s="27">
        <v>25650</v>
      </c>
      <c r="L10" s="27">
        <v>28900</v>
      </c>
      <c r="M10" s="27">
        <v>13400</v>
      </c>
      <c r="N10" s="27">
        <v>9060</v>
      </c>
    </row>
    <row r="11" spans="1:14" x14ac:dyDescent="0.2">
      <c r="B11"/>
      <c r="C11"/>
      <c r="D11"/>
      <c r="E11"/>
      <c r="F11"/>
      <c r="G11"/>
      <c r="H11"/>
      <c r="I11"/>
      <c r="J11"/>
      <c r="K11"/>
      <c r="L11"/>
      <c r="M11"/>
      <c r="N11"/>
    </row>
    <row r="12" spans="1:14" x14ac:dyDescent="0.2">
      <c r="B12"/>
      <c r="C12"/>
      <c r="D12"/>
      <c r="E12"/>
      <c r="F12"/>
      <c r="G12"/>
      <c r="H12"/>
      <c r="I12"/>
      <c r="J12"/>
      <c r="K12"/>
      <c r="L12"/>
      <c r="M12"/>
      <c r="N12"/>
    </row>
    <row r="13" spans="1:14" x14ac:dyDescent="0.2">
      <c r="B13"/>
      <c r="C13"/>
      <c r="D13"/>
      <c r="E13"/>
      <c r="F13"/>
      <c r="G13"/>
      <c r="H13"/>
      <c r="I13"/>
      <c r="J13"/>
      <c r="K13"/>
      <c r="L13"/>
      <c r="M13"/>
      <c r="N13"/>
    </row>
    <row r="14" spans="1:14" x14ac:dyDescent="0.2">
      <c r="B14"/>
      <c r="C14"/>
      <c r="D14"/>
      <c r="E14"/>
      <c r="F14"/>
      <c r="G14"/>
      <c r="H14"/>
      <c r="I14"/>
      <c r="J14"/>
      <c r="K14"/>
      <c r="L14"/>
      <c r="M14"/>
      <c r="N14"/>
    </row>
    <row r="15" spans="1:14" x14ac:dyDescent="0.2">
      <c r="B15"/>
      <c r="C15"/>
      <c r="D15"/>
      <c r="E15"/>
      <c r="F15"/>
      <c r="G15"/>
      <c r="H15"/>
      <c r="I15"/>
      <c r="J15"/>
      <c r="K15"/>
      <c r="L15"/>
      <c r="M15"/>
      <c r="N15"/>
    </row>
    <row r="16" spans="1:14" x14ac:dyDescent="0.2">
      <c r="B16"/>
      <c r="C16"/>
      <c r="D16"/>
      <c r="E16"/>
      <c r="F16"/>
      <c r="G16"/>
      <c r="H16"/>
      <c r="I16"/>
      <c r="J16"/>
      <c r="K16"/>
      <c r="L16"/>
      <c r="M16"/>
      <c r="N16"/>
    </row>
    <row r="17" spans="2:14" x14ac:dyDescent="0.2">
      <c r="B17"/>
      <c r="C17"/>
      <c r="D17"/>
      <c r="E17"/>
      <c r="F17"/>
      <c r="G17"/>
      <c r="H17"/>
      <c r="I17"/>
      <c r="J17"/>
      <c r="K17"/>
      <c r="L17"/>
      <c r="M17"/>
      <c r="N17"/>
    </row>
    <row r="18" spans="2:14" x14ac:dyDescent="0.2">
      <c r="B18"/>
      <c r="C18"/>
      <c r="D18"/>
      <c r="E18"/>
      <c r="F18"/>
      <c r="G18"/>
      <c r="H18"/>
      <c r="I18"/>
      <c r="J18"/>
      <c r="K18"/>
      <c r="L18"/>
      <c r="M18"/>
      <c r="N18"/>
    </row>
    <row r="19" spans="2:14" x14ac:dyDescent="0.2">
      <c r="B19"/>
      <c r="C19"/>
      <c r="D19"/>
      <c r="E19"/>
      <c r="F19"/>
      <c r="G19"/>
      <c r="H19"/>
      <c r="I19"/>
      <c r="J19"/>
      <c r="K19"/>
      <c r="L19"/>
      <c r="M19"/>
      <c r="N19"/>
    </row>
    <row r="20" spans="2:14" x14ac:dyDescent="0.2">
      <c r="B20"/>
      <c r="C20"/>
      <c r="D20"/>
      <c r="E20"/>
      <c r="F20"/>
      <c r="G20"/>
      <c r="H20"/>
      <c r="I20"/>
      <c r="J20"/>
      <c r="K20"/>
      <c r="L20"/>
      <c r="M20"/>
      <c r="N20"/>
    </row>
    <row r="21" spans="2:14" x14ac:dyDescent="0.2">
      <c r="B21"/>
      <c r="C21"/>
      <c r="D21"/>
      <c r="E21"/>
      <c r="F21"/>
      <c r="G21"/>
      <c r="H21"/>
      <c r="I21"/>
      <c r="J21"/>
      <c r="K21"/>
      <c r="L21"/>
      <c r="M21"/>
      <c r="N21"/>
    </row>
    <row r="22" spans="2:14" x14ac:dyDescent="0.2">
      <c r="B22"/>
      <c r="C22"/>
      <c r="D22"/>
      <c r="E22"/>
      <c r="F22"/>
      <c r="G22"/>
      <c r="H22"/>
      <c r="I22"/>
      <c r="J22"/>
      <c r="K22"/>
      <c r="L22"/>
      <c r="M22"/>
      <c r="N22"/>
    </row>
    <row r="23" spans="2:14" x14ac:dyDescent="0.2">
      <c r="B23"/>
      <c r="C23"/>
      <c r="D23"/>
      <c r="E23"/>
      <c r="F23"/>
      <c r="G23"/>
      <c r="H23"/>
      <c r="I23"/>
      <c r="J23"/>
      <c r="K23"/>
      <c r="L23"/>
      <c r="M23"/>
      <c r="N23"/>
    </row>
    <row r="24" spans="2:14" x14ac:dyDescent="0.2">
      <c r="B24"/>
      <c r="C24"/>
      <c r="D24"/>
      <c r="E24"/>
      <c r="F24"/>
      <c r="G24"/>
      <c r="H24"/>
      <c r="I24"/>
      <c r="J24"/>
      <c r="K24"/>
      <c r="L24"/>
      <c r="M24"/>
      <c r="N24"/>
    </row>
    <row r="25" spans="2:14" x14ac:dyDescent="0.2">
      <c r="B25"/>
      <c r="C25"/>
      <c r="D25"/>
      <c r="E25"/>
      <c r="F25"/>
      <c r="G25"/>
      <c r="H25"/>
      <c r="I25"/>
      <c r="J25"/>
      <c r="K25"/>
      <c r="L25"/>
      <c r="M25"/>
      <c r="N25"/>
    </row>
    <row r="26" spans="2:14" x14ac:dyDescent="0.2">
      <c r="B26"/>
      <c r="C26"/>
      <c r="D26"/>
      <c r="E26"/>
      <c r="F26"/>
      <c r="G26"/>
      <c r="H26"/>
      <c r="I26"/>
      <c r="J26"/>
      <c r="K26"/>
      <c r="L26"/>
      <c r="M26"/>
      <c r="N26"/>
    </row>
    <row r="27" spans="2:14" x14ac:dyDescent="0.2">
      <c r="B27"/>
      <c r="C27"/>
      <c r="D27"/>
      <c r="E27"/>
      <c r="F27"/>
      <c r="G27"/>
      <c r="H27"/>
      <c r="I27"/>
      <c r="J27"/>
      <c r="K27"/>
      <c r="L27"/>
      <c r="M27"/>
      <c r="N27"/>
    </row>
  </sheetData>
  <printOptions horizontalCentered="1"/>
  <pageMargins left="0.4" right="0.4" top="0.4" bottom="0.4" header="0.3" footer="0.3"/>
  <pageSetup paperSize="9" scale="90" fitToHeight="0" orientation="landscape" horizontalDpi="4294967293" verticalDpi="4294967295" r:id="rId2"/>
  <headerFooter differentFirst="1">
    <oddFooter>Page &amp;P of &amp;N</oddFooter>
  </headerFooter>
  <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Töölehed</vt:lpstr>
      </vt:variant>
      <vt:variant>
        <vt:i4>4</vt:i4>
      </vt:variant>
      <vt:variant>
        <vt:lpstr>Nimega vahemikud</vt:lpstr>
      </vt:variant>
      <vt:variant>
        <vt:i4>3</vt:i4>
      </vt:variant>
    </vt:vector>
  </HeadingPairs>
  <TitlesOfParts>
    <vt:vector size="7" baseType="lpstr">
      <vt:lpstr>ALGUS</vt:lpstr>
      <vt:lpstr>PROJEKTI PARAMEETRID</vt:lpstr>
      <vt:lpstr>PROJEKTI ÜKSIKASJAD</vt:lpstr>
      <vt:lpstr>PROJEKTI KOKKUVÕTTED</vt:lpstr>
      <vt:lpstr>'PROJEKTI KOKKUVÕTTED'!Prinditiitlid</vt:lpstr>
      <vt:lpstr>'PROJEKTI ÜKSIKASJAD'!Prinditiitlid</vt:lpstr>
      <vt:lpstr>Projektitüüp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2018-05-24T11:34:13Z</dcterms:created>
  <dcterms:modified xsi:type="dcterms:W3CDTF">2019-02-18T06:49:43Z</dcterms:modified>
</cp:coreProperties>
</file>

<file path=docProps/custom.xml><?xml version="1.0" encoding="utf-8"?>
<Properties xmlns="http://schemas.openxmlformats.org/officeDocument/2006/custom-properties" xmlns:vt="http://schemas.openxmlformats.org/officeDocument/2006/docPropsVTypes"/>
</file>