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9"/>
  <workbookPr filterPrivacy="1" codeName="ThisWorkbook"/>
  <xr:revisionPtr revIDLastSave="0" documentId="13_ncr:20001_{76DDBF56-C9F4-4D6B-9B95-E8C290537AF4}" xr6:coauthVersionLast="43" xr6:coauthVersionMax="43" xr10:uidLastSave="{00000000-0000-0000-0000-000000000000}"/>
  <bookViews>
    <workbookView xWindow="-120" yWindow="-120" windowWidth="28830" windowHeight="16140" xr2:uid="{00000000-000D-0000-FFFF-FFFF00000000}"/>
  </bookViews>
  <sheets>
    <sheet name="Trouwbudget" sheetId="1" r:id="rId1"/>
    <sheet name="Kosten" sheetId="2" r:id="rId2"/>
    <sheet name="Berekeningen" sheetId="5" state="hidden" r:id="rId3"/>
  </sheets>
  <definedNames>
    <definedName name="Bloemen_gereed">Kosten!$E$97</definedName>
    <definedName name="Bloemen_totaal_geschat">Bloemen[[#Totals],[Geschat]]</definedName>
    <definedName name="Bloemen_totaal_werkelijk">Bloemen[[#Totals],[Werkelijk]]</definedName>
    <definedName name="Cadeaus_gereed">Kosten!$E$109</definedName>
    <definedName name="Cadeaus_totaal_geschat">Cadeaus[[#Totals],[Geschat]]</definedName>
    <definedName name="Cadeaus_totaal_werkelijk">Cadeaus[[#Totals],[Werkelijk]]</definedName>
    <definedName name="Drukwerk_briefpapier_totaal_geschat">Drukwerk[[#Totals],[Geschat]]</definedName>
    <definedName name="Drukwerk_briefpapier_totaal_werkelijk">Drukwerk[[#Totals],[Werkelijk]]</definedName>
    <definedName name="Druwerk_gereed">Kosten!$E$61</definedName>
    <definedName name="Fotografie_gereed">Kosten!$E$72</definedName>
    <definedName name="Fotografie_totaal_geschat">Fotografie[[#Totals],[Geschat]]</definedName>
    <definedName name="Fotografie_totaal_werkelijk">Fotografie[[#Totals],[Werkelijk]]</definedName>
    <definedName name="Kleding_gereed">Kosten!$E$20</definedName>
    <definedName name="Kleding_totaal_geschat">Kleding[[#Totals],[Geschatte]]</definedName>
    <definedName name="Kleding_totaal_werkelijk">Kleding[[#Totals],[Werkelijk]]</definedName>
    <definedName name="Muziek_entertainment_totaal_geschat">Muziek[[#Totals],[Geschat]]</definedName>
    <definedName name="Muziek_entertainment_totaal_werkelijk">Muziek[[#Totals],[Werkelijk]]</definedName>
    <definedName name="Muziek_gereed">Kosten!$E$45</definedName>
    <definedName name="Overig_gereed">Kosten!$E$136</definedName>
    <definedName name="Overige_uitgaven_totaal_geschat">OverigeUitgaven[[#Totals],[Geschat]]</definedName>
    <definedName name="Overige_uitgaven_totaal_werkelijk">OverigeUitgaven[[#Totals],[Werkelijk]]</definedName>
    <definedName name="Receptie_gereed">Kosten!$E$36</definedName>
    <definedName name="Receptie_totaal_geschat">Receptie[[#Totals],[Geschat]]</definedName>
    <definedName name="Receptie_totaal_werkelijk">Receptie[[#Totals],[Werkelijk]]</definedName>
    <definedName name="Reiskosten_vervoer_totaal_geschat">Reiskosten[[#Totals],[Geschat]]</definedName>
    <definedName name="Reiskosten_vervoer_totaal_werkelijk">Reiskosten[[#Totals],[Werkelijk]]</definedName>
    <definedName name="Versiering_gereed">Kosten!$E$85</definedName>
    <definedName name="Versiering_totaal_geschat">Versieringen[[#Totals],[Geschat]]</definedName>
    <definedName name="Versiering_totaal_werkelijk">Versieringen[[#Totals],[Werkelijk]]</definedName>
    <definedName name="Vervoer_gereed">Kosten!$E$119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6" i="2" l="1"/>
  <c r="D119" i="2"/>
  <c r="D109" i="2"/>
  <c r="D97" i="2"/>
  <c r="D85" i="2"/>
  <c r="D72" i="2"/>
  <c r="D61" i="2"/>
  <c r="D45" i="2"/>
  <c r="D36" i="2"/>
  <c r="D20" i="2"/>
  <c r="F17" i="1" l="1"/>
  <c r="F16" i="1"/>
  <c r="F15" i="1"/>
  <c r="F14" i="1"/>
  <c r="F13" i="1"/>
  <c r="F12" i="1"/>
  <c r="F11" i="1"/>
  <c r="F9" i="1"/>
  <c r="F10" i="1"/>
  <c r="F8" i="1"/>
  <c r="E77" i="2"/>
  <c r="E78" i="2"/>
  <c r="E79" i="2"/>
  <c r="E80" i="2"/>
  <c r="E81" i="2"/>
  <c r="C82" i="2"/>
  <c r="C8" i="5" s="1"/>
  <c r="D82" i="2"/>
  <c r="D8" i="5" s="1"/>
  <c r="E90" i="2"/>
  <c r="E91" i="2"/>
  <c r="E92" i="2"/>
  <c r="E93" i="2"/>
  <c r="E94" i="2"/>
  <c r="C95" i="2"/>
  <c r="C9" i="5" s="1"/>
  <c r="D95" i="2"/>
  <c r="D9" i="5" s="1"/>
  <c r="H9" i="5" s="1"/>
  <c r="E102" i="2"/>
  <c r="E103" i="2"/>
  <c r="E104" i="2"/>
  <c r="E105" i="2"/>
  <c r="E106" i="2"/>
  <c r="C107" i="2"/>
  <c r="C10" i="5"/>
  <c r="D107" i="2"/>
  <c r="D10" i="5" s="1"/>
  <c r="E114" i="2"/>
  <c r="E115" i="2"/>
  <c r="E116" i="2"/>
  <c r="C117" i="2"/>
  <c r="C11" i="5"/>
  <c r="D117" i="2"/>
  <c r="D11" i="5"/>
  <c r="E124" i="2"/>
  <c r="E125" i="2"/>
  <c r="E134" i="2" s="1"/>
  <c r="E126" i="2"/>
  <c r="E127" i="2"/>
  <c r="E128" i="2"/>
  <c r="E129" i="2"/>
  <c r="E130" i="2"/>
  <c r="E131" i="2"/>
  <c r="E132" i="2"/>
  <c r="E133" i="2"/>
  <c r="C134" i="2"/>
  <c r="C12" i="5"/>
  <c r="D134" i="2"/>
  <c r="D12" i="5"/>
  <c r="H12" i="5" s="1"/>
  <c r="E107" i="2"/>
  <c r="D17" i="1"/>
  <c r="C17" i="1"/>
  <c r="D16" i="1"/>
  <c r="C16" i="1"/>
  <c r="C15" i="1"/>
  <c r="C14" i="1"/>
  <c r="D70" i="2"/>
  <c r="D12" i="1" s="1"/>
  <c r="C70" i="2"/>
  <c r="D59" i="2"/>
  <c r="D6" i="5" s="1"/>
  <c r="C59" i="2"/>
  <c r="D43" i="2"/>
  <c r="D5" i="5" s="1"/>
  <c r="C43" i="2"/>
  <c r="D33" i="2"/>
  <c r="D4" i="5" s="1"/>
  <c r="H4" i="5" s="1"/>
  <c r="C33" i="2"/>
  <c r="D18" i="2"/>
  <c r="D8" i="1" s="1"/>
  <c r="C18" i="2"/>
  <c r="C3" i="5" s="1"/>
  <c r="E17" i="2"/>
  <c r="C12" i="1"/>
  <c r="E12" i="1" s="1"/>
  <c r="C7" i="5"/>
  <c r="D3" i="5"/>
  <c r="D7" i="5"/>
  <c r="C9" i="1"/>
  <c r="E9" i="1" s="1"/>
  <c r="C4" i="5"/>
  <c r="C8" i="1"/>
  <c r="D9" i="1"/>
  <c r="C10" i="1"/>
  <c r="E10" i="1" s="1"/>
  <c r="C5" i="5"/>
  <c r="C11" i="1"/>
  <c r="C6" i="5"/>
  <c r="D11" i="1"/>
  <c r="D10" i="1"/>
  <c r="E69" i="2"/>
  <c r="E68" i="2"/>
  <c r="E67" i="2"/>
  <c r="E66" i="2"/>
  <c r="E58" i="2"/>
  <c r="E57" i="2"/>
  <c r="E56" i="2"/>
  <c r="E55" i="2"/>
  <c r="E54" i="2"/>
  <c r="E53" i="2"/>
  <c r="E52" i="2"/>
  <c r="E51" i="2"/>
  <c r="E50" i="2"/>
  <c r="E59" i="2" s="1"/>
  <c r="E42" i="2"/>
  <c r="E41" i="2"/>
  <c r="E32" i="2"/>
  <c r="E31" i="2"/>
  <c r="E30" i="2"/>
  <c r="E29" i="2"/>
  <c r="E28" i="2"/>
  <c r="E27" i="2"/>
  <c r="E26" i="2"/>
  <c r="E25" i="2"/>
  <c r="E15" i="2"/>
  <c r="E16" i="2"/>
  <c r="E14" i="2"/>
  <c r="E13" i="2"/>
  <c r="E11" i="2"/>
  <c r="E10" i="2"/>
  <c r="E9" i="2"/>
  <c r="E8" i="2"/>
  <c r="E7" i="2"/>
  <c r="E12" i="2"/>
  <c r="E6" i="2"/>
  <c r="E5" i="2"/>
  <c r="E43" i="2"/>
  <c r="B5" i="1"/>
  <c r="E16" i="1" l="1"/>
  <c r="E17" i="1"/>
  <c r="E11" i="1"/>
  <c r="E8" i="1"/>
  <c r="E117" i="2"/>
  <c r="H8" i="5"/>
  <c r="C13" i="1"/>
  <c r="C18" i="1" s="1"/>
  <c r="D14" i="1"/>
  <c r="E14" i="1" s="1"/>
  <c r="H6" i="5"/>
  <c r="H5" i="5"/>
  <c r="H11" i="5"/>
  <c r="E82" i="2"/>
  <c r="E18" i="2"/>
  <c r="E33" i="2"/>
  <c r="E70" i="2"/>
  <c r="H7" i="5"/>
  <c r="E95" i="2"/>
  <c r="H10" i="5"/>
  <c r="D13" i="5"/>
  <c r="H3" i="5"/>
  <c r="C13" i="5"/>
  <c r="D13" i="1"/>
  <c r="D15" i="1"/>
  <c r="E15" i="1" s="1"/>
  <c r="D18" i="1" l="1"/>
  <c r="E13" i="1"/>
  <c r="E18" i="1" s="1"/>
  <c r="F3" i="5"/>
  <c r="E3" i="5" s="1"/>
  <c r="G3" i="5" s="1"/>
  <c r="F10" i="5"/>
  <c r="E10" i="5" s="1"/>
  <c r="G10" i="5" s="1"/>
  <c r="F5" i="5"/>
  <c r="E5" i="5" s="1"/>
  <c r="G5" i="5" s="1"/>
  <c r="F11" i="5"/>
  <c r="E11" i="5" s="1"/>
  <c r="G11" i="5" s="1"/>
  <c r="F7" i="5"/>
  <c r="E7" i="5" s="1"/>
  <c r="G7" i="5" s="1"/>
  <c r="F9" i="5"/>
  <c r="E9" i="5" s="1"/>
  <c r="G9" i="5" s="1"/>
  <c r="F12" i="5"/>
  <c r="E12" i="5" s="1"/>
  <c r="G12" i="5" s="1"/>
  <c r="F8" i="5"/>
  <c r="E8" i="5" s="1"/>
  <c r="G8" i="5" s="1"/>
  <c r="F4" i="5"/>
  <c r="E4" i="5" s="1"/>
  <c r="G4" i="5" s="1"/>
  <c r="F13" i="5"/>
  <c r="F6" i="5"/>
  <c r="E6" i="5" s="1"/>
  <c r="G6" i="5" s="1"/>
</calcChain>
</file>

<file path=xl/sharedStrings.xml><?xml version="1.0" encoding="utf-8"?>
<sst xmlns="http://schemas.openxmlformats.org/spreadsheetml/2006/main" count="174" uniqueCount="108">
  <si>
    <t>Trouwdatum:</t>
  </si>
  <si>
    <t>Categorie</t>
  </si>
  <si>
    <t>Kleding</t>
  </si>
  <si>
    <t>Receptie</t>
  </si>
  <si>
    <t>Muziek</t>
  </si>
  <si>
    <t>Drukwerk</t>
  </si>
  <si>
    <t>Fotografie</t>
  </si>
  <si>
    <t>Versieringen</t>
  </si>
  <si>
    <t>Bloemen</t>
  </si>
  <si>
    <t>Cadeaus</t>
  </si>
  <si>
    <t>Reiskosten</t>
  </si>
  <si>
    <t>Anders</t>
  </si>
  <si>
    <t>Totale onkosten</t>
  </si>
  <si>
    <t>Deze cel bevat een tabel met het percentage van elke uitgavencategorie.</t>
  </si>
  <si>
    <t>Geschatte</t>
  </si>
  <si>
    <t>Werkelijk</t>
  </si>
  <si>
    <t>Over/onder</t>
  </si>
  <si>
    <t>Gereed</t>
  </si>
  <si>
    <t xml:space="preserve"> </t>
  </si>
  <si>
    <t>Verlovingsring(en)</t>
  </si>
  <si>
    <t>Partner 1 ring</t>
  </si>
  <si>
    <t>Partner 1 jurk/smoking</t>
  </si>
  <si>
    <t>Partner 1 sluier/hoofddeksel</t>
  </si>
  <si>
    <t>Partner 1 schoenen</t>
  </si>
  <si>
    <t>Partner 1 sieraden</t>
  </si>
  <si>
    <t>Partner 1 kousen</t>
  </si>
  <si>
    <t>Partner 2 ring</t>
  </si>
  <si>
    <t>Partner 2 jurk/smoking</t>
  </si>
  <si>
    <t>Partner 2 sluier/hoofddeksel</t>
  </si>
  <si>
    <t>Partner 2 schoenen</t>
  </si>
  <si>
    <t>Partner 2 sieraden</t>
  </si>
  <si>
    <t>Partner 2 kousen</t>
  </si>
  <si>
    <t>Totaal kleding</t>
  </si>
  <si>
    <t>Receptie*</t>
  </si>
  <si>
    <t>Kosten kamer/zaal</t>
  </si>
  <si>
    <t>Tafels en stoelen</t>
  </si>
  <si>
    <t>Eten</t>
  </si>
  <si>
    <t>Drinken</t>
  </si>
  <si>
    <t>Linnengoed</t>
  </si>
  <si>
    <t>Taart</t>
  </si>
  <si>
    <t>Aandenkens</t>
  </si>
  <si>
    <t>Personeel en fooien</t>
  </si>
  <si>
    <t>Totaal receptie</t>
  </si>
  <si>
    <t>* Exclusief entertainment en versieringen</t>
  </si>
  <si>
    <t>Muziek/entertainment</t>
  </si>
  <si>
    <t>Muzikanten voor ceremonie</t>
  </si>
  <si>
    <t>Band/DJ voor receptie</t>
  </si>
  <si>
    <t>Totaal muziek/entertainment</t>
  </si>
  <si>
    <t>Drukwerk/briefpapier</t>
  </si>
  <si>
    <t>Uitnodigingen</t>
  </si>
  <si>
    <t>Aankondigingen</t>
  </si>
  <si>
    <t>Bedankkaarten</t>
  </si>
  <si>
    <t>Persoonlijk briefpapier</t>
  </si>
  <si>
    <t>Gastenboek</t>
  </si>
  <si>
    <t>Programma's</t>
  </si>
  <si>
    <t>Receptieservetten</t>
  </si>
  <si>
    <t>Lucifersboekjes</t>
  </si>
  <si>
    <t>Kalligrafie</t>
  </si>
  <si>
    <t>Totaal drukwerk/briefpapier</t>
  </si>
  <si>
    <t>Formele foto's</t>
  </si>
  <si>
    <t>Extra afdrukken</t>
  </si>
  <si>
    <t>Fotoalbums</t>
  </si>
  <si>
    <t>Video-opnamen</t>
  </si>
  <si>
    <t>Totaal fotografie</t>
  </si>
  <si>
    <t>Versieringen*</t>
  </si>
  <si>
    <t>Stoelstrikken</t>
  </si>
  <si>
    <t>Tafelversieringen</t>
  </si>
  <si>
    <t>Kaarsen</t>
  </si>
  <si>
    <t>Verlichting</t>
  </si>
  <si>
    <t>Ballonnen</t>
  </si>
  <si>
    <t>Totaal versieringen</t>
  </si>
  <si>
    <t>*Exclusief bloemen</t>
  </si>
  <si>
    <t>Boeketten</t>
  </si>
  <si>
    <t>Boutonnières</t>
  </si>
  <si>
    <t>Corsages</t>
  </si>
  <si>
    <t>Ceremonie</t>
  </si>
  <si>
    <t>Totaal bloemen</t>
  </si>
  <si>
    <t>Gevolg</t>
  </si>
  <si>
    <t>Partner 1</t>
  </si>
  <si>
    <t>Partner 2</t>
  </si>
  <si>
    <t>Ouders</t>
  </si>
  <si>
    <t>Sprekers/andere deelnemers</t>
  </si>
  <si>
    <t>Totaal cadeaus</t>
  </si>
  <si>
    <t>Reis-/vervoerskosten</t>
  </si>
  <si>
    <t>Limousines/trolleybussen</t>
  </si>
  <si>
    <t>Parkeren</t>
  </si>
  <si>
    <t>Taxi's</t>
  </si>
  <si>
    <t>Totaal reis-/vervoerskosten</t>
  </si>
  <si>
    <t>Overige uitgaven</t>
  </si>
  <si>
    <t>Officiant</t>
  </si>
  <si>
    <t>Kosten kerk/ceremonielocatie</t>
  </si>
  <si>
    <t>Bruiloftscoördinator</t>
  </si>
  <si>
    <t>Repetitiediner</t>
  </si>
  <si>
    <t>Verlovingsfeest</t>
  </si>
  <si>
    <t>Showers</t>
  </si>
  <si>
    <t>Schoonheidssalon</t>
  </si>
  <si>
    <t>Vrijgezellenfeesten</t>
  </si>
  <si>
    <t>Brunch</t>
  </si>
  <si>
    <t>Hotelkamers</t>
  </si>
  <si>
    <t>Totaal overige uitgaven</t>
  </si>
  <si>
    <t>Geschat</t>
  </si>
  <si>
    <t>Nee</t>
  </si>
  <si>
    <t>Ja</t>
  </si>
  <si>
    <t>CATEGORIE</t>
  </si>
  <si>
    <t>Overig</t>
  </si>
  <si>
    <t>Max</t>
  </si>
  <si>
    <t>GESCHAT</t>
  </si>
  <si>
    <t>BOVEN/ONDER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</si>
</sst>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8" formatCode="[$-413]d\ mmmm\ yyyy;@"/>
    <numFmt numFmtId="170" formatCode="#,##0.00_ ;\-#,##0.00\ "/>
  </numFmts>
  <fonts count="26" x14ac:knownFonts="1">
    <font>
      <sz val="10"/>
      <name val="Constantia"/>
      <family val="2"/>
      <scheme val="minor"/>
    </font>
    <font>
      <sz val="8"/>
      <name val="Arial"/>
      <family val="2"/>
    </font>
    <font>
      <b/>
      <sz val="10"/>
      <color theme="3"/>
      <name val="Constantia"/>
      <family val="2"/>
      <scheme val="minor"/>
    </font>
    <font>
      <sz val="10"/>
      <color theme="1"/>
      <name val="Constantia"/>
      <family val="2"/>
      <scheme val="minor"/>
    </font>
    <font>
      <b/>
      <sz val="10"/>
      <color theme="0"/>
      <name val="Constantia"/>
      <family val="1"/>
      <scheme val="minor"/>
    </font>
    <font>
      <b/>
      <sz val="10"/>
      <color theme="0"/>
      <name val="Constantia"/>
      <family val="2"/>
      <scheme val="minor"/>
    </font>
    <font>
      <i/>
      <sz val="10"/>
      <color theme="1" tint="0.24994659260841701"/>
      <name val="Constantia"/>
      <family val="2"/>
      <scheme val="major"/>
    </font>
    <font>
      <sz val="26"/>
      <color theme="3"/>
      <name val="Constantia"/>
      <family val="2"/>
      <scheme val="major"/>
    </font>
    <font>
      <sz val="10"/>
      <color theme="4" tint="0.79998168889431442"/>
      <name val="Constantia"/>
      <family val="2"/>
      <scheme val="minor"/>
    </font>
    <font>
      <sz val="10"/>
      <color theme="0"/>
      <name val="Constantia"/>
      <family val="2"/>
      <scheme val="minor"/>
    </font>
    <font>
      <sz val="11"/>
      <color theme="0"/>
      <name val="Calibri"/>
      <family val="2"/>
    </font>
    <font>
      <b/>
      <sz val="11.5"/>
      <color theme="0"/>
      <name val="Constantia"/>
      <family val="2"/>
      <scheme val="minor"/>
    </font>
    <font>
      <b/>
      <sz val="9"/>
      <color theme="0"/>
      <name val="Constantia"/>
      <family val="2"/>
      <scheme val="minor"/>
    </font>
    <font>
      <sz val="10"/>
      <name val="Constantia"/>
      <family val="1"/>
      <charset val="238"/>
      <scheme val="minor"/>
    </font>
    <font>
      <b/>
      <sz val="10"/>
      <name val="Constantia"/>
      <family val="1"/>
      <charset val="238"/>
      <scheme val="minor"/>
    </font>
    <font>
      <i/>
      <sz val="10"/>
      <color theme="1" tint="0.24994659260841701"/>
      <name val="Constantia"/>
      <family val="1"/>
      <charset val="238"/>
      <scheme val="major"/>
    </font>
    <font>
      <b/>
      <sz val="11.5"/>
      <color theme="7" tint="-0.499984740745262"/>
      <name val="Constantia"/>
      <family val="2"/>
      <scheme val="minor"/>
    </font>
    <font>
      <b/>
      <sz val="12"/>
      <color theme="7" tint="-0.499984740745262"/>
      <name val="Constantia"/>
      <family val="2"/>
      <scheme val="minor"/>
    </font>
    <font>
      <b/>
      <i/>
      <sz val="10"/>
      <name val="Constantia"/>
      <family val="2"/>
      <scheme val="minor"/>
    </font>
    <font>
      <i/>
      <sz val="10"/>
      <name val="Constantia"/>
      <family val="2"/>
      <scheme val="minor"/>
    </font>
    <font>
      <b/>
      <sz val="10"/>
      <color theme="0"/>
      <name val="Constantia"/>
      <family val="1"/>
      <charset val="238"/>
      <scheme val="minor"/>
    </font>
    <font>
      <b/>
      <sz val="12"/>
      <color theme="3"/>
      <name val="Constantia"/>
      <family val="2"/>
      <scheme val="minor"/>
    </font>
    <font>
      <b/>
      <sz val="10"/>
      <color theme="3"/>
      <name val="Constantia"/>
      <family val="1"/>
      <charset val="238"/>
      <scheme val="minor"/>
    </font>
    <font>
      <sz val="12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sz val="10"/>
      <name val="Constantia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/>
      <bottom style="thin">
        <color theme="3"/>
      </bottom>
      <diagonal/>
    </border>
  </borders>
  <cellStyleXfs count="8">
    <xf numFmtId="0" fontId="0" fillId="0" borderId="0"/>
    <xf numFmtId="0" fontId="21" fillId="6" borderId="2" applyNumberFormat="0" applyProtection="0">
      <alignment horizontal="center" vertical="center"/>
    </xf>
    <xf numFmtId="0" fontId="2" fillId="5" borderId="0" applyNumberFormat="0" applyBorder="0" applyProtection="0">
      <alignment vertical="center"/>
    </xf>
    <xf numFmtId="0" fontId="16" fillId="0" borderId="1" applyNumberFormat="0" applyProtection="0">
      <alignment horizontal="center" vertical="center"/>
    </xf>
    <xf numFmtId="0" fontId="6" fillId="0" borderId="0" applyNumberFormat="0" applyFill="0" applyBorder="0" applyAlignment="0" applyProtection="0"/>
    <xf numFmtId="0" fontId="2" fillId="4" borderId="0" applyNumberFormat="0" applyAlignment="0" applyProtection="0"/>
    <xf numFmtId="4" fontId="3" fillId="3" borderId="0" applyBorder="0" applyProtection="0">
      <alignment horizontal="right"/>
    </xf>
    <xf numFmtId="0" fontId="7" fillId="0" borderId="0" applyNumberFormat="0" applyFill="0" applyBorder="0" applyProtection="0">
      <alignment vertical="center"/>
    </xf>
  </cellStyleXfs>
  <cellXfs count="6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39" fontId="0" fillId="0" borderId="0" xfId="0" applyNumberFormat="1" applyFont="1" applyAlignment="1"/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4" fontId="0" fillId="0" borderId="0" xfId="6" applyFont="1" applyFill="1" applyBorder="1" applyAlignment="1">
      <alignment horizontal="right" vertical="center" indent="1"/>
    </xf>
    <xf numFmtId="0" fontId="17" fillId="0" borderId="0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4" fontId="19" fillId="0" borderId="0" xfId="6" applyNumberFormat="1" applyFont="1" applyFill="1" applyBorder="1" applyAlignment="1">
      <alignment horizontal="right" vertical="center" indent="1"/>
    </xf>
    <xf numFmtId="0" fontId="0" fillId="0" borderId="0" xfId="0" applyBorder="1"/>
    <xf numFmtId="0" fontId="14" fillId="0" borderId="0" xfId="1" applyNumberFormat="1" applyFont="1" applyFill="1" applyBorder="1" applyAlignment="1">
      <alignment vertical="center"/>
    </xf>
    <xf numFmtId="0" fontId="8" fillId="0" borderId="0" xfId="0" applyFont="1" applyFill="1" applyAlignment="1"/>
    <xf numFmtId="0" fontId="0" fillId="0" borderId="0" xfId="0" applyNumberFormat="1"/>
    <xf numFmtId="0" fontId="0" fillId="7" borderId="0" xfId="0" applyFill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13" fillId="0" borderId="0" xfId="0" applyNumberFormat="1" applyFont="1" applyAlignment="1">
      <alignment vertical="center"/>
    </xf>
    <xf numFmtId="0" fontId="0" fillId="7" borderId="0" xfId="0" applyFill="1" applyAlignment="1">
      <alignment horizontal="center" vertical="center"/>
    </xf>
    <xf numFmtId="0" fontId="15" fillId="0" borderId="0" xfId="4" applyFont="1" applyAlignment="1">
      <alignment horizontal="left" vertical="center"/>
    </xf>
    <xf numFmtId="0" fontId="15" fillId="0" borderId="0" xfId="4" applyFont="1" applyAlignment="1">
      <alignment vertical="center"/>
    </xf>
    <xf numFmtId="0" fontId="20" fillId="0" borderId="0" xfId="1" applyNumberFormat="1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13" fillId="0" borderId="0" xfId="0" applyNumberFormat="1" applyFont="1" applyAlignment="1">
      <alignment horizontal="left" vertical="center" indent="1"/>
    </xf>
    <xf numFmtId="0" fontId="17" fillId="0" borderId="0" xfId="3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NumberFormat="1" applyFont="1" applyFill="1" applyBorder="1" applyAlignment="1">
      <alignment horizontal="left" vertical="center" wrapText="1" indent="1"/>
    </xf>
    <xf numFmtId="0" fontId="15" fillId="0" borderId="0" xfId="4" applyFont="1" applyAlignment="1">
      <alignment horizontal="left" vertical="center" indent="1"/>
    </xf>
    <xf numFmtId="0" fontId="13" fillId="0" borderId="0" xfId="0" applyFont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 indent="1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right" vertical="center" indent="1"/>
    </xf>
    <xf numFmtId="0" fontId="11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12" fillId="0" borderId="0" xfId="0" applyNumberFormat="1" applyFont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wrapText="1"/>
    </xf>
    <xf numFmtId="0" fontId="5" fillId="2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0" borderId="0" xfId="1" applyNumberFormat="1" applyFont="1" applyFill="1" applyBorder="1">
      <alignment horizontal="center" vertical="center"/>
    </xf>
    <xf numFmtId="4" fontId="0" fillId="0" borderId="0" xfId="0" applyNumberFormat="1" applyFont="1" applyFill="1" applyBorder="1" applyAlignment="1">
      <alignment horizontal="right" vertical="center" indent="1"/>
    </xf>
    <xf numFmtId="4" fontId="13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Alignment="1">
      <alignment horizontal="right" vertical="center" indent="1"/>
    </xf>
    <xf numFmtId="4" fontId="13" fillId="0" borderId="0" xfId="0" applyNumberFormat="1" applyFont="1" applyAlignment="1">
      <alignment horizontal="right" vertical="center" indent="1"/>
    </xf>
    <xf numFmtId="0" fontId="13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Border="1" applyAlignment="1">
      <alignment horizontal="left" vertical="center" wrapText="1" indent="1"/>
    </xf>
    <xf numFmtId="4" fontId="13" fillId="0" borderId="0" xfId="0" applyNumberFormat="1" applyFont="1" applyBorder="1" applyAlignment="1">
      <alignment horizontal="right" vertical="center" indent="1"/>
    </xf>
    <xf numFmtId="0" fontId="23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21" fillId="6" borderId="2" xfId="1" applyAlignment="1">
      <alignment horizontal="center" vertical="center"/>
    </xf>
    <xf numFmtId="168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left" vertical="center" indent="1"/>
    </xf>
    <xf numFmtId="170" fontId="25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/>
    <xf numFmtId="0" fontId="8" fillId="0" borderId="0" xfId="0" applyNumberFormat="1" applyFont="1" applyFill="1" applyAlignment="1"/>
    <xf numFmtId="0" fontId="0" fillId="0" borderId="0" xfId="0" applyNumberFormat="1" applyFont="1"/>
    <xf numFmtId="0" fontId="0" fillId="0" borderId="0" xfId="0" applyNumberFormat="1" applyFont="1" applyFill="1"/>
    <xf numFmtId="0" fontId="0" fillId="0" borderId="0" xfId="0" applyNumberFormat="1" applyFont="1" applyFill="1" applyAlignment="1"/>
    <xf numFmtId="0" fontId="7" fillId="0" borderId="0" xfId="7" applyNumberFormat="1" applyFill="1">
      <alignment vertical="center"/>
    </xf>
  </cellXfs>
  <cellStyles count="8">
    <cellStyle name="20% - Accent1" xfId="6" builtinId="30" customBuiltin="1"/>
    <cellStyle name="Kop 1" xfId="1" builtinId="16" customBuiltin="1"/>
    <cellStyle name="Kop 2" xfId="2" builtinId="17" customBuiltin="1"/>
    <cellStyle name="Kop 3" xfId="3" builtinId="18" customBuiltin="1"/>
    <cellStyle name="Standaard" xfId="0" builtinId="0" customBuiltin="1"/>
    <cellStyle name="Titel" xfId="7" builtinId="15" customBuiltin="1"/>
    <cellStyle name="Totaal" xfId="5" builtinId="25" customBuiltin="1"/>
    <cellStyle name="Verklarende tekst" xfId="4" builtinId="53" customBuiltin="1"/>
  </cellStyles>
  <dxfs count="130"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70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5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indent="1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onstantia"/>
        <scheme val="minor"/>
      </font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/>
          <bgColor theme="4" tint="0.79998168889431442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i/>
      </font>
    </dxf>
    <dxf>
      <font>
        <b/>
        <i val="0"/>
        <color theme="3"/>
      </font>
      <fill>
        <patternFill patternType="solid">
          <fgColor theme="7"/>
          <bgColor theme="0"/>
        </patternFill>
      </fill>
      <border>
        <top style="double">
          <color theme="3"/>
        </top>
      </border>
    </dxf>
    <dxf>
      <font>
        <b/>
        <i val="0"/>
        <color theme="0"/>
      </font>
      <fill>
        <patternFill patternType="solid">
          <fgColor theme="7"/>
          <bgColor theme="3" tint="-0.24994659260841701"/>
        </patternFill>
      </fill>
      <border>
        <bottom style="thin">
          <color theme="0"/>
        </bottom>
      </border>
    </dxf>
    <dxf>
      <font>
        <b val="0"/>
        <i/>
        <color theme="1"/>
      </font>
      <fill>
        <patternFill patternType="solid">
          <fgColor theme="7" tint="0.79995117038483843"/>
          <bgColor theme="5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rouwbudget" pivot="0" count="7" xr9:uid="{00000000-0011-0000-FFFF-FFFF00000000}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firstColumnStripe" dxfId="1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CCFF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3"/>
          <c:order val="3"/>
          <c:tx>
            <c:strRef>
              <c:f>Berekeningen!$D$2</c:f>
              <c:strCache>
                <c:ptCount val="1"/>
                <c:pt idx="0">
                  <c:v>Werkelijk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Berekeningen!$B$3:$B$12</c:f>
              <c:strCache>
                <c:ptCount val="10"/>
                <c:pt idx="0">
                  <c:v>Kleding</c:v>
                </c:pt>
                <c:pt idx="1">
                  <c:v>Receptie</c:v>
                </c:pt>
                <c:pt idx="2">
                  <c:v>Muziek</c:v>
                </c:pt>
                <c:pt idx="3">
                  <c:v>Drukwerk</c:v>
                </c:pt>
                <c:pt idx="4">
                  <c:v>Fotografie</c:v>
                </c:pt>
                <c:pt idx="5">
                  <c:v>Versieringen</c:v>
                </c:pt>
                <c:pt idx="6">
                  <c:v>Bloemen</c:v>
                </c:pt>
                <c:pt idx="7">
                  <c:v>Cadeaus</c:v>
                </c:pt>
                <c:pt idx="8">
                  <c:v>Reiskosten</c:v>
                </c:pt>
                <c:pt idx="9">
                  <c:v>Overig</c:v>
                </c:pt>
              </c:strCache>
            </c:strRef>
          </c:cat>
          <c:val>
            <c:numRef>
              <c:f>Berekeningen!$D$3:$D$12</c:f>
              <c:numCache>
                <c:formatCode>#,##0.00</c:formatCode>
                <c:ptCount val="10"/>
                <c:pt idx="0">
                  <c:v>9770</c:v>
                </c:pt>
                <c:pt idx="1">
                  <c:v>928</c:v>
                </c:pt>
                <c:pt idx="2">
                  <c:v>500</c:v>
                </c:pt>
                <c:pt idx="3">
                  <c:v>870</c:v>
                </c:pt>
                <c:pt idx="4">
                  <c:v>1575</c:v>
                </c:pt>
                <c:pt idx="5">
                  <c:v>720</c:v>
                </c:pt>
                <c:pt idx="6">
                  <c:v>850</c:v>
                </c:pt>
                <c:pt idx="7">
                  <c:v>1075</c:v>
                </c:pt>
                <c:pt idx="8">
                  <c:v>165</c:v>
                </c:pt>
                <c:pt idx="9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005952"/>
        <c:axId val="1174253408"/>
      </c:barChar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Berekeningen!$B$3:$B$12</c:f>
              <c:strCache>
                <c:ptCount val="10"/>
                <c:pt idx="0">
                  <c:v>Kleding</c:v>
                </c:pt>
                <c:pt idx="1">
                  <c:v>Receptie</c:v>
                </c:pt>
                <c:pt idx="2">
                  <c:v>Muziek</c:v>
                </c:pt>
                <c:pt idx="3">
                  <c:v>Drukwerk</c:v>
                </c:pt>
                <c:pt idx="4">
                  <c:v>Fotografie</c:v>
                </c:pt>
                <c:pt idx="5">
                  <c:v>Versieringen</c:v>
                </c:pt>
                <c:pt idx="6">
                  <c:v>Bloemen</c:v>
                </c:pt>
                <c:pt idx="7">
                  <c:v>Cadeaus</c:v>
                </c:pt>
                <c:pt idx="8">
                  <c:v>Reiskosten</c:v>
                </c:pt>
                <c:pt idx="9">
                  <c:v>Overig</c:v>
                </c:pt>
              </c:strCache>
            </c:strRef>
          </c:cat>
          <c:val>
            <c:numRef>
              <c:f>Berekeningen!$E$3:$E$12</c:f>
              <c:numCache>
                <c:formatCode>#,##0.00</c:formatCode>
                <c:ptCount val="10"/>
                <c:pt idx="0">
                  <c:v>9480</c:v>
                </c:pt>
                <c:pt idx="1">
                  <c:v>1040</c:v>
                </c:pt>
                <c:pt idx="2">
                  <c:v>590</c:v>
                </c:pt>
                <c:pt idx="3">
                  <c:v>925</c:v>
                </c:pt>
                <c:pt idx="4">
                  <c:v>1615</c:v>
                </c:pt>
                <c:pt idx="5">
                  <c:v>690</c:v>
                </c:pt>
                <c:pt idx="6">
                  <c:v>890</c:v>
                </c:pt>
                <c:pt idx="7">
                  <c:v>1335</c:v>
                </c:pt>
                <c:pt idx="8">
                  <c:v>90</c:v>
                </c:pt>
                <c:pt idx="9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1-4B60-9582-3A1E6695B5AC}"/>
            </c:ext>
          </c:extLst>
        </c:ser>
        <c:ser>
          <c:idx val="1"/>
          <c:order val="1"/>
          <c:tx>
            <c:v>Geschatte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Berekeningen!$B$3:$B$12</c:f>
              <c:strCache>
                <c:ptCount val="10"/>
                <c:pt idx="0">
                  <c:v>Kleding</c:v>
                </c:pt>
                <c:pt idx="1">
                  <c:v>Receptie</c:v>
                </c:pt>
                <c:pt idx="2">
                  <c:v>Muziek</c:v>
                </c:pt>
                <c:pt idx="3">
                  <c:v>Drukwerk</c:v>
                </c:pt>
                <c:pt idx="4">
                  <c:v>Fotografie</c:v>
                </c:pt>
                <c:pt idx="5">
                  <c:v>Versieringen</c:v>
                </c:pt>
                <c:pt idx="6">
                  <c:v>Bloemen</c:v>
                </c:pt>
                <c:pt idx="7">
                  <c:v>Cadeaus</c:v>
                </c:pt>
                <c:pt idx="8">
                  <c:v>Reiskosten</c:v>
                </c:pt>
                <c:pt idx="9">
                  <c:v>Overig</c:v>
                </c:pt>
              </c:strCache>
            </c:strRef>
          </c:cat>
          <c:val>
            <c:numRef>
              <c:f>Berekeningen!$F$3:$F$12</c:f>
              <c:numCache>
                <c:formatCode>#,##0.00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1-4B60-9582-3A1E6695B5AC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cat>
            <c:strRef>
              <c:f>Berekeningen!$B$3:$B$12</c:f>
              <c:strCache>
                <c:ptCount val="10"/>
                <c:pt idx="0">
                  <c:v>Kleding</c:v>
                </c:pt>
                <c:pt idx="1">
                  <c:v>Receptie</c:v>
                </c:pt>
                <c:pt idx="2">
                  <c:v>Muziek</c:v>
                </c:pt>
                <c:pt idx="3">
                  <c:v>Drukwerk</c:v>
                </c:pt>
                <c:pt idx="4">
                  <c:v>Fotografie</c:v>
                </c:pt>
                <c:pt idx="5">
                  <c:v>Versieringen</c:v>
                </c:pt>
                <c:pt idx="6">
                  <c:v>Bloemen</c:v>
                </c:pt>
                <c:pt idx="7">
                  <c:v>Cadeaus</c:v>
                </c:pt>
                <c:pt idx="8">
                  <c:v>Reiskosten</c:v>
                </c:pt>
                <c:pt idx="9">
                  <c:v>Overig</c:v>
                </c:pt>
              </c:strCache>
            </c:strRef>
          </c:cat>
          <c:val>
            <c:numRef>
              <c:f>Berekeningen!$G$3:$G$12</c:f>
              <c:numCache>
                <c:formatCode>General</c:formatCode>
                <c:ptCount val="10"/>
                <c:pt idx="0">
                  <c:v>290</c:v>
                </c:pt>
                <c:pt idx="1">
                  <c:v>8730</c:v>
                </c:pt>
                <c:pt idx="2">
                  <c:v>9180</c:v>
                </c:pt>
                <c:pt idx="3">
                  <c:v>8845</c:v>
                </c:pt>
                <c:pt idx="4">
                  <c:v>8155</c:v>
                </c:pt>
                <c:pt idx="5">
                  <c:v>9080</c:v>
                </c:pt>
                <c:pt idx="6">
                  <c:v>8880</c:v>
                </c:pt>
                <c:pt idx="7">
                  <c:v>8435</c:v>
                </c:pt>
                <c:pt idx="8">
                  <c:v>9680</c:v>
                </c:pt>
                <c:pt idx="9">
                  <c:v>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39856368"/>
        <c:axId val="1235772416"/>
      </c:barChart>
      <c:catAx>
        <c:axId val="1230005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1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74253408"/>
        <c:crosses val="autoZero"/>
        <c:auto val="1"/>
        <c:lblAlgn val="ctr"/>
        <c:lblOffset val="100"/>
        <c:noMultiLvlLbl val="0"/>
      </c:catAx>
      <c:valAx>
        <c:axId val="1174253408"/>
        <c:scaling>
          <c:orientation val="minMax"/>
        </c:scaling>
        <c:delete val="1"/>
        <c:axPos val="t"/>
        <c:numFmt formatCode="#,##0.00" sourceLinked="1"/>
        <c:majorTickMark val="out"/>
        <c:minorTickMark val="none"/>
        <c:tickLblPos val="nextTo"/>
        <c:crossAx val="1230005952"/>
        <c:crosses val="autoZero"/>
        <c:crossBetween val="between"/>
      </c:valAx>
      <c:valAx>
        <c:axId val="123577241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139856368"/>
        <c:crosses val="max"/>
        <c:crossBetween val="between"/>
      </c:valAx>
      <c:catAx>
        <c:axId val="113985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2357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7632608798151751E-2"/>
          <c:y val="4.2677822393049673E-2"/>
          <c:w val="0.22475238499379194"/>
          <c:h val="7.091338582677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1885</xdr:rowOff>
    </xdr:to>
    <xdr:pic>
      <xdr:nvPicPr>
        <xdr:cNvPr id="9" name="Afbeelding 8" descr="Banner&#10;">
          <a:extLst>
            <a:ext uri="{FF2B5EF4-FFF2-40B4-BE49-F238E27FC236}">
              <a16:creationId xmlns:a16="http://schemas.microsoft.com/office/drawing/2014/main" id="{1190C872-9181-4511-B4A3-D0AFBCA26C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114300"/>
          <a:ext cx="6362700" cy="1383010"/>
        </a:xfrm>
        <a:prstGeom prst="rect">
          <a:avLst/>
        </a:prstGeom>
      </xdr:spPr>
    </xdr:pic>
    <xdr:clientData/>
  </xdr:twoCellAnchor>
  <xdr:twoCellAnchor>
    <xdr:from>
      <xdr:col>0</xdr:col>
      <xdr:colOff>112938</xdr:colOff>
      <xdr:row>1</xdr:row>
      <xdr:rowOff>0</xdr:rowOff>
    </xdr:from>
    <xdr:to>
      <xdr:col>6</xdr:col>
      <xdr:colOff>0</xdr:colOff>
      <xdr:row>1</xdr:row>
      <xdr:rowOff>1371600</xdr:rowOff>
    </xdr:to>
    <xdr:sp macro="" textlink="">
      <xdr:nvSpPr>
        <xdr:cNvPr id="5" name="Tekstvak 4" descr="Titel">
          <a:extLst>
            <a:ext uri="{FF2B5EF4-FFF2-40B4-BE49-F238E27FC236}">
              <a16:creationId xmlns:a16="http://schemas.microsoft.com/office/drawing/2014/main" id="{DF77FDA2-37DF-4640-A8B7-F4619EDDBD9D}"/>
            </a:ext>
          </a:extLst>
        </xdr:cNvPr>
        <xdr:cNvSpPr txBox="1"/>
      </xdr:nvSpPr>
      <xdr:spPr>
        <a:xfrm>
          <a:off x="112938" y="114300"/>
          <a:ext cx="6364062" cy="1371600"/>
        </a:xfrm>
        <a:prstGeom prst="rect">
          <a:avLst/>
        </a:prstGeom>
        <a:noFill/>
        <a:ln w="9525" cmpd="sng">
          <a:noFill/>
        </a:ln>
        <a:effectLst>
          <a:outerShdw blurRad="50800" dist="38100" dir="5400000" algn="t" rotWithShape="0">
            <a:prstClr val="black">
              <a:alpha val="9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nl" sz="3200" b="1" i="0">
              <a:solidFill>
                <a:schemeClr val="bg1"/>
              </a:solidFill>
              <a:latin typeface="Constantia" panose="02030602050306030303" pitchFamily="18" charset="0"/>
            </a:rPr>
            <a:t>Overzicht trouwbudget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35</xdr:row>
      <xdr:rowOff>0</xdr:rowOff>
    </xdr:to>
    <xdr:graphicFrame macro="">
      <xdr:nvGraphicFramePr>
        <xdr:cNvPr id="7" name="Grafiek 6" descr="grafiek trouwbudget">
          <a:extLst>
            <a:ext uri="{FF2B5EF4-FFF2-40B4-BE49-F238E27FC236}">
              <a16:creationId xmlns:a16="http://schemas.microsoft.com/office/drawing/2014/main" id="{2D2E2CFF-5EE1-4D3E-AAEC-7D4D93A4D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BudgetSummary" displayName="Budgetoverzicht" ref="B7:F18" totalsRowCount="1" headerRowDxfId="122">
  <tableColumns count="5">
    <tableColumn id="1" xr3:uid="{00000000-0010-0000-0000-000001000000}" name="Categorie" totalsRowLabel="Totale onkosten" dataDxfId="121" totalsRowDxfId="120"/>
    <tableColumn id="2" xr3:uid="{00000000-0010-0000-0000-000002000000}" name="Geschatte" totalsRowFunction="sum" totalsRowDxfId="10"/>
    <tableColumn id="3" xr3:uid="{00000000-0010-0000-0000-000003000000}" name="Werkelijk" totalsRowFunction="sum" totalsRowDxfId="9"/>
    <tableColumn id="4" xr3:uid="{00000000-0010-0000-0000-000004000000}" name="Over/onder" totalsRowFunction="sum" totalsRowDxfId="8"/>
    <tableColumn id="5" xr3:uid="{00000000-0010-0000-0000-000005000000}" name="Gereed" dataDxfId="119" totalsRowDxfId="118" dataCellStyle="20% - Accent1">
      <calculatedColumnFormula>Receptie_gereed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Categorie, geschatte en werkelijke kosten en bedragen onder en boven het budget met een balk worden automatisch bijgewerkt in deze tabel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Reiskosten" displayName="Reiskosten" ref="B113:E117" totalsRowCount="1" headerRowDxfId="36" dataDxfId="35" totalsRowDxfId="34">
  <autoFilter ref="B113:E116" xr:uid="{00000000-0009-0000-0100-000014000000}"/>
  <tableColumns count="4">
    <tableColumn id="1" xr3:uid="{00000000-0010-0000-0900-000001000000}" name="Categorie" totalsRowLabel="Totaal reis-/vervoerskosten" dataDxfId="33" totalsRowDxfId="32"/>
    <tableColumn id="2" xr3:uid="{00000000-0010-0000-0900-000002000000}" name="Geschat" totalsRowFunction="sum" dataDxfId="31" totalsRowDxfId="30"/>
    <tableColumn id="3" xr3:uid="{00000000-0010-0000-0900-000003000000}" name="Werkelijk" totalsRowFunction="sum" dataDxfId="29" totalsRowDxfId="28"/>
    <tableColumn id="4" xr3:uid="{00000000-0010-0000-0900-000004000000}" name="Over/onder" totalsRowFunction="sum" dataDxfId="27" totalsRowDxfId="26">
      <calculatedColumnFormula>Kosten!$C114-Kosten!$D114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Voer in deze tabel het categorie-item en de geschatte en werkelijke reis- en vervoerskosten in. Het bedrag over/onder het budget en het totaal worden automatisch berekend, en het pictogram wordt bijgewerkt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OverigeUitgaven" displayName="OverigeUitgaven" ref="B123:E134" totalsRowCount="1" headerRowDxfId="25" dataDxfId="24" totalsRowDxfId="23">
  <autoFilter ref="B123:E133" xr:uid="{00000000-0009-0000-0100-000015000000}"/>
  <tableColumns count="4">
    <tableColumn id="1" xr3:uid="{00000000-0010-0000-0A00-000001000000}" name="Categorie" totalsRowLabel="Totaal overige uitgaven" dataDxfId="22" totalsRowDxfId="21"/>
    <tableColumn id="2" xr3:uid="{00000000-0010-0000-0A00-000002000000}" name="Geschat" totalsRowFunction="sum" dataDxfId="20" totalsRowDxfId="19"/>
    <tableColumn id="3" xr3:uid="{00000000-0010-0000-0A00-000003000000}" name="Werkelijk" totalsRowFunction="sum" dataDxfId="18" totalsRowDxfId="17"/>
    <tableColumn id="4" xr3:uid="{00000000-0010-0000-0A00-000004000000}" name="Over/onder" totalsRowFunction="sum" dataDxfId="16" totalsRowDxfId="15">
      <calculatedColumnFormula>Kosten!$C124-Kosten!$D124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Voer in deze tabel het categorie-item en de geschatte en werkelijke overige kosten in. Het bedrag over/onder het budget en het totaal worden automatisch berekend, en het pictogram wordt bijgewer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Kleding" displayName="Kleding" ref="B4:E18" totalsRowCount="1">
  <autoFilter ref="B4:E17" xr:uid="{00000000-0009-0000-0100-00000C000000}"/>
  <tableColumns count="4">
    <tableColumn id="1" xr3:uid="{00000000-0010-0000-0100-000001000000}" name="Categorie" totalsRowLabel="Totaal kleding" dataDxfId="117" totalsRowDxfId="14"/>
    <tableColumn id="2" xr3:uid="{00000000-0010-0000-0100-000002000000}" name="Geschatte" totalsRowFunction="sum" dataDxfId="116" totalsRowDxfId="13"/>
    <tableColumn id="3" xr3:uid="{00000000-0010-0000-0100-000003000000}" name="Werkelijk" totalsRowFunction="sum" dataDxfId="115" totalsRowDxfId="12"/>
    <tableColumn id="4" xr3:uid="{00000000-0010-0000-0100-000004000000}" name="Over/onder" totalsRowFunction="sum" dataDxfId="114" totalsRowDxfId="11">
      <calculatedColumnFormula>Kosten!$C5-Kosten!$D5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Voer in deze tabel het categorie-item en de geschatte en werkelijke kosten voor kleding in. Het bedrag over/onder het budget en het totaal worden automatisch berekend, en het pictogram wordt bijgewerk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Receptie" displayName="Receptie" ref="B24:E33" totalsRowCount="1" headerRowDxfId="113" dataDxfId="112" totalsRowDxfId="111">
  <autoFilter ref="B24:E32" xr:uid="{00000000-0009-0000-0100-00000D000000}"/>
  <tableColumns count="4">
    <tableColumn id="1" xr3:uid="{00000000-0010-0000-0200-000001000000}" name="Categorie" totalsRowLabel="Totaal receptie" dataDxfId="110" totalsRowDxfId="109"/>
    <tableColumn id="2" xr3:uid="{00000000-0010-0000-0200-000002000000}" name="Geschat" totalsRowFunction="sum" dataDxfId="108" totalsRowDxfId="107"/>
    <tableColumn id="3" xr3:uid="{00000000-0010-0000-0200-000003000000}" name="Werkelijk" totalsRowFunction="sum" dataDxfId="106" totalsRowDxfId="105"/>
    <tableColumn id="4" xr3:uid="{00000000-0010-0000-0200-000004000000}" name="Over/onder" totalsRowFunction="sum" dataDxfId="104" totalsRowDxfId="103">
      <calculatedColumnFormula>Kosten!$C25-Kosten!$D25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Voer in deze tabel het categorie-item en de geschatte en werkelijke receptiekosten in (exclusief entertainment en versieringen). Het bedrag over/onder het budget en het totaal worden automatisch berekend, en het pictogram wordt bijgewerk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Muziek" displayName="Muziek" ref="B40:E43" totalsRowCount="1" headerRowDxfId="102" dataDxfId="101" totalsRowDxfId="100">
  <autoFilter ref="B40:E42" xr:uid="{00000000-0009-0000-0100-00000E000000}"/>
  <tableColumns count="4">
    <tableColumn id="1" xr3:uid="{00000000-0010-0000-0300-000001000000}" name="Categorie" totalsRowLabel="Totaal muziek/entertainment" dataDxfId="99" totalsRowDxfId="98"/>
    <tableColumn id="2" xr3:uid="{00000000-0010-0000-0300-000002000000}" name="Geschat" totalsRowFunction="sum" dataDxfId="97" totalsRowDxfId="96"/>
    <tableColumn id="3" xr3:uid="{00000000-0010-0000-0300-000003000000}" name="Werkelijk" totalsRowFunction="sum" dataDxfId="95" totalsRowDxfId="94"/>
    <tableColumn id="4" xr3:uid="{00000000-0010-0000-0300-000004000000}" name="Over/onder" totalsRowFunction="sum" dataDxfId="93" totalsRowDxfId="92">
      <calculatedColumnFormula>Kosten!$C41-Kosten!$D41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Voer in deze tabel het categorie-item en de geschatte en werkelijke kosten voor muziek en entertainment in. Het bedrag over/onder het budget en het totaal worden automatisch berekend, en het pictogram wordt bijgewerk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Drukwerk" displayName="Drukwerk" ref="B49:E59" totalsRowCount="1" headerRowDxfId="91" dataDxfId="90" totalsRowDxfId="89">
  <autoFilter ref="B49:E58" xr:uid="{00000000-0009-0000-0100-00000F000000}"/>
  <tableColumns count="4">
    <tableColumn id="1" xr3:uid="{00000000-0010-0000-0400-000001000000}" name="Categorie" totalsRowLabel="Totaal drukwerk/briefpapier" dataDxfId="88" totalsRowDxfId="87"/>
    <tableColumn id="2" xr3:uid="{00000000-0010-0000-0400-000002000000}" name="Geschat" totalsRowFunction="sum" dataDxfId="86" totalsRowDxfId="85"/>
    <tableColumn id="3" xr3:uid="{00000000-0010-0000-0400-000003000000}" name="Werkelijk" totalsRowFunction="sum" dataDxfId="84" totalsRowDxfId="83"/>
    <tableColumn id="4" xr3:uid="{00000000-0010-0000-0400-000004000000}" name="Over/onder" totalsRowFunction="sum" dataDxfId="82" totalsRowDxfId="81">
      <calculatedColumnFormula>Kosten!$C50-Kosten!$D50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Voer in deze tabel het categorie-item en de geschatte en werkelijke kosten voor drukwerk en briefpapier in. Het bedrag over/onder het budget en het totaal worden automatisch berekend, en het pictogram wordt bijgewerk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Fotografie" displayName="Fotografie" ref="B65:E70" totalsRowCount="1" headerRowDxfId="80" dataDxfId="79" totalsRowDxfId="78">
  <autoFilter ref="B65:E69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ie" totalsRowLabel="Totaal fotografie" dataDxfId="77" totalsRowDxfId="76"/>
    <tableColumn id="2" xr3:uid="{00000000-0010-0000-0500-000002000000}" name="Geschat" totalsRowFunction="sum" dataDxfId="75" totalsRowDxfId="74"/>
    <tableColumn id="3" xr3:uid="{00000000-0010-0000-0500-000003000000}" name="Werkelijk" totalsRowFunction="sum" dataDxfId="73" totalsRowDxfId="72"/>
    <tableColumn id="4" xr3:uid="{00000000-0010-0000-0500-000004000000}" name="Over/onder" totalsRowFunction="sum" dataDxfId="71" totalsRowDxfId="70">
      <calculatedColumnFormula>Kosten!$C66-Kosten!$D66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Voer in deze tabel het categorie-item en de geschatte en werkelijke kosten voor fotografie in. Het bedrag over/onder het budget en het totaal worden automatisch berekend, en het pictogram wordt bijgewerkt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Versieringen" displayName="Versieringen" ref="B76:E82" totalsRowCount="1" headerRowDxfId="69" dataDxfId="68" totalsRowDxfId="67">
  <autoFilter ref="B76:E81" xr:uid="{00000000-0009-0000-0100-000011000000}"/>
  <tableColumns count="4">
    <tableColumn id="1" xr3:uid="{00000000-0010-0000-0600-000001000000}" name="Categorie" totalsRowLabel="Totaal versieringen" dataDxfId="66" totalsRowDxfId="65"/>
    <tableColumn id="2" xr3:uid="{00000000-0010-0000-0600-000002000000}" name="Geschat" totalsRowFunction="sum" dataDxfId="64" totalsRowDxfId="63"/>
    <tableColumn id="3" xr3:uid="{00000000-0010-0000-0600-000003000000}" name="Werkelijk" totalsRowFunction="sum" dataDxfId="62" totalsRowDxfId="61"/>
    <tableColumn id="4" xr3:uid="{00000000-0010-0000-0600-000004000000}" name="Over/onder" totalsRowFunction="sum" dataDxfId="60" totalsRowDxfId="59">
      <calculatedColumnFormula>Kosten!$C77-Kosten!$D77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Voer in deze tabel het categorie-item en de geschatte en werkelijke kosten voor versieringen in (exclusief bloemen). Het bedrag over/onder het budget en het totaal worden automatisch berekend, en het pictogram wordt bijgewerkt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Bloemen" displayName="Bloemen" ref="B89:E95" totalsRowCount="1" headerRowDxfId="58" dataDxfId="57" totalsRowDxfId="56">
  <autoFilter ref="B89:E94" xr:uid="{00000000-0009-0000-0100-000012000000}"/>
  <tableColumns count="4">
    <tableColumn id="1" xr3:uid="{00000000-0010-0000-0700-000001000000}" name="Categorie" totalsRowLabel="Totaal bloemen" dataDxfId="55" totalsRowDxfId="54"/>
    <tableColumn id="2" xr3:uid="{00000000-0010-0000-0700-000002000000}" name="Geschat" totalsRowFunction="sum" dataDxfId="53" totalsRowDxfId="52"/>
    <tableColumn id="3" xr3:uid="{00000000-0010-0000-0700-000003000000}" name="Werkelijk" totalsRowFunction="sum" dataDxfId="51" totalsRowDxfId="50"/>
    <tableColumn id="4" xr3:uid="{00000000-0010-0000-0700-000004000000}" name="Over/onder" totalsRowFunction="sum" dataDxfId="49" totalsRowDxfId="48">
      <calculatedColumnFormula>Kosten!$C90-Kosten!$D90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Voer in deze tabel het categorie-item en de geschatte en werkelijke kosten voor bloemen in. Het bedrag over/onder het budget en het totaal worden automatisch berekend, en het pictogram wordt bijgewerkt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Cadeaus" displayName="Cadeaus" ref="B101:E107" totalsRowCount="1" headerRowDxfId="47" dataDxfId="46" totalsRowDxfId="45">
  <autoFilter ref="B101:E106" xr:uid="{00000000-0009-0000-0100-000013000000}"/>
  <tableColumns count="4">
    <tableColumn id="1" xr3:uid="{00000000-0010-0000-0800-000001000000}" name="Categorie" totalsRowLabel="Totaal cadeaus" dataDxfId="44" totalsRowDxfId="43"/>
    <tableColumn id="2" xr3:uid="{00000000-0010-0000-0800-000002000000}" name="Geschat" totalsRowFunction="sum" dataDxfId="42" totalsRowDxfId="41"/>
    <tableColumn id="3" xr3:uid="{00000000-0010-0000-0800-000003000000}" name="Werkelijk" totalsRowFunction="sum" dataDxfId="40" totalsRowDxfId="39"/>
    <tableColumn id="4" xr3:uid="{00000000-0010-0000-0800-000004000000}" name="Over/onder" totalsRowFunction="sum" dataDxfId="38" totalsRowDxfId="37">
      <calculatedColumnFormula>Kosten!$C102-Kosten!$D102</calculatedColumnFormula>
    </tableColumn>
  </tableColumns>
  <tableStyleInfo name="Trouwbudget" showFirstColumn="1" showLastColumn="0" showRowStripes="1" showColumnStripes="0"/>
  <extLst>
    <ext xmlns:x14="http://schemas.microsoft.com/office/spreadsheetml/2009/9/main" uri="{504A1905-F514-4f6f-8877-14C23A59335A}">
      <x14:table altTextSummary="Voer in deze tabel het categorie-item en de geschatte en werkelijke kosten voor cadeaus in. Het bedrag over/onder het budget en het totaal worden automatisch berekend, en het pictogram wordt bijgewerkt"/>
    </ext>
  </extLst>
</table>
</file>

<file path=xl/theme/theme1.xml><?xml version="1.0" encoding="utf-8"?>
<a:theme xmlns:a="http://schemas.openxmlformats.org/drawingml/2006/main" name="Wedding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2"/>
      </a:accent1>
      <a:accent2>
        <a:srgbClr val="6AC7FF"/>
      </a:accent2>
      <a:accent3>
        <a:srgbClr val="CC9900"/>
      </a:accent3>
      <a:accent4>
        <a:srgbClr val="FDD47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">
      <a:majorFont>
        <a:latin typeface="Constantia"/>
        <a:ea typeface=""/>
        <a:cs typeface=""/>
      </a:majorFont>
      <a:minorFont>
        <a:latin typeface="Constant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G45"/>
  <sheetViews>
    <sheetView showGridLines="0" showRowColHeaders="0" tabSelected="1" zoomScaleNormal="100" zoomScaleSheetLayoutView="50" workbookViewId="0"/>
  </sheetViews>
  <sheetFormatPr defaultColWidth="9.140625" defaultRowHeight="12.75" x14ac:dyDescent="0.2"/>
  <cols>
    <col min="1" max="1" width="1.7109375" style="40" customWidth="1"/>
    <col min="2" max="2" width="26.7109375" style="62" customWidth="1"/>
    <col min="3" max="5" width="19.7109375" style="60" customWidth="1"/>
    <col min="6" max="6" width="9.5703125" style="62" customWidth="1"/>
    <col min="7" max="7" width="1.7109375" style="62" customWidth="1"/>
    <col min="8" max="16384" width="9.140625" style="62"/>
  </cols>
  <sheetData>
    <row r="1" spans="1:7" s="1" customFormat="1" ht="9" customHeight="1" x14ac:dyDescent="0.2">
      <c r="A1" s="8"/>
      <c r="C1" s="4"/>
      <c r="D1" s="4"/>
      <c r="E1" s="4"/>
      <c r="G1" s="1" t="s">
        <v>18</v>
      </c>
    </row>
    <row r="2" spans="1:7" s="1" customFormat="1" ht="108.75" customHeight="1" x14ac:dyDescent="0.2">
      <c r="A2" s="5"/>
      <c r="C2" s="60"/>
      <c r="D2" s="60"/>
      <c r="E2" s="60"/>
    </row>
    <row r="3" spans="1:7" s="1" customFormat="1" ht="8.25" customHeight="1" x14ac:dyDescent="0.2">
      <c r="A3" s="5"/>
      <c r="C3" s="4"/>
      <c r="D3" s="4"/>
      <c r="E3" s="4"/>
    </row>
    <row r="4" spans="1:7" s="3" customFormat="1" ht="21" customHeight="1" x14ac:dyDescent="0.2">
      <c r="B4" s="54" t="s">
        <v>0</v>
      </c>
      <c r="C4" s="54"/>
      <c r="D4" s="54"/>
      <c r="E4" s="54"/>
      <c r="F4" s="54"/>
    </row>
    <row r="5" spans="1:7" s="3" customFormat="1" ht="23.25" customHeight="1" x14ac:dyDescent="0.2">
      <c r="A5" s="19"/>
      <c r="B5" s="57">
        <f ca="1">TODAY()+365</f>
        <v>44010</v>
      </c>
      <c r="C5" s="57"/>
      <c r="D5" s="57"/>
      <c r="E5" s="57"/>
      <c r="F5" s="57"/>
    </row>
    <row r="6" spans="1:7" s="2" customFormat="1" ht="15.75" customHeight="1" x14ac:dyDescent="0.2">
      <c r="A6" s="7"/>
      <c r="B6" s="65"/>
      <c r="C6" s="65"/>
      <c r="D6" s="65"/>
      <c r="E6" s="65"/>
    </row>
    <row r="7" spans="1:7" s="2" customFormat="1" ht="20.100000000000001" customHeight="1" x14ac:dyDescent="0.2">
      <c r="A7" s="6"/>
      <c r="B7" s="24" t="s">
        <v>1</v>
      </c>
      <c r="C7" s="46" t="s">
        <v>14</v>
      </c>
      <c r="D7" s="46" t="s">
        <v>15</v>
      </c>
      <c r="E7" s="46" t="s">
        <v>16</v>
      </c>
      <c r="F7" s="46" t="s">
        <v>17</v>
      </c>
    </row>
    <row r="8" spans="1:7" s="2" customFormat="1" ht="20.100000000000001" customHeight="1" x14ac:dyDescent="0.2">
      <c r="A8" s="7"/>
      <c r="B8" s="25" t="s">
        <v>2</v>
      </c>
      <c r="C8" s="9">
        <f>Kleding_totaal_geschat</f>
        <v>9490</v>
      </c>
      <c r="D8" s="9">
        <f>Kleding_totaal_werkelijk</f>
        <v>9770</v>
      </c>
      <c r="E8" s="9">
        <f>Budgetoverzicht[[#This Row],[Geschatte]]-Budgetoverzicht[[#This Row],[Werkelijk]]</f>
        <v>-280</v>
      </c>
      <c r="F8" s="18" t="str">
        <f>Kleding_gereed</f>
        <v>Nee</v>
      </c>
    </row>
    <row r="9" spans="1:7" s="1" customFormat="1" ht="20.100000000000001" customHeight="1" x14ac:dyDescent="0.2">
      <c r="A9" s="8"/>
      <c r="B9" s="25" t="s">
        <v>3</v>
      </c>
      <c r="C9" s="9">
        <f>Receptie_totaal_geschat</f>
        <v>1050</v>
      </c>
      <c r="D9" s="9">
        <f>Receptie_totaal_werkelijk</f>
        <v>928</v>
      </c>
      <c r="E9" s="9">
        <f>Budgetoverzicht[[#This Row],[Geschatte]]-Budgetoverzicht[[#This Row],[Werkelijk]]</f>
        <v>122</v>
      </c>
      <c r="F9" s="18" t="str">
        <f>Receptie_gereed</f>
        <v>Ja</v>
      </c>
    </row>
    <row r="10" spans="1:7" s="1" customFormat="1" ht="20.100000000000001" customHeight="1" x14ac:dyDescent="0.2">
      <c r="A10" s="8"/>
      <c r="B10" s="25" t="s">
        <v>4</v>
      </c>
      <c r="C10" s="9">
        <f>Muziek_entertainment_totaal_geschat</f>
        <v>600</v>
      </c>
      <c r="D10" s="9">
        <f>Muziek_entertainment_totaal_werkelijk</f>
        <v>500</v>
      </c>
      <c r="E10" s="9">
        <f>Budgetoverzicht[[#This Row],[Geschatte]]-Budgetoverzicht[[#This Row],[Werkelijk]]</f>
        <v>100</v>
      </c>
      <c r="F10" s="18" t="str">
        <f>Muziek_gereed</f>
        <v>Ja</v>
      </c>
    </row>
    <row r="11" spans="1:7" s="1" customFormat="1" ht="20.100000000000001" customHeight="1" x14ac:dyDescent="0.2">
      <c r="A11" s="8"/>
      <c r="B11" s="25" t="s">
        <v>5</v>
      </c>
      <c r="C11" s="9">
        <f>Drukwerk_briefpapier_totaal_geschat</f>
        <v>935</v>
      </c>
      <c r="D11" s="9">
        <f>Drukwerk_briefpapier_totaal_werkelijk</f>
        <v>870</v>
      </c>
      <c r="E11" s="9">
        <f>Budgetoverzicht[[#This Row],[Geschatte]]-Budgetoverzicht[[#This Row],[Werkelijk]]</f>
        <v>65</v>
      </c>
      <c r="F11" s="18" t="str">
        <f>Druwerk_gereed</f>
        <v>Nee</v>
      </c>
    </row>
    <row r="12" spans="1:7" s="1" customFormat="1" ht="20.100000000000001" customHeight="1" x14ac:dyDescent="0.2">
      <c r="A12" s="8"/>
      <c r="B12" s="25" t="s">
        <v>6</v>
      </c>
      <c r="C12" s="9">
        <f>Fotografie_totaal_geschat</f>
        <v>1625</v>
      </c>
      <c r="D12" s="9">
        <f>Fotografie_totaal_werkelijk</f>
        <v>1575</v>
      </c>
      <c r="E12" s="9">
        <f>Budgetoverzicht[[#This Row],[Geschatte]]-Budgetoverzicht[[#This Row],[Werkelijk]]</f>
        <v>50</v>
      </c>
      <c r="F12" s="18" t="str">
        <f>Fotografie_gereed</f>
        <v>Nee</v>
      </c>
    </row>
    <row r="13" spans="1:7" s="1" customFormat="1" ht="20.100000000000001" customHeight="1" x14ac:dyDescent="0.2">
      <c r="A13" s="8"/>
      <c r="B13" s="25" t="s">
        <v>7</v>
      </c>
      <c r="C13" s="9">
        <f>Versiering_totaal_geschat</f>
        <v>700</v>
      </c>
      <c r="D13" s="9">
        <f>Versiering_totaal_werkelijk</f>
        <v>720</v>
      </c>
      <c r="E13" s="9">
        <f>Budgetoverzicht[[#This Row],[Geschatte]]-Budgetoverzicht[[#This Row],[Werkelijk]]</f>
        <v>-20</v>
      </c>
      <c r="F13" s="18" t="str">
        <f>Versiering_gereed</f>
        <v>Ja</v>
      </c>
    </row>
    <row r="14" spans="1:7" s="1" customFormat="1" ht="20.100000000000001" customHeight="1" x14ac:dyDescent="0.2">
      <c r="A14" s="8"/>
      <c r="B14" s="25" t="s">
        <v>8</v>
      </c>
      <c r="C14" s="9">
        <f>Bloemen_totaal_geschat</f>
        <v>900</v>
      </c>
      <c r="D14" s="9">
        <f>Bloemen_totaal_werkelijk</f>
        <v>850</v>
      </c>
      <c r="E14" s="9">
        <f>Budgetoverzicht[[#This Row],[Geschatte]]-Budgetoverzicht[[#This Row],[Werkelijk]]</f>
        <v>50</v>
      </c>
      <c r="F14" s="18" t="str">
        <f>Bloemen_gereed</f>
        <v>Nee</v>
      </c>
    </row>
    <row r="15" spans="1:7" s="1" customFormat="1" ht="20.100000000000001" customHeight="1" x14ac:dyDescent="0.2">
      <c r="A15" s="8"/>
      <c r="B15" s="25" t="s">
        <v>9</v>
      </c>
      <c r="C15" s="9">
        <f>Cadeaus_totaal_geschat</f>
        <v>1345</v>
      </c>
      <c r="D15" s="9">
        <f>Cadeaus_totaal_werkelijk</f>
        <v>1075</v>
      </c>
      <c r="E15" s="9">
        <f>Budgetoverzicht[[#This Row],[Geschatte]]-Budgetoverzicht[[#This Row],[Werkelijk]]</f>
        <v>270</v>
      </c>
      <c r="F15" s="18" t="str">
        <f>Cadeaus_gereed</f>
        <v>Nee</v>
      </c>
    </row>
    <row r="16" spans="1:7" s="1" customFormat="1" ht="20.100000000000001" customHeight="1" x14ac:dyDescent="0.2">
      <c r="A16" s="8"/>
      <c r="B16" s="25" t="s">
        <v>10</v>
      </c>
      <c r="C16" s="9">
        <f>Reiskosten_vervoer_totaal_geschat</f>
        <v>100</v>
      </c>
      <c r="D16" s="9">
        <f>Reiskosten_vervoer_totaal_werkelijk</f>
        <v>165</v>
      </c>
      <c r="E16" s="9">
        <f>Budgetoverzicht[[#This Row],[Geschatte]]-Budgetoverzicht[[#This Row],[Werkelijk]]</f>
        <v>-65</v>
      </c>
      <c r="F16" s="18" t="str">
        <f>Vervoer_gereed</f>
        <v>Ja</v>
      </c>
    </row>
    <row r="17" spans="1:6" s="1" customFormat="1" ht="20.100000000000001" customHeight="1" x14ac:dyDescent="0.2">
      <c r="A17" s="8"/>
      <c r="B17" s="25" t="s">
        <v>11</v>
      </c>
      <c r="C17" s="9">
        <f>Overige_uitgaven_totaal_geschat</f>
        <v>885</v>
      </c>
      <c r="D17" s="9">
        <f>Overige_uitgaven_totaal_werkelijk</f>
        <v>1021</v>
      </c>
      <c r="E17" s="9">
        <f>Budgetoverzicht[[#This Row],[Geschatte]]-Budgetoverzicht[[#This Row],[Werkelijk]]</f>
        <v>-136</v>
      </c>
      <c r="F17" s="18" t="str">
        <f>Overig_gereed</f>
        <v>Nee</v>
      </c>
    </row>
    <row r="18" spans="1:6" s="1" customFormat="1" ht="20.100000000000001" customHeight="1" x14ac:dyDescent="0.2">
      <c r="A18" s="8"/>
      <c r="B18" s="58" t="s">
        <v>12</v>
      </c>
      <c r="C18" s="59">
        <f>SUBTOTAL(109,Budgetoverzicht[Geschatte])</f>
        <v>17630</v>
      </c>
      <c r="D18" s="59">
        <f>SUBTOTAL(109,Budgetoverzicht[Werkelijk])</f>
        <v>17474</v>
      </c>
      <c r="E18" s="59">
        <f>SUBTOTAL(109,Budgetoverzicht[Over/onder])</f>
        <v>156</v>
      </c>
      <c r="F18" s="17"/>
    </row>
    <row r="19" spans="1:6" s="1" customFormat="1" ht="15" customHeight="1" x14ac:dyDescent="0.2">
      <c r="A19" s="6"/>
      <c r="B19" s="55" t="s">
        <v>13</v>
      </c>
      <c r="C19" s="55"/>
      <c r="D19" s="55"/>
      <c r="E19" s="55"/>
      <c r="F19" s="55"/>
    </row>
    <row r="20" spans="1:6" s="1" customFormat="1" ht="15" customHeight="1" x14ac:dyDescent="0.2">
      <c r="A20" s="8"/>
      <c r="B20" s="55"/>
      <c r="C20" s="55"/>
      <c r="D20" s="55"/>
      <c r="E20" s="55"/>
      <c r="F20" s="55"/>
    </row>
    <row r="21" spans="1:6" s="1" customFormat="1" ht="15" customHeight="1" x14ac:dyDescent="0.2">
      <c r="A21" s="8"/>
      <c r="B21" s="55"/>
      <c r="C21" s="55"/>
      <c r="D21" s="55"/>
      <c r="E21" s="55"/>
      <c r="F21" s="55"/>
    </row>
    <row r="22" spans="1:6" s="1" customFormat="1" ht="15" customHeight="1" x14ac:dyDescent="0.2">
      <c r="A22" s="8"/>
      <c r="B22" s="55"/>
      <c r="C22" s="55"/>
      <c r="D22" s="55"/>
      <c r="E22" s="55"/>
      <c r="F22" s="55"/>
    </row>
    <row r="23" spans="1:6" s="1" customFormat="1" ht="15" customHeight="1" x14ac:dyDescent="0.2">
      <c r="A23" s="8"/>
      <c r="B23" s="55"/>
      <c r="C23" s="55"/>
      <c r="D23" s="55"/>
      <c r="E23" s="55"/>
      <c r="F23" s="55"/>
    </row>
    <row r="24" spans="1:6" s="1" customFormat="1" ht="15" customHeight="1" x14ac:dyDescent="0.2">
      <c r="A24" s="8"/>
      <c r="B24" s="55"/>
      <c r="C24" s="55"/>
      <c r="D24" s="55"/>
      <c r="E24" s="55"/>
      <c r="F24" s="55"/>
    </row>
    <row r="25" spans="1:6" s="1" customFormat="1" ht="15" customHeight="1" x14ac:dyDescent="0.2">
      <c r="A25" s="8"/>
      <c r="B25" s="55"/>
      <c r="C25" s="55"/>
      <c r="D25" s="55"/>
      <c r="E25" s="55"/>
      <c r="F25" s="55"/>
    </row>
    <row r="26" spans="1:6" s="1" customFormat="1" ht="15" customHeight="1" x14ac:dyDescent="0.2">
      <c r="A26" s="8"/>
      <c r="B26" s="55"/>
      <c r="C26" s="55"/>
      <c r="D26" s="55"/>
      <c r="E26" s="55"/>
      <c r="F26" s="55"/>
    </row>
    <row r="27" spans="1:6" s="1" customFormat="1" ht="15" customHeight="1" x14ac:dyDescent="0.2">
      <c r="A27" s="8"/>
      <c r="B27" s="55"/>
      <c r="C27" s="55"/>
      <c r="D27" s="55"/>
      <c r="E27" s="55"/>
      <c r="F27" s="55"/>
    </row>
    <row r="28" spans="1:6" s="1" customFormat="1" ht="15" customHeight="1" x14ac:dyDescent="0.2">
      <c r="A28" s="8"/>
      <c r="B28" s="55"/>
      <c r="C28" s="55"/>
      <c r="D28" s="55"/>
      <c r="E28" s="55"/>
      <c r="F28" s="55"/>
    </row>
    <row r="29" spans="1:6" s="1" customFormat="1" ht="15" customHeight="1" x14ac:dyDescent="0.2">
      <c r="A29" s="8"/>
      <c r="B29" s="55"/>
      <c r="C29" s="55"/>
      <c r="D29" s="55"/>
      <c r="E29" s="55"/>
      <c r="F29" s="55"/>
    </row>
    <row r="30" spans="1:6" s="1" customFormat="1" ht="15" customHeight="1" x14ac:dyDescent="0.2">
      <c r="A30" s="8"/>
      <c r="B30" s="55"/>
      <c r="C30" s="55"/>
      <c r="D30" s="55"/>
      <c r="E30" s="55"/>
      <c r="F30" s="55"/>
    </row>
    <row r="31" spans="1:6" s="1" customFormat="1" ht="15" customHeight="1" x14ac:dyDescent="0.2">
      <c r="A31" s="8"/>
      <c r="B31" s="55"/>
      <c r="C31" s="55"/>
      <c r="D31" s="55"/>
      <c r="E31" s="55"/>
      <c r="F31" s="55"/>
    </row>
    <row r="32" spans="1:6" s="1" customFormat="1" ht="15" customHeight="1" x14ac:dyDescent="0.2">
      <c r="A32" s="8"/>
      <c r="B32" s="55"/>
      <c r="C32" s="55"/>
      <c r="D32" s="55"/>
      <c r="E32" s="55"/>
      <c r="F32" s="55"/>
    </row>
    <row r="33" spans="1:6" s="1" customFormat="1" ht="15" customHeight="1" x14ac:dyDescent="0.2">
      <c r="A33" s="8"/>
      <c r="B33" s="55"/>
      <c r="C33" s="55"/>
      <c r="D33" s="55"/>
      <c r="E33" s="55"/>
      <c r="F33" s="55"/>
    </row>
    <row r="34" spans="1:6" s="1" customFormat="1" ht="15" customHeight="1" x14ac:dyDescent="0.2">
      <c r="A34" s="8"/>
      <c r="B34" s="55"/>
      <c r="C34" s="55"/>
      <c r="D34" s="55"/>
      <c r="E34" s="55"/>
      <c r="F34" s="55"/>
    </row>
    <row r="35" spans="1:6" s="1" customFormat="1" ht="15" customHeight="1" x14ac:dyDescent="0.2">
      <c r="A35" s="8"/>
      <c r="B35" s="55"/>
      <c r="C35" s="55"/>
      <c r="D35" s="55"/>
      <c r="E35" s="55"/>
      <c r="F35" s="55"/>
    </row>
    <row r="36" spans="1:6" s="1" customFormat="1" ht="15" customHeight="1" x14ac:dyDescent="0.2">
      <c r="A36" s="8"/>
      <c r="B36" s="16"/>
      <c r="C36" s="16"/>
      <c r="D36" s="16"/>
      <c r="E36" s="16"/>
    </row>
    <row r="37" spans="1:6" s="1" customFormat="1" ht="15" customHeight="1" x14ac:dyDescent="0.2">
      <c r="A37" s="8"/>
      <c r="B37" s="16"/>
      <c r="C37" s="16"/>
      <c r="D37" s="16"/>
      <c r="E37" s="16"/>
    </row>
    <row r="38" spans="1:6" s="1" customFormat="1" ht="15" customHeight="1" x14ac:dyDescent="0.2">
      <c r="A38" s="8"/>
      <c r="B38" s="16"/>
      <c r="C38" s="16"/>
      <c r="D38" s="16"/>
      <c r="E38" s="16"/>
    </row>
    <row r="39" spans="1:6" s="1" customFormat="1" ht="15" customHeight="1" x14ac:dyDescent="0.2">
      <c r="A39" s="8"/>
      <c r="B39" s="16"/>
      <c r="C39" s="16"/>
      <c r="D39" s="16"/>
      <c r="E39" s="16"/>
    </row>
    <row r="40" spans="1:6" ht="15" customHeight="1" x14ac:dyDescent="0.2">
      <c r="B40" s="61"/>
      <c r="C40" s="61"/>
      <c r="D40" s="61"/>
      <c r="E40" s="61"/>
    </row>
    <row r="41" spans="1:6" ht="15" customHeight="1" x14ac:dyDescent="0.2">
      <c r="B41" s="61"/>
      <c r="C41" s="61"/>
      <c r="D41" s="61"/>
      <c r="E41" s="61"/>
    </row>
    <row r="42" spans="1:6" ht="15" customHeight="1" x14ac:dyDescent="0.2">
      <c r="B42" s="61"/>
      <c r="C42" s="61"/>
      <c r="D42" s="61"/>
      <c r="E42" s="61"/>
    </row>
    <row r="43" spans="1:6" ht="15" customHeight="1" x14ac:dyDescent="0.2">
      <c r="B43" s="61"/>
      <c r="C43" s="61"/>
      <c r="D43" s="61"/>
      <c r="E43" s="61"/>
    </row>
    <row r="44" spans="1:6" ht="15" customHeight="1" x14ac:dyDescent="0.2">
      <c r="B44" s="61"/>
      <c r="C44" s="61"/>
      <c r="D44" s="61"/>
      <c r="E44" s="61"/>
    </row>
    <row r="45" spans="1:6" x14ac:dyDescent="0.2">
      <c r="B45" s="63"/>
      <c r="C45" s="64"/>
      <c r="D45" s="64"/>
      <c r="E45" s="64"/>
    </row>
  </sheetData>
  <mergeCells count="4">
    <mergeCell ref="B6:E6"/>
    <mergeCell ref="B4:F4"/>
    <mergeCell ref="B5:F5"/>
    <mergeCell ref="B19:F35"/>
  </mergeCells>
  <phoneticPr fontId="1" type="noConversion"/>
  <conditionalFormatting sqref="F8:F17">
    <cfRule type="containsText" dxfId="7" priority="1" operator="containsText" text="Nee">
      <formula>NOT(ISERROR(SEARCH("Nee",F8)))</formula>
    </cfRule>
    <cfRule type="containsText" dxfId="6" priority="2" operator="containsText" text="Ja">
      <formula>NOT(ISERROR(SEARCH("Ja",F8)))</formula>
    </cfRule>
  </conditionalFormatting>
  <dataValidations count="6">
    <dataValidation allowBlank="1" showErrorMessage="1" sqref="A3 A7" xr:uid="{00000000-0002-0000-0000-000000000000}"/>
    <dataValidation allowBlank="1" showErrorMessage="1" prompt="_x000a_" sqref="A19" xr:uid="{00000000-0002-0000-0000-000001000000}"/>
    <dataValidation allowBlank="1" showInputMessage="1" showErrorMessage="1" prompt="Voer in deze cel uw trouwdatum in" sqref="B5:F5" xr:uid="{00000000-0002-0000-0000-000002000000}"/>
    <dataValidation allowBlank="1" showInputMessage="1" showErrorMessage="1" promptTitle="Trouwbudget" prompt="Voer in cel B5 uw trouwdatum in._x000a__x000a_Voer op het werkblad Kosten de gegevens per categorie in. De onderstaande overzichtstabel en grafiek worden automatisch bijgewerkt._x000a__x000a_In kolom F hieronder ziet u welke categorieën zijn voltooid." sqref="A1" xr:uid="{00000000-0002-0000-0000-000003000000}"/>
    <dataValidation allowBlank="1" showInputMessage="1" showErrorMessage="1" prompt="Deze tabel wordt automatisch bijgewerkt aan de hand van de gegevens op het werkblad Kosten." sqref="B7:E7" xr:uid="{00000000-0002-0000-0000-000004000000}"/>
    <dataValidation allowBlank="1" showInputMessage="1" showErrorMessage="1" prompt="Deze tabel wordt automatisch bijgewerkt aan de hand van de gegevens op het werkblad Kosten._x000a__x000a_In deze kolom ziet u welke categorieën zijn voltooid." sqref="F7" xr:uid="{00000000-0002-0000-0000-000005000000}"/>
  </dataValidations>
  <printOptions horizontalCentered="1" verticalCentered="1"/>
  <pageMargins left="0.5" right="0.5" top="0.5" bottom="0.5" header="0.3" footer="0.3"/>
  <pageSetup orientation="portrait" r:id="rId1"/>
  <headerFooter differentFirst="1" alignWithMargins="0">
    <oddFooter>Page &amp;P of &amp;N</oddFooter>
  </headerFooter>
  <ignoredErrors>
    <ignoredError sqref="F8:F1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A9852CB-DAD5-4051-B07C-F46B7676A4E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E8:E17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</sheetPr>
  <dimension ref="A1:F137"/>
  <sheetViews>
    <sheetView showGridLines="0" showRowColHeaders="0" zoomScaleNormal="100" workbookViewId="0"/>
  </sheetViews>
  <sheetFormatPr defaultRowHeight="20.100000000000001" customHeight="1" x14ac:dyDescent="0.2"/>
  <cols>
    <col min="1" max="1" width="1.7109375" style="40" customWidth="1"/>
    <col min="2" max="2" width="32.42578125" style="34" bestFit="1" customWidth="1"/>
    <col min="3" max="5" width="19.7109375" style="11" customWidth="1"/>
    <col min="6" max="6" width="1.7109375" customWidth="1"/>
  </cols>
  <sheetData>
    <row r="1" spans="1:6" ht="9.9499999999999993" customHeight="1" x14ac:dyDescent="0.25">
      <c r="A1" s="39"/>
      <c r="B1" s="26"/>
      <c r="C1" s="20"/>
      <c r="D1" s="20"/>
      <c r="E1" s="20"/>
      <c r="F1" t="s">
        <v>18</v>
      </c>
    </row>
    <row r="2" spans="1:6" ht="21.95" customHeight="1" x14ac:dyDescent="0.2">
      <c r="B2" s="56" t="s">
        <v>2</v>
      </c>
      <c r="C2" s="56"/>
      <c r="D2" s="56"/>
      <c r="E2" s="56"/>
      <c r="F2" t="s">
        <v>18</v>
      </c>
    </row>
    <row r="3" spans="1:6" ht="6" customHeight="1" x14ac:dyDescent="0.25">
      <c r="A3" s="39"/>
      <c r="B3" s="27"/>
      <c r="C3" s="10"/>
      <c r="D3" s="10"/>
      <c r="E3" s="10"/>
    </row>
    <row r="4" spans="1:6" ht="20.100000000000001" customHeight="1" x14ac:dyDescent="0.2">
      <c r="A4" s="41"/>
      <c r="B4" s="25" t="s">
        <v>1</v>
      </c>
      <c r="C4" s="35" t="s">
        <v>14</v>
      </c>
      <c r="D4" s="35" t="s">
        <v>15</v>
      </c>
      <c r="E4" s="35" t="s">
        <v>16</v>
      </c>
      <c r="F4" t="s">
        <v>18</v>
      </c>
    </row>
    <row r="5" spans="1:6" ht="20.100000000000001" customHeight="1" x14ac:dyDescent="0.2">
      <c r="B5" s="28" t="s">
        <v>19</v>
      </c>
      <c r="C5" s="47">
        <v>1500</v>
      </c>
      <c r="D5" s="47">
        <v>1500</v>
      </c>
      <c r="E5" s="49">
        <f>Kosten!$C5-Kosten!$D5</f>
        <v>0</v>
      </c>
    </row>
    <row r="6" spans="1:6" ht="20.100000000000001" customHeight="1" x14ac:dyDescent="0.2">
      <c r="B6" s="28" t="s">
        <v>20</v>
      </c>
      <c r="C6" s="47">
        <v>2000</v>
      </c>
      <c r="D6" s="47">
        <v>2300</v>
      </c>
      <c r="E6" s="49">
        <f>Kosten!$C6-Kosten!$D6</f>
        <v>-300</v>
      </c>
    </row>
    <row r="7" spans="1:6" ht="20.100000000000001" customHeight="1" x14ac:dyDescent="0.2">
      <c r="B7" s="29" t="s">
        <v>21</v>
      </c>
      <c r="C7" s="47">
        <v>3000</v>
      </c>
      <c r="D7" s="47">
        <v>2750</v>
      </c>
      <c r="E7" s="49">
        <f>Kosten!$C7-Kosten!$D7</f>
        <v>250</v>
      </c>
    </row>
    <row r="8" spans="1:6" ht="20.100000000000001" customHeight="1" x14ac:dyDescent="0.2">
      <c r="B8" s="29" t="s">
        <v>22</v>
      </c>
      <c r="C8" s="47">
        <v>500</v>
      </c>
      <c r="D8" s="47">
        <v>500</v>
      </c>
      <c r="E8" s="49">
        <f>Kosten!$C8-Kosten!$D8</f>
        <v>0</v>
      </c>
    </row>
    <row r="9" spans="1:6" ht="20.100000000000001" customHeight="1" x14ac:dyDescent="0.2">
      <c r="B9" s="29" t="s">
        <v>23</v>
      </c>
      <c r="C9" s="47">
        <v>350</v>
      </c>
      <c r="D9" s="47">
        <v>300</v>
      </c>
      <c r="E9" s="49">
        <f>Kosten!$C9-Kosten!$D9</f>
        <v>50</v>
      </c>
    </row>
    <row r="10" spans="1:6" ht="20.100000000000001" customHeight="1" x14ac:dyDescent="0.2">
      <c r="B10" s="29" t="s">
        <v>24</v>
      </c>
      <c r="C10" s="47">
        <v>400</v>
      </c>
      <c r="D10" s="47">
        <v>550</v>
      </c>
      <c r="E10" s="49">
        <f>Kosten!$C10-Kosten!$D10</f>
        <v>-150</v>
      </c>
    </row>
    <row r="11" spans="1:6" ht="20.100000000000001" customHeight="1" x14ac:dyDescent="0.2">
      <c r="B11" s="29" t="s">
        <v>25</v>
      </c>
      <c r="C11" s="47">
        <v>20</v>
      </c>
      <c r="D11" s="47">
        <v>20</v>
      </c>
      <c r="E11" s="49">
        <f>Kosten!$C11-Kosten!$D11</f>
        <v>0</v>
      </c>
    </row>
    <row r="12" spans="1:6" ht="20.100000000000001" customHeight="1" x14ac:dyDescent="0.2">
      <c r="B12" s="28" t="s">
        <v>26</v>
      </c>
      <c r="C12" s="47">
        <v>300</v>
      </c>
      <c r="D12" s="47">
        <v>250</v>
      </c>
      <c r="E12" s="49">
        <f>Kosten!$C12-Kosten!$D12</f>
        <v>50</v>
      </c>
    </row>
    <row r="13" spans="1:6" ht="20.100000000000001" customHeight="1" x14ac:dyDescent="0.2">
      <c r="B13" s="29" t="s">
        <v>27</v>
      </c>
      <c r="C13" s="47">
        <v>300</v>
      </c>
      <c r="D13" s="47">
        <v>350</v>
      </c>
      <c r="E13" s="49">
        <f>Kosten!$C13-Kosten!$D13</f>
        <v>-50</v>
      </c>
    </row>
    <row r="14" spans="1:6" ht="20.100000000000001" customHeight="1" x14ac:dyDescent="0.2">
      <c r="B14" s="29" t="s">
        <v>28</v>
      </c>
      <c r="C14" s="47">
        <v>500</v>
      </c>
      <c r="D14" s="47">
        <v>500</v>
      </c>
      <c r="E14" s="49">
        <f>Kosten!$C14-Kosten!$D14</f>
        <v>0</v>
      </c>
    </row>
    <row r="15" spans="1:6" ht="20.100000000000001" customHeight="1" x14ac:dyDescent="0.2">
      <c r="B15" s="28" t="s">
        <v>29</v>
      </c>
      <c r="C15" s="47">
        <v>200</v>
      </c>
      <c r="D15" s="47">
        <v>175</v>
      </c>
      <c r="E15" s="49">
        <f>Kosten!$C15-Kosten!$D15</f>
        <v>25</v>
      </c>
    </row>
    <row r="16" spans="1:6" ht="20.100000000000001" customHeight="1" x14ac:dyDescent="0.2">
      <c r="B16" s="29" t="s">
        <v>30</v>
      </c>
      <c r="C16" s="47">
        <v>400</v>
      </c>
      <c r="D16" s="47">
        <v>550</v>
      </c>
      <c r="E16" s="49">
        <f>Kosten!$C16-Kosten!$D16</f>
        <v>-150</v>
      </c>
    </row>
    <row r="17" spans="1:5" ht="20.100000000000001" customHeight="1" x14ac:dyDescent="0.2">
      <c r="A17" s="42"/>
      <c r="B17" s="29" t="s">
        <v>31</v>
      </c>
      <c r="C17" s="47">
        <v>20</v>
      </c>
      <c r="D17" s="47">
        <v>25</v>
      </c>
      <c r="E17" s="49">
        <f>Kosten!$C17-Kosten!$D17</f>
        <v>-5</v>
      </c>
    </row>
    <row r="18" spans="1:5" ht="20.100000000000001" customHeight="1" x14ac:dyDescent="0.25">
      <c r="A18" s="39"/>
      <c r="B18" s="30" t="s">
        <v>32</v>
      </c>
      <c r="C18" s="47">
        <f>SUBTOTAL(109,Kleding[Geschatte])</f>
        <v>9490</v>
      </c>
      <c r="D18" s="47">
        <f>SUBTOTAL(109,Kleding[Werkelijk])</f>
        <v>9770</v>
      </c>
      <c r="E18" s="47">
        <f>SUBTOTAL(109,Kleding[Over/onder])</f>
        <v>-280</v>
      </c>
    </row>
    <row r="19" spans="1:5" ht="9" customHeight="1" x14ac:dyDescent="0.25">
      <c r="A19" s="39"/>
      <c r="B19" s="30"/>
      <c r="C19" s="45"/>
      <c r="D19" s="45"/>
      <c r="E19" s="45"/>
    </row>
    <row r="20" spans="1:5" ht="22.5" customHeight="1" x14ac:dyDescent="0.25">
      <c r="A20" s="39"/>
      <c r="B20" s="36"/>
      <c r="C20" s="37"/>
      <c r="D20" s="38" t="str">
        <f>"Zijn alle uitgaven in de categorie "&amp;B2&amp;" gereed?"</f>
        <v>Zijn alle uitgaven in de categorie Kleding gereed?</v>
      </c>
      <c r="E20" s="21" t="s">
        <v>101</v>
      </c>
    </row>
    <row r="21" spans="1:5" ht="30" customHeight="1" x14ac:dyDescent="0.25">
      <c r="A21" s="39"/>
      <c r="B21" s="26"/>
      <c r="C21" s="20"/>
      <c r="D21" s="20"/>
      <c r="E21" s="20"/>
    </row>
    <row r="22" spans="1:5" ht="21.95" customHeight="1" x14ac:dyDescent="0.25">
      <c r="A22" s="39"/>
      <c r="B22" s="56" t="s">
        <v>33</v>
      </c>
      <c r="C22" s="56"/>
      <c r="D22" s="56"/>
      <c r="E22" s="56"/>
    </row>
    <row r="23" spans="1:5" ht="6" customHeight="1" x14ac:dyDescent="0.25">
      <c r="A23" s="39"/>
      <c r="B23" s="27"/>
      <c r="C23" s="10"/>
      <c r="D23" s="10"/>
      <c r="E23" s="10"/>
    </row>
    <row r="24" spans="1:5" ht="20.100000000000001" customHeight="1" x14ac:dyDescent="0.2">
      <c r="A24" s="41"/>
      <c r="B24" s="25" t="s">
        <v>1</v>
      </c>
      <c r="C24" s="35" t="s">
        <v>100</v>
      </c>
      <c r="D24" s="35" t="s">
        <v>15</v>
      </c>
      <c r="E24" s="35" t="s">
        <v>16</v>
      </c>
    </row>
    <row r="25" spans="1:5" ht="20.100000000000001" customHeight="1" x14ac:dyDescent="0.2">
      <c r="A25" s="43"/>
      <c r="B25" s="31" t="s">
        <v>34</v>
      </c>
      <c r="C25" s="48">
        <v>200</v>
      </c>
      <c r="D25" s="48">
        <v>150</v>
      </c>
      <c r="E25" s="50">
        <f>Kosten!$C25-Kosten!$D25</f>
        <v>50</v>
      </c>
    </row>
    <row r="26" spans="1:5" ht="20.100000000000001" customHeight="1" x14ac:dyDescent="0.2">
      <c r="A26" s="43"/>
      <c r="B26" s="31" t="s">
        <v>35</v>
      </c>
      <c r="C26" s="48">
        <v>100</v>
      </c>
      <c r="D26" s="48">
        <v>50</v>
      </c>
      <c r="E26" s="50">
        <f>Kosten!$C26-Kosten!$D26</f>
        <v>50</v>
      </c>
    </row>
    <row r="27" spans="1:5" ht="20.100000000000001" customHeight="1" x14ac:dyDescent="0.2">
      <c r="A27" s="43"/>
      <c r="B27" s="32" t="s">
        <v>36</v>
      </c>
      <c r="C27" s="48">
        <v>0</v>
      </c>
      <c r="D27" s="48">
        <v>0</v>
      </c>
      <c r="E27" s="50">
        <f>Kosten!$C27-Kosten!$D27</f>
        <v>0</v>
      </c>
    </row>
    <row r="28" spans="1:5" ht="20.100000000000001" customHeight="1" x14ac:dyDescent="0.2">
      <c r="A28" s="43"/>
      <c r="B28" s="32" t="s">
        <v>37</v>
      </c>
      <c r="C28" s="48">
        <v>0</v>
      </c>
      <c r="D28" s="48">
        <v>0</v>
      </c>
      <c r="E28" s="50">
        <f>Kosten!$C28-Kosten!$D28</f>
        <v>0</v>
      </c>
    </row>
    <row r="29" spans="1:5" ht="20.100000000000001" customHeight="1" x14ac:dyDescent="0.2">
      <c r="A29" s="43"/>
      <c r="B29" s="32" t="s">
        <v>38</v>
      </c>
      <c r="C29" s="48">
        <v>0</v>
      </c>
      <c r="D29" s="48">
        <v>0</v>
      </c>
      <c r="E29" s="50">
        <f>Kosten!$C29-Kosten!$D29</f>
        <v>0</v>
      </c>
    </row>
    <row r="30" spans="1:5" ht="20.100000000000001" customHeight="1" x14ac:dyDescent="0.2">
      <c r="A30" s="43"/>
      <c r="B30" s="32" t="s">
        <v>39</v>
      </c>
      <c r="C30" s="48">
        <v>700</v>
      </c>
      <c r="D30" s="48">
        <v>700</v>
      </c>
      <c r="E30" s="50">
        <f>Kosten!$C30-Kosten!$D30</f>
        <v>0</v>
      </c>
    </row>
    <row r="31" spans="1:5" ht="20.100000000000001" customHeight="1" x14ac:dyDescent="0.2">
      <c r="B31" s="32" t="s">
        <v>40</v>
      </c>
      <c r="C31" s="48">
        <v>50</v>
      </c>
      <c r="D31" s="48">
        <v>28</v>
      </c>
      <c r="E31" s="50">
        <f>Kosten!$C31-Kosten!$D31</f>
        <v>22</v>
      </c>
    </row>
    <row r="32" spans="1:5" ht="20.100000000000001" customHeight="1" x14ac:dyDescent="0.2">
      <c r="B32" s="32" t="s">
        <v>41</v>
      </c>
      <c r="C32" s="48">
        <v>0</v>
      </c>
      <c r="D32" s="48">
        <v>0</v>
      </c>
      <c r="E32" s="50">
        <f>Kosten!$C32-Kosten!$D32</f>
        <v>0</v>
      </c>
    </row>
    <row r="33" spans="1:5" ht="20.100000000000001" customHeight="1" x14ac:dyDescent="0.25">
      <c r="A33" s="39"/>
      <c r="B33" s="26" t="s">
        <v>42</v>
      </c>
      <c r="C33" s="50">
        <f>SUBTOTAL(109,Receptie[Geschat])</f>
        <v>1050</v>
      </c>
      <c r="D33" s="50">
        <f>SUBTOTAL(109,Receptie[Werkelijk])</f>
        <v>928</v>
      </c>
      <c r="E33" s="50">
        <f>SUBTOTAL(109,Receptie[Over/onder])</f>
        <v>122</v>
      </c>
    </row>
    <row r="34" spans="1:5" ht="20.100000000000001" customHeight="1" x14ac:dyDescent="0.2">
      <c r="A34" s="43"/>
      <c r="B34" s="33" t="s">
        <v>43</v>
      </c>
      <c r="C34" s="22"/>
      <c r="D34" s="22"/>
      <c r="E34" s="22"/>
    </row>
    <row r="35" spans="1:5" ht="9" customHeight="1" x14ac:dyDescent="0.25">
      <c r="A35" s="39"/>
      <c r="B35" s="30"/>
      <c r="C35" s="45"/>
      <c r="D35" s="45"/>
      <c r="E35" s="45"/>
    </row>
    <row r="36" spans="1:5" ht="22.5" customHeight="1" x14ac:dyDescent="0.25">
      <c r="A36" s="39"/>
      <c r="B36" s="36"/>
      <c r="C36" s="37"/>
      <c r="D36" s="38" t="str">
        <f>"Zijn alle uitgaven in de categorie "&amp;B22&amp;" gereed?"</f>
        <v>Zijn alle uitgaven in de categorie Receptie* gereed?</v>
      </c>
      <c r="E36" s="21" t="s">
        <v>102</v>
      </c>
    </row>
    <row r="37" spans="1:5" ht="30" customHeight="1" x14ac:dyDescent="0.25">
      <c r="A37" s="39"/>
      <c r="B37" s="26"/>
      <c r="C37" s="20"/>
      <c r="D37" s="20"/>
      <c r="E37" s="20"/>
    </row>
    <row r="38" spans="1:5" ht="21.95" customHeight="1" x14ac:dyDescent="0.25">
      <c r="A38" s="39"/>
      <c r="B38" s="56" t="s">
        <v>44</v>
      </c>
      <c r="C38" s="56"/>
      <c r="D38" s="56"/>
      <c r="E38" s="56"/>
    </row>
    <row r="39" spans="1:5" ht="6" customHeight="1" x14ac:dyDescent="0.25">
      <c r="A39" s="39"/>
      <c r="B39" s="27"/>
      <c r="C39" s="10"/>
      <c r="D39" s="10"/>
      <c r="E39" s="10"/>
    </row>
    <row r="40" spans="1:5" ht="20.100000000000001" customHeight="1" x14ac:dyDescent="0.2">
      <c r="A40" s="41"/>
      <c r="B40" s="25" t="s">
        <v>1</v>
      </c>
      <c r="C40" s="35" t="s">
        <v>100</v>
      </c>
      <c r="D40" s="35" t="s">
        <v>15</v>
      </c>
      <c r="E40" s="35" t="s">
        <v>16</v>
      </c>
    </row>
    <row r="41" spans="1:5" ht="20.100000000000001" customHeight="1" x14ac:dyDescent="0.25">
      <c r="A41" s="39"/>
      <c r="B41" s="31" t="s">
        <v>45</v>
      </c>
      <c r="C41" s="48">
        <v>400</v>
      </c>
      <c r="D41" s="48">
        <v>400</v>
      </c>
      <c r="E41" s="48">
        <f>Kosten!$C41-Kosten!$D41</f>
        <v>0</v>
      </c>
    </row>
    <row r="42" spans="1:5" ht="20.100000000000001" customHeight="1" x14ac:dyDescent="0.2">
      <c r="B42" s="32" t="s">
        <v>46</v>
      </c>
      <c r="C42" s="48">
        <v>200</v>
      </c>
      <c r="D42" s="48">
        <v>100</v>
      </c>
      <c r="E42" s="48">
        <f>Kosten!$C42-Kosten!$D42</f>
        <v>100</v>
      </c>
    </row>
    <row r="43" spans="1:5" ht="20.100000000000001" customHeight="1" x14ac:dyDescent="0.2">
      <c r="A43" s="43"/>
      <c r="B43" s="51" t="s">
        <v>47</v>
      </c>
      <c r="C43" s="50">
        <f>SUBTOTAL(109,Muziek[Geschat])</f>
        <v>600</v>
      </c>
      <c r="D43" s="50">
        <f>SUBTOTAL(109,Muziek[Werkelijk])</f>
        <v>500</v>
      </c>
      <c r="E43" s="50">
        <f>SUBTOTAL(109,Muziek[Over/onder])</f>
        <v>100</v>
      </c>
    </row>
    <row r="44" spans="1:5" ht="9" customHeight="1" x14ac:dyDescent="0.25">
      <c r="A44" s="39"/>
      <c r="B44" s="30"/>
      <c r="C44" s="45"/>
      <c r="D44" s="45"/>
      <c r="E44" s="45"/>
    </row>
    <row r="45" spans="1:5" ht="22.5" customHeight="1" x14ac:dyDescent="0.25">
      <c r="A45" s="39"/>
      <c r="B45" s="36"/>
      <c r="C45" s="37"/>
      <c r="D45" s="38" t="str">
        <f>"Zijn alle uitgaven in de categorie "&amp;B38&amp;" gereed?"</f>
        <v>Zijn alle uitgaven in de categorie Muziek/entertainment gereed?</v>
      </c>
      <c r="E45" s="21" t="s">
        <v>102</v>
      </c>
    </row>
    <row r="46" spans="1:5" ht="30" customHeight="1" x14ac:dyDescent="0.25">
      <c r="A46" s="39"/>
      <c r="B46" s="26"/>
      <c r="C46" s="20"/>
      <c r="D46" s="20"/>
      <c r="E46" s="20"/>
    </row>
    <row r="47" spans="1:5" ht="21.95" customHeight="1" x14ac:dyDescent="0.25">
      <c r="A47" s="39"/>
      <c r="B47" s="56" t="s">
        <v>48</v>
      </c>
      <c r="C47" s="56"/>
      <c r="D47" s="56"/>
      <c r="E47" s="56"/>
    </row>
    <row r="48" spans="1:5" ht="6" customHeight="1" x14ac:dyDescent="0.25">
      <c r="A48" s="39"/>
      <c r="B48" s="27"/>
      <c r="C48" s="10"/>
      <c r="D48" s="10"/>
      <c r="E48" s="10"/>
    </row>
    <row r="49" spans="1:5" ht="20.100000000000001" customHeight="1" x14ac:dyDescent="0.2">
      <c r="A49" s="41"/>
      <c r="B49" s="25" t="s">
        <v>1</v>
      </c>
      <c r="C49" s="35" t="s">
        <v>100</v>
      </c>
      <c r="D49" s="35" t="s">
        <v>15</v>
      </c>
      <c r="E49" s="35" t="s">
        <v>16</v>
      </c>
    </row>
    <row r="50" spans="1:5" ht="20.100000000000001" customHeight="1" x14ac:dyDescent="0.2">
      <c r="B50" s="32" t="s">
        <v>49</v>
      </c>
      <c r="C50" s="48">
        <v>500</v>
      </c>
      <c r="D50" s="48">
        <v>450</v>
      </c>
      <c r="E50" s="48">
        <f>Kosten!$C50-Kosten!$D50</f>
        <v>50</v>
      </c>
    </row>
    <row r="51" spans="1:5" ht="20.100000000000001" customHeight="1" x14ac:dyDescent="0.2">
      <c r="B51" s="32" t="s">
        <v>50</v>
      </c>
      <c r="C51" s="48">
        <v>200</v>
      </c>
      <c r="D51" s="48">
        <v>175</v>
      </c>
      <c r="E51" s="48">
        <f>Kosten!$C51-Kosten!$D51</f>
        <v>25</v>
      </c>
    </row>
    <row r="52" spans="1:5" ht="20.100000000000001" customHeight="1" x14ac:dyDescent="0.2">
      <c r="B52" s="32" t="s">
        <v>51</v>
      </c>
      <c r="C52" s="48">
        <v>100</v>
      </c>
      <c r="D52" s="48">
        <v>100</v>
      </c>
      <c r="E52" s="48">
        <f>Kosten!$C52-Kosten!$D52</f>
        <v>0</v>
      </c>
    </row>
    <row r="53" spans="1:5" ht="20.100000000000001" customHeight="1" x14ac:dyDescent="0.2">
      <c r="B53" s="32" t="s">
        <v>52</v>
      </c>
      <c r="C53" s="48">
        <v>0</v>
      </c>
      <c r="D53" s="48">
        <v>0</v>
      </c>
      <c r="E53" s="48">
        <f>Kosten!$C53-Kosten!$D53</f>
        <v>0</v>
      </c>
    </row>
    <row r="54" spans="1:5" ht="20.100000000000001" customHeight="1" x14ac:dyDescent="0.2">
      <c r="B54" s="32" t="s">
        <v>53</v>
      </c>
      <c r="C54" s="48">
        <v>25</v>
      </c>
      <c r="D54" s="48">
        <v>25</v>
      </c>
      <c r="E54" s="48">
        <f>Kosten!$C54-Kosten!$D54</f>
        <v>0</v>
      </c>
    </row>
    <row r="55" spans="1:5" ht="20.100000000000001" customHeight="1" x14ac:dyDescent="0.2">
      <c r="A55" s="44"/>
      <c r="B55" s="32" t="s">
        <v>54</v>
      </c>
      <c r="C55" s="48">
        <v>75</v>
      </c>
      <c r="D55" s="48">
        <v>80</v>
      </c>
      <c r="E55" s="48">
        <f>Kosten!$C55-Kosten!$D55</f>
        <v>-5</v>
      </c>
    </row>
    <row r="56" spans="1:5" ht="20.100000000000001" customHeight="1" x14ac:dyDescent="0.25">
      <c r="A56" s="39"/>
      <c r="B56" s="32" t="s">
        <v>55</v>
      </c>
      <c r="C56" s="48">
        <v>35</v>
      </c>
      <c r="D56" s="48">
        <v>40</v>
      </c>
      <c r="E56" s="48">
        <f>Kosten!$C56-Kosten!$D56</f>
        <v>-5</v>
      </c>
    </row>
    <row r="57" spans="1:5" ht="20.100000000000001" customHeight="1" x14ac:dyDescent="0.2">
      <c r="B57" s="32" t="s">
        <v>56</v>
      </c>
      <c r="C57" s="48">
        <v>0</v>
      </c>
      <c r="D57" s="48">
        <v>0</v>
      </c>
      <c r="E57" s="48">
        <f>Kosten!$C57-Kosten!$D57</f>
        <v>0</v>
      </c>
    </row>
    <row r="58" spans="1:5" ht="20.100000000000001" customHeight="1" x14ac:dyDescent="0.2">
      <c r="A58" s="43"/>
      <c r="B58" s="32" t="s">
        <v>57</v>
      </c>
      <c r="C58" s="48">
        <v>0</v>
      </c>
      <c r="D58" s="48">
        <v>0</v>
      </c>
      <c r="E58" s="48">
        <f>Kosten!$C58-Kosten!$D58</f>
        <v>0</v>
      </c>
    </row>
    <row r="59" spans="1:5" ht="20.100000000000001" customHeight="1" x14ac:dyDescent="0.2">
      <c r="B59" s="51" t="s">
        <v>58</v>
      </c>
      <c r="C59" s="50">
        <f>SUBTOTAL(109,Drukwerk[Geschat])</f>
        <v>935</v>
      </c>
      <c r="D59" s="50">
        <f>SUBTOTAL(109,Drukwerk[Werkelijk])</f>
        <v>870</v>
      </c>
      <c r="E59" s="50">
        <f>SUBTOTAL(109,Drukwerk[Over/onder])</f>
        <v>65</v>
      </c>
    </row>
    <row r="60" spans="1:5" ht="9" customHeight="1" x14ac:dyDescent="0.25">
      <c r="A60" s="39"/>
      <c r="B60" s="30"/>
      <c r="C60" s="45"/>
      <c r="D60" s="45"/>
      <c r="E60" s="45"/>
    </row>
    <row r="61" spans="1:5" ht="22.5" customHeight="1" x14ac:dyDescent="0.25">
      <c r="A61" s="39"/>
      <c r="B61" s="36"/>
      <c r="C61" s="37"/>
      <c r="D61" s="38" t="str">
        <f>"Zijn alle uitgaven in de categorie "&amp;B47&amp;" gereed?"</f>
        <v>Zijn alle uitgaven in de categorie Drukwerk/briefpapier gereed?</v>
      </c>
      <c r="E61" s="21" t="s">
        <v>101</v>
      </c>
    </row>
    <row r="62" spans="1:5" ht="30" customHeight="1" x14ac:dyDescent="0.25">
      <c r="A62" s="39"/>
      <c r="B62" s="26"/>
      <c r="C62" s="20"/>
      <c r="D62" s="20"/>
      <c r="E62" s="20"/>
    </row>
    <row r="63" spans="1:5" ht="21.95" customHeight="1" x14ac:dyDescent="0.25">
      <c r="A63" s="39"/>
      <c r="B63" s="56" t="s">
        <v>6</v>
      </c>
      <c r="C63" s="56"/>
      <c r="D63" s="56"/>
      <c r="E63" s="56"/>
    </row>
    <row r="64" spans="1:5" ht="6" customHeight="1" x14ac:dyDescent="0.25">
      <c r="A64" s="39"/>
      <c r="B64" s="27"/>
      <c r="C64" s="10"/>
      <c r="D64" s="10"/>
      <c r="E64" s="10"/>
    </row>
    <row r="65" spans="1:5" ht="20.100000000000001" customHeight="1" x14ac:dyDescent="0.2">
      <c r="A65" s="41"/>
      <c r="B65" s="25" t="s">
        <v>1</v>
      </c>
      <c r="C65" s="35" t="s">
        <v>100</v>
      </c>
      <c r="D65" s="35" t="s">
        <v>15</v>
      </c>
      <c r="E65" s="35" t="s">
        <v>16</v>
      </c>
    </row>
    <row r="66" spans="1:5" ht="20.100000000000001" customHeight="1" x14ac:dyDescent="0.2">
      <c r="B66" s="32" t="s">
        <v>59</v>
      </c>
      <c r="C66" s="48">
        <v>1300</v>
      </c>
      <c r="D66" s="48">
        <v>1300</v>
      </c>
      <c r="E66" s="48">
        <f>Kosten!$C66-Kosten!$D66</f>
        <v>0</v>
      </c>
    </row>
    <row r="67" spans="1:5" ht="20.100000000000001" customHeight="1" x14ac:dyDescent="0.2">
      <c r="B67" s="32" t="s">
        <v>60</v>
      </c>
      <c r="C67" s="48">
        <v>25</v>
      </c>
      <c r="D67" s="48">
        <v>25</v>
      </c>
      <c r="E67" s="48">
        <f>Kosten!$C67-Kosten!$D67</f>
        <v>0</v>
      </c>
    </row>
    <row r="68" spans="1:5" ht="20.100000000000001" customHeight="1" x14ac:dyDescent="0.2">
      <c r="B68" s="32" t="s">
        <v>61</v>
      </c>
      <c r="C68" s="48">
        <v>100</v>
      </c>
      <c r="D68" s="48">
        <v>100</v>
      </c>
      <c r="E68" s="48">
        <f>Kosten!$C68-Kosten!$D68</f>
        <v>0</v>
      </c>
    </row>
    <row r="69" spans="1:5" ht="20.100000000000001" customHeight="1" x14ac:dyDescent="0.2">
      <c r="B69" s="32" t="s">
        <v>62</v>
      </c>
      <c r="C69" s="48">
        <v>200</v>
      </c>
      <c r="D69" s="48">
        <v>150</v>
      </c>
      <c r="E69" s="48">
        <f>Kosten!$C69-Kosten!$D69</f>
        <v>50</v>
      </c>
    </row>
    <row r="70" spans="1:5" ht="20.100000000000001" customHeight="1" x14ac:dyDescent="0.2">
      <c r="B70" s="51" t="s">
        <v>63</v>
      </c>
      <c r="C70" s="50">
        <f>SUBTOTAL(109,Fotografie[Geschat])</f>
        <v>1625</v>
      </c>
      <c r="D70" s="50">
        <f>SUBTOTAL(109,Fotografie[Werkelijk])</f>
        <v>1575</v>
      </c>
      <c r="E70" s="50">
        <f>SUBTOTAL(109,Fotografie[Over/onder])</f>
        <v>50</v>
      </c>
    </row>
    <row r="71" spans="1:5" ht="9" customHeight="1" x14ac:dyDescent="0.25">
      <c r="A71" s="39"/>
      <c r="B71" s="30"/>
      <c r="C71" s="45"/>
      <c r="D71" s="45"/>
      <c r="E71" s="45"/>
    </row>
    <row r="72" spans="1:5" ht="22.5" customHeight="1" x14ac:dyDescent="0.25">
      <c r="A72" s="39"/>
      <c r="B72" s="36"/>
      <c r="C72" s="37"/>
      <c r="D72" s="38" t="str">
        <f>"Zijn alle uitgaven in de categorie "&amp;B63&amp;" gereed?"</f>
        <v>Zijn alle uitgaven in de categorie Fotografie gereed?</v>
      </c>
      <c r="E72" s="21" t="s">
        <v>101</v>
      </c>
    </row>
    <row r="73" spans="1:5" ht="30" customHeight="1" x14ac:dyDescent="0.25">
      <c r="A73" s="39"/>
      <c r="B73" s="26"/>
      <c r="C73" s="20"/>
      <c r="D73" s="20"/>
      <c r="E73" s="20"/>
    </row>
    <row r="74" spans="1:5" ht="21.95" customHeight="1" x14ac:dyDescent="0.25">
      <c r="A74" s="39"/>
      <c r="B74" s="56" t="s">
        <v>64</v>
      </c>
      <c r="C74" s="56"/>
      <c r="D74" s="56"/>
      <c r="E74" s="56"/>
    </row>
    <row r="75" spans="1:5" ht="6" customHeight="1" x14ac:dyDescent="0.25">
      <c r="A75" s="39"/>
      <c r="B75" s="27"/>
      <c r="C75" s="10"/>
      <c r="D75" s="10"/>
      <c r="E75" s="10"/>
    </row>
    <row r="76" spans="1:5" ht="20.100000000000001" customHeight="1" x14ac:dyDescent="0.2">
      <c r="A76" s="41"/>
      <c r="B76" s="25" t="s">
        <v>1</v>
      </c>
      <c r="C76" s="35" t="s">
        <v>100</v>
      </c>
      <c r="D76" s="35" t="s">
        <v>15</v>
      </c>
      <c r="E76" s="35" t="s">
        <v>16</v>
      </c>
    </row>
    <row r="77" spans="1:5" ht="20.100000000000001" customHeight="1" x14ac:dyDescent="0.2">
      <c r="B77" s="31" t="s">
        <v>65</v>
      </c>
      <c r="C77" s="48">
        <v>0</v>
      </c>
      <c r="D77" s="48">
        <v>0</v>
      </c>
      <c r="E77" s="48">
        <f>Kosten!$C77-Kosten!$D77</f>
        <v>0</v>
      </c>
    </row>
    <row r="78" spans="1:5" ht="20.100000000000001" customHeight="1" x14ac:dyDescent="0.2">
      <c r="B78" s="32" t="s">
        <v>66</v>
      </c>
      <c r="C78" s="48">
        <v>300</v>
      </c>
      <c r="D78" s="48">
        <v>320</v>
      </c>
      <c r="E78" s="48">
        <f>Kosten!$C78-Kosten!$D78</f>
        <v>-20</v>
      </c>
    </row>
    <row r="79" spans="1:5" ht="20.100000000000001" customHeight="1" x14ac:dyDescent="0.2">
      <c r="B79" s="32" t="s">
        <v>67</v>
      </c>
      <c r="C79" s="48">
        <v>100</v>
      </c>
      <c r="D79" s="48">
        <v>75</v>
      </c>
      <c r="E79" s="48">
        <f>Kosten!$C79-Kosten!$D79</f>
        <v>25</v>
      </c>
    </row>
    <row r="80" spans="1:5" ht="20.100000000000001" customHeight="1" x14ac:dyDescent="0.2">
      <c r="B80" s="32" t="s">
        <v>68</v>
      </c>
      <c r="C80" s="48">
        <v>100</v>
      </c>
      <c r="D80" s="48">
        <v>75</v>
      </c>
      <c r="E80" s="48">
        <f>Kosten!$C80-Kosten!$D80</f>
        <v>25</v>
      </c>
    </row>
    <row r="81" spans="1:5" ht="20.100000000000001" customHeight="1" x14ac:dyDescent="0.2">
      <c r="B81" s="32" t="s">
        <v>69</v>
      </c>
      <c r="C81" s="48">
        <v>200</v>
      </c>
      <c r="D81" s="48">
        <v>250</v>
      </c>
      <c r="E81" s="48">
        <f>Kosten!$C81-Kosten!$D81</f>
        <v>-50</v>
      </c>
    </row>
    <row r="82" spans="1:5" ht="20.100000000000001" customHeight="1" x14ac:dyDescent="0.2">
      <c r="B82" s="51" t="s">
        <v>70</v>
      </c>
      <c r="C82" s="50">
        <f>SUBTOTAL(109,Versieringen[Geschat])</f>
        <v>700</v>
      </c>
      <c r="D82" s="50">
        <f>SUBTOTAL(109,Versieringen[Werkelijk])</f>
        <v>720</v>
      </c>
      <c r="E82" s="50">
        <f>SUBTOTAL(109,Versieringen[Over/onder])</f>
        <v>-20</v>
      </c>
    </row>
    <row r="83" spans="1:5" ht="20.100000000000001" customHeight="1" x14ac:dyDescent="0.2">
      <c r="B83" s="33" t="s">
        <v>71</v>
      </c>
      <c r="C83" s="23"/>
      <c r="D83" s="23"/>
      <c r="E83" s="23"/>
    </row>
    <row r="84" spans="1:5" ht="9" customHeight="1" x14ac:dyDescent="0.25">
      <c r="A84" s="39"/>
      <c r="B84" s="30"/>
      <c r="C84" s="45"/>
      <c r="D84" s="45"/>
      <c r="E84" s="45"/>
    </row>
    <row r="85" spans="1:5" ht="22.5" customHeight="1" x14ac:dyDescent="0.25">
      <c r="A85" s="39"/>
      <c r="B85" s="36"/>
      <c r="C85" s="37"/>
      <c r="D85" s="38" t="str">
        <f>"Zijn alle uitgaven in de categorie "&amp;B74&amp;" gereed?"</f>
        <v>Zijn alle uitgaven in de categorie Versieringen* gereed?</v>
      </c>
      <c r="E85" s="21" t="s">
        <v>102</v>
      </c>
    </row>
    <row r="86" spans="1:5" ht="30" customHeight="1" x14ac:dyDescent="0.25">
      <c r="A86" s="39"/>
      <c r="B86" s="26"/>
      <c r="C86" s="20"/>
      <c r="D86" s="20"/>
      <c r="E86" s="20"/>
    </row>
    <row r="87" spans="1:5" ht="21.95" customHeight="1" x14ac:dyDescent="0.25">
      <c r="A87" s="39"/>
      <c r="B87" s="56" t="s">
        <v>8</v>
      </c>
      <c r="C87" s="56"/>
      <c r="D87" s="56"/>
      <c r="E87" s="56"/>
    </row>
    <row r="88" spans="1:5" ht="6" customHeight="1" x14ac:dyDescent="0.25">
      <c r="A88" s="39"/>
      <c r="B88" s="27"/>
      <c r="C88" s="10"/>
      <c r="D88" s="10"/>
      <c r="E88" s="10"/>
    </row>
    <row r="89" spans="1:5" ht="20.100000000000001" customHeight="1" x14ac:dyDescent="0.2">
      <c r="A89" s="41"/>
      <c r="B89" s="25" t="s">
        <v>1</v>
      </c>
      <c r="C89" s="35" t="s">
        <v>100</v>
      </c>
      <c r="D89" s="35" t="s">
        <v>15</v>
      </c>
      <c r="E89" s="35" t="s">
        <v>16</v>
      </c>
    </row>
    <row r="90" spans="1:5" ht="20.100000000000001" customHeight="1" x14ac:dyDescent="0.2">
      <c r="B90" s="52" t="s">
        <v>72</v>
      </c>
      <c r="C90" s="53">
        <v>500</v>
      </c>
      <c r="D90" s="53">
        <v>450</v>
      </c>
      <c r="E90" s="53">
        <f>Kosten!$C90-Kosten!$D90</f>
        <v>50</v>
      </c>
    </row>
    <row r="91" spans="1:5" ht="20.100000000000001" customHeight="1" x14ac:dyDescent="0.2">
      <c r="B91" s="52" t="s">
        <v>73</v>
      </c>
      <c r="C91" s="53">
        <v>0</v>
      </c>
      <c r="D91" s="53">
        <v>0</v>
      </c>
      <c r="E91" s="50">
        <f>Kosten!$C91-Kosten!$D91</f>
        <v>0</v>
      </c>
    </row>
    <row r="92" spans="1:5" ht="20.100000000000001" customHeight="1" x14ac:dyDescent="0.2">
      <c r="B92" s="52" t="s">
        <v>74</v>
      </c>
      <c r="C92" s="53">
        <v>0</v>
      </c>
      <c r="D92" s="53">
        <v>0</v>
      </c>
      <c r="E92" s="50">
        <f>Kosten!$C92-Kosten!$D92</f>
        <v>0</v>
      </c>
    </row>
    <row r="93" spans="1:5" ht="20.100000000000001" customHeight="1" x14ac:dyDescent="0.2">
      <c r="B93" s="52" t="s">
        <v>75</v>
      </c>
      <c r="C93" s="53">
        <v>400</v>
      </c>
      <c r="D93" s="53">
        <v>400</v>
      </c>
      <c r="E93" s="50">
        <f>Kosten!$C93-Kosten!$D93</f>
        <v>0</v>
      </c>
    </row>
    <row r="94" spans="1:5" ht="20.100000000000001" customHeight="1" x14ac:dyDescent="0.2">
      <c r="B94" s="52" t="s">
        <v>3</v>
      </c>
      <c r="C94" s="53">
        <v>0</v>
      </c>
      <c r="D94" s="53">
        <v>0</v>
      </c>
      <c r="E94" s="50">
        <f>Kosten!$C94-Kosten!$D94</f>
        <v>0</v>
      </c>
    </row>
    <row r="95" spans="1:5" ht="20.100000000000001" customHeight="1" x14ac:dyDescent="0.2">
      <c r="B95" s="51" t="s">
        <v>76</v>
      </c>
      <c r="C95" s="50">
        <f>SUBTOTAL(109,Bloemen[Geschat])</f>
        <v>900</v>
      </c>
      <c r="D95" s="50">
        <f>SUBTOTAL(109,Bloemen[Werkelijk])</f>
        <v>850</v>
      </c>
      <c r="E95" s="50">
        <f>SUBTOTAL(109,Bloemen[Over/onder])</f>
        <v>50</v>
      </c>
    </row>
    <row r="96" spans="1:5" ht="9" customHeight="1" x14ac:dyDescent="0.25">
      <c r="A96" s="39"/>
      <c r="B96" s="30"/>
      <c r="C96" s="45"/>
      <c r="D96" s="45"/>
      <c r="E96" s="45"/>
    </row>
    <row r="97" spans="1:5" ht="22.5" customHeight="1" x14ac:dyDescent="0.25">
      <c r="A97" s="39"/>
      <c r="B97" s="36"/>
      <c r="C97" s="37"/>
      <c r="D97" s="38" t="str">
        <f>"Zijn alle uitgaven in de categorie "&amp;B87&amp;" gereed?"</f>
        <v>Zijn alle uitgaven in de categorie Bloemen gereed?</v>
      </c>
      <c r="E97" s="21" t="s">
        <v>101</v>
      </c>
    </row>
    <row r="98" spans="1:5" ht="30" customHeight="1" x14ac:dyDescent="0.25">
      <c r="A98" s="39"/>
      <c r="B98" s="26"/>
      <c r="C98" s="20"/>
      <c r="D98" s="20"/>
      <c r="E98" s="20"/>
    </row>
    <row r="99" spans="1:5" ht="21.95" customHeight="1" x14ac:dyDescent="0.25">
      <c r="A99" s="39"/>
      <c r="B99" s="56" t="s">
        <v>9</v>
      </c>
      <c r="C99" s="56"/>
      <c r="D99" s="56"/>
      <c r="E99" s="56"/>
    </row>
    <row r="100" spans="1:5" ht="6" customHeight="1" x14ac:dyDescent="0.25">
      <c r="A100" s="39"/>
      <c r="B100" s="27"/>
      <c r="C100" s="10"/>
      <c r="D100" s="10"/>
      <c r="E100" s="10"/>
    </row>
    <row r="101" spans="1:5" ht="20.100000000000001" customHeight="1" x14ac:dyDescent="0.2">
      <c r="A101" s="41"/>
      <c r="B101" s="25" t="s">
        <v>1</v>
      </c>
      <c r="C101" s="35" t="s">
        <v>100</v>
      </c>
      <c r="D101" s="35" t="s">
        <v>15</v>
      </c>
      <c r="E101" s="35" t="s">
        <v>16</v>
      </c>
    </row>
    <row r="102" spans="1:5" ht="20.100000000000001" customHeight="1" x14ac:dyDescent="0.2">
      <c r="B102" s="52" t="s">
        <v>77</v>
      </c>
      <c r="C102" s="53">
        <v>1000</v>
      </c>
      <c r="D102" s="53">
        <v>400</v>
      </c>
      <c r="E102" s="53">
        <f>Kosten!$C102-Kosten!$D102</f>
        <v>600</v>
      </c>
    </row>
    <row r="103" spans="1:5" ht="20.100000000000001" customHeight="1" x14ac:dyDescent="0.2">
      <c r="B103" s="52" t="s">
        <v>78</v>
      </c>
      <c r="C103" s="53">
        <v>150</v>
      </c>
      <c r="D103" s="53">
        <v>200</v>
      </c>
      <c r="E103" s="53">
        <f>Kosten!$C103-Kosten!$D103</f>
        <v>-50</v>
      </c>
    </row>
    <row r="104" spans="1:5" ht="20.100000000000001" customHeight="1" x14ac:dyDescent="0.2">
      <c r="B104" s="52" t="s">
        <v>79</v>
      </c>
      <c r="C104" s="53">
        <v>150</v>
      </c>
      <c r="D104" s="53">
        <v>200</v>
      </c>
      <c r="E104" s="50">
        <f>Kosten!$C104-Kosten!$D104</f>
        <v>-50</v>
      </c>
    </row>
    <row r="105" spans="1:5" ht="20.100000000000001" customHeight="1" x14ac:dyDescent="0.2">
      <c r="B105" s="52" t="s">
        <v>80</v>
      </c>
      <c r="C105" s="53">
        <v>25</v>
      </c>
      <c r="D105" s="53">
        <v>25</v>
      </c>
      <c r="E105" s="50">
        <f>Kosten!$C105-Kosten!$D105</f>
        <v>0</v>
      </c>
    </row>
    <row r="106" spans="1:5" ht="20.100000000000001" customHeight="1" x14ac:dyDescent="0.2">
      <c r="B106" s="52" t="s">
        <v>81</v>
      </c>
      <c r="C106" s="53">
        <v>20</v>
      </c>
      <c r="D106" s="53">
        <v>250</v>
      </c>
      <c r="E106" s="50">
        <f>Kosten!$C106-Kosten!$D106</f>
        <v>-230</v>
      </c>
    </row>
    <row r="107" spans="1:5" ht="20.100000000000001" customHeight="1" x14ac:dyDescent="0.2">
      <c r="B107" s="51" t="s">
        <v>82</v>
      </c>
      <c r="C107" s="50">
        <f>SUBTOTAL(109,Cadeaus[Geschat])</f>
        <v>1345</v>
      </c>
      <c r="D107" s="50">
        <f>SUBTOTAL(109,Cadeaus[Werkelijk])</f>
        <v>1075</v>
      </c>
      <c r="E107" s="50">
        <f>SUBTOTAL(109,Cadeaus[Over/onder])</f>
        <v>270</v>
      </c>
    </row>
    <row r="108" spans="1:5" ht="9" customHeight="1" x14ac:dyDescent="0.25">
      <c r="A108" s="39"/>
      <c r="B108" s="30"/>
      <c r="C108" s="45"/>
      <c r="D108" s="45"/>
      <c r="E108" s="45"/>
    </row>
    <row r="109" spans="1:5" ht="22.5" customHeight="1" x14ac:dyDescent="0.25">
      <c r="A109" s="39"/>
      <c r="B109" s="36"/>
      <c r="C109" s="37"/>
      <c r="D109" s="38" t="str">
        <f>"Zijn alle uitgaven in de categorie "&amp;B99&amp;" gereed?"</f>
        <v>Zijn alle uitgaven in de categorie Cadeaus gereed?</v>
      </c>
      <c r="E109" s="21" t="s">
        <v>101</v>
      </c>
    </row>
    <row r="110" spans="1:5" ht="30" customHeight="1" x14ac:dyDescent="0.25">
      <c r="A110" s="39"/>
      <c r="B110" s="26"/>
      <c r="C110" s="20"/>
      <c r="D110" s="20"/>
      <c r="E110" s="20"/>
    </row>
    <row r="111" spans="1:5" ht="21.95" customHeight="1" x14ac:dyDescent="0.25">
      <c r="A111" s="39"/>
      <c r="B111" s="56" t="s">
        <v>83</v>
      </c>
      <c r="C111" s="56"/>
      <c r="D111" s="56"/>
      <c r="E111" s="56"/>
    </row>
    <row r="112" spans="1:5" ht="6" customHeight="1" x14ac:dyDescent="0.25">
      <c r="A112" s="39"/>
      <c r="B112" s="27"/>
      <c r="C112" s="10"/>
      <c r="D112" s="10"/>
      <c r="E112" s="10"/>
    </row>
    <row r="113" spans="1:5" ht="20.100000000000001" customHeight="1" x14ac:dyDescent="0.2">
      <c r="A113" s="41"/>
      <c r="B113" s="25" t="s">
        <v>1</v>
      </c>
      <c r="C113" s="35" t="s">
        <v>100</v>
      </c>
      <c r="D113" s="35" t="s">
        <v>15</v>
      </c>
      <c r="E113" s="35" t="s">
        <v>16</v>
      </c>
    </row>
    <row r="114" spans="1:5" ht="20.100000000000001" customHeight="1" x14ac:dyDescent="0.2">
      <c r="B114" s="52" t="s">
        <v>84</v>
      </c>
      <c r="C114" s="53">
        <v>100</v>
      </c>
      <c r="D114" s="53">
        <v>125</v>
      </c>
      <c r="E114" s="53">
        <f>Kosten!$C114-Kosten!$D114</f>
        <v>-25</v>
      </c>
    </row>
    <row r="115" spans="1:5" ht="20.100000000000001" customHeight="1" x14ac:dyDescent="0.2">
      <c r="B115" s="52" t="s">
        <v>85</v>
      </c>
      <c r="C115" s="53">
        <v>0</v>
      </c>
      <c r="D115" s="53">
        <v>40</v>
      </c>
      <c r="E115" s="50">
        <f>Kosten!$C115-Kosten!$D115</f>
        <v>-40</v>
      </c>
    </row>
    <row r="116" spans="1:5" ht="20.100000000000001" customHeight="1" x14ac:dyDescent="0.2">
      <c r="B116" s="52" t="s">
        <v>86</v>
      </c>
      <c r="C116" s="53">
        <v>0</v>
      </c>
      <c r="D116" s="53">
        <v>0</v>
      </c>
      <c r="E116" s="50">
        <f>Kosten!$C116-Kosten!$D116</f>
        <v>0</v>
      </c>
    </row>
    <row r="117" spans="1:5" ht="20.100000000000001" customHeight="1" x14ac:dyDescent="0.2">
      <c r="B117" s="51" t="s">
        <v>87</v>
      </c>
      <c r="C117" s="50">
        <f>SUBTOTAL(109,Reiskosten[Geschat])</f>
        <v>100</v>
      </c>
      <c r="D117" s="50">
        <f>SUBTOTAL(109,Reiskosten[Werkelijk])</f>
        <v>165</v>
      </c>
      <c r="E117" s="50">
        <f>SUBTOTAL(109,Reiskosten[Over/onder])</f>
        <v>-65</v>
      </c>
    </row>
    <row r="118" spans="1:5" ht="9" customHeight="1" x14ac:dyDescent="0.25">
      <c r="A118" s="39"/>
      <c r="B118" s="30"/>
      <c r="C118" s="45"/>
      <c r="D118" s="45"/>
      <c r="E118" s="45"/>
    </row>
    <row r="119" spans="1:5" ht="22.5" customHeight="1" x14ac:dyDescent="0.25">
      <c r="A119" s="39"/>
      <c r="B119" s="36"/>
      <c r="C119" s="37"/>
      <c r="D119" s="38" t="str">
        <f>"Zijn alle uitgaven in de categorie "&amp;B111&amp;" gereed?"</f>
        <v>Zijn alle uitgaven in de categorie Reis-/vervoerskosten gereed?</v>
      </c>
      <c r="E119" s="21" t="s">
        <v>102</v>
      </c>
    </row>
    <row r="120" spans="1:5" ht="30" customHeight="1" x14ac:dyDescent="0.25">
      <c r="A120" s="39"/>
      <c r="B120" s="26"/>
      <c r="C120" s="20"/>
      <c r="D120" s="20"/>
      <c r="E120" s="20"/>
    </row>
    <row r="121" spans="1:5" ht="21.95" customHeight="1" x14ac:dyDescent="0.25">
      <c r="A121" s="39"/>
      <c r="B121" s="56" t="s">
        <v>88</v>
      </c>
      <c r="C121" s="56"/>
      <c r="D121" s="56"/>
      <c r="E121" s="56"/>
    </row>
    <row r="122" spans="1:5" ht="6" customHeight="1" x14ac:dyDescent="0.25">
      <c r="A122" s="39"/>
      <c r="B122" s="27"/>
      <c r="C122" s="10"/>
      <c r="D122" s="10"/>
      <c r="E122" s="10"/>
    </row>
    <row r="123" spans="1:5" ht="20.100000000000001" customHeight="1" x14ac:dyDescent="0.2">
      <c r="A123" s="41"/>
      <c r="B123" s="25" t="s">
        <v>1</v>
      </c>
      <c r="C123" s="35" t="s">
        <v>100</v>
      </c>
      <c r="D123" s="35" t="s">
        <v>15</v>
      </c>
      <c r="E123" s="35" t="s">
        <v>16</v>
      </c>
    </row>
    <row r="124" spans="1:5" ht="20.100000000000001" customHeight="1" x14ac:dyDescent="0.2">
      <c r="B124" s="31" t="s">
        <v>89</v>
      </c>
      <c r="C124" s="48">
        <v>0</v>
      </c>
      <c r="D124" s="48">
        <v>0</v>
      </c>
      <c r="E124" s="48">
        <f>Kosten!$C124-Kosten!$D124</f>
        <v>0</v>
      </c>
    </row>
    <row r="125" spans="1:5" ht="20.100000000000001" customHeight="1" x14ac:dyDescent="0.2">
      <c r="B125" s="32" t="s">
        <v>90</v>
      </c>
      <c r="C125" s="48">
        <v>40</v>
      </c>
      <c r="D125" s="48">
        <v>55</v>
      </c>
      <c r="E125" s="48">
        <f>Kosten!$C125-Kosten!$D125</f>
        <v>-15</v>
      </c>
    </row>
    <row r="126" spans="1:5" ht="20.100000000000001" customHeight="1" x14ac:dyDescent="0.2">
      <c r="B126" s="31" t="s">
        <v>91</v>
      </c>
      <c r="C126" s="48">
        <v>0</v>
      </c>
      <c r="D126" s="48">
        <v>0</v>
      </c>
      <c r="E126" s="48">
        <f>Kosten!$C126-Kosten!$D126</f>
        <v>0</v>
      </c>
    </row>
    <row r="127" spans="1:5" ht="20.100000000000001" customHeight="1" x14ac:dyDescent="0.2">
      <c r="B127" s="32" t="s">
        <v>92</v>
      </c>
      <c r="C127" s="48">
        <v>450</v>
      </c>
      <c r="D127" s="48">
        <v>450</v>
      </c>
      <c r="E127" s="48">
        <f>Kosten!$C127-Kosten!$D127</f>
        <v>0</v>
      </c>
    </row>
    <row r="128" spans="1:5" ht="20.100000000000001" customHeight="1" x14ac:dyDescent="0.2">
      <c r="B128" s="32" t="s">
        <v>93</v>
      </c>
      <c r="C128" s="48">
        <v>20</v>
      </c>
      <c r="D128" s="48">
        <v>50</v>
      </c>
      <c r="E128" s="48">
        <f>Kosten!$C128-Kosten!$D128</f>
        <v>-30</v>
      </c>
    </row>
    <row r="129" spans="1:5" ht="20.100000000000001" customHeight="1" x14ac:dyDescent="0.2">
      <c r="B129" s="32" t="s">
        <v>94</v>
      </c>
      <c r="C129" s="48">
        <v>30</v>
      </c>
      <c r="D129" s="48">
        <v>20</v>
      </c>
      <c r="E129" s="48">
        <f>Kosten!$C129-Kosten!$D129</f>
        <v>10</v>
      </c>
    </row>
    <row r="130" spans="1:5" ht="20.100000000000001" customHeight="1" x14ac:dyDescent="0.2">
      <c r="B130" s="32" t="s">
        <v>95</v>
      </c>
      <c r="C130" s="48">
        <v>45</v>
      </c>
      <c r="D130" s="48">
        <v>46</v>
      </c>
      <c r="E130" s="48">
        <f>Kosten!$C130-Kosten!$D130</f>
        <v>-1</v>
      </c>
    </row>
    <row r="131" spans="1:5" ht="20.100000000000001" customHeight="1" x14ac:dyDescent="0.2">
      <c r="B131" s="32" t="s">
        <v>96</v>
      </c>
      <c r="C131" s="48">
        <v>0</v>
      </c>
      <c r="D131" s="48">
        <v>0</v>
      </c>
      <c r="E131" s="48">
        <f>Kosten!$C131-Kosten!$D131</f>
        <v>0</v>
      </c>
    </row>
    <row r="132" spans="1:5" ht="20.100000000000001" customHeight="1" x14ac:dyDescent="0.2">
      <c r="B132" s="32" t="s">
        <v>97</v>
      </c>
      <c r="C132" s="48">
        <v>300</v>
      </c>
      <c r="D132" s="48">
        <v>400</v>
      </c>
      <c r="E132" s="48">
        <f>Kosten!$C132-Kosten!$D132</f>
        <v>-100</v>
      </c>
    </row>
    <row r="133" spans="1:5" ht="20.100000000000001" customHeight="1" x14ac:dyDescent="0.2">
      <c r="B133" s="32" t="s">
        <v>98</v>
      </c>
      <c r="C133" s="48">
        <v>0</v>
      </c>
      <c r="D133" s="48">
        <v>0</v>
      </c>
      <c r="E133" s="48">
        <f>Kosten!$C133-Kosten!$D133</f>
        <v>0</v>
      </c>
    </row>
    <row r="134" spans="1:5" ht="20.100000000000001" customHeight="1" x14ac:dyDescent="0.2">
      <c r="B134" s="51" t="s">
        <v>99</v>
      </c>
      <c r="C134" s="50">
        <f>SUBTOTAL(109,OverigeUitgaven[Geschat])</f>
        <v>885</v>
      </c>
      <c r="D134" s="50">
        <f>SUBTOTAL(109,OverigeUitgaven[Werkelijk])</f>
        <v>1021</v>
      </c>
      <c r="E134" s="50">
        <f>SUBTOTAL(109,OverigeUitgaven[Over/onder])</f>
        <v>-136</v>
      </c>
    </row>
    <row r="135" spans="1:5" ht="9" customHeight="1" x14ac:dyDescent="0.25">
      <c r="A135" s="39"/>
      <c r="B135" s="30"/>
      <c r="C135" s="45"/>
      <c r="D135" s="45"/>
      <c r="E135" s="45"/>
    </row>
    <row r="136" spans="1:5" ht="22.5" customHeight="1" x14ac:dyDescent="0.25">
      <c r="A136" s="39"/>
      <c r="B136" s="36"/>
      <c r="C136" s="37"/>
      <c r="D136" s="38" t="str">
        <f>"Zijn alle uitgaven in de categorie "&amp;B121&amp;" gereed?"</f>
        <v>Zijn alle uitgaven in de categorie Overige uitgaven gereed?</v>
      </c>
      <c r="E136" s="21" t="s">
        <v>101</v>
      </c>
    </row>
    <row r="137" spans="1:5" ht="30" customHeight="1" x14ac:dyDescent="0.2"/>
  </sheetData>
  <mergeCells count="10">
    <mergeCell ref="B111:E111"/>
    <mergeCell ref="B121:E121"/>
    <mergeCell ref="B38:E38"/>
    <mergeCell ref="B47:E47"/>
    <mergeCell ref="B2:E2"/>
    <mergeCell ref="B22:E22"/>
    <mergeCell ref="B63:E63"/>
    <mergeCell ref="B74:E74"/>
    <mergeCell ref="B87:E87"/>
    <mergeCell ref="B99:E99"/>
  </mergeCells>
  <conditionalFormatting sqref="E20 E36 E45 E61 E72 E85 E97 E109 E119 E136">
    <cfRule type="containsText" dxfId="3" priority="19" operator="containsText" text="Nee">
      <formula>NOT(ISERROR(SEARCH("Nee",E20)))</formula>
    </cfRule>
    <cfRule type="containsText" dxfId="2" priority="20" operator="containsText" text="Ja">
      <formula>NOT(ISERROR(SEARCH("Ja",E20)))</formula>
    </cfRule>
  </conditionalFormatting>
  <dataValidations count="12">
    <dataValidation type="list" allowBlank="1" showInputMessage="1" showErrorMessage="1" prompt="Selecteer Ja wanneer u alle gegevens in de bovenstaande tabel hebt ingevoerd" sqref="E20 E36 E45 E61 E72 E85 E97 E109 E119 E136" xr:uid="{00000000-0002-0000-0100-000000000000}">
      <formula1>"Ja,Nee"</formula1>
    </dataValidation>
    <dataValidation allowBlank="1" showInputMessage="1" showErrorMessage="1" prompt="Voer de gegevens per kostencategorie in._x000a__x000a_Onder elke tabel staat een vervolgkeuzelijst met de opties Ja en Nee, waarmee u kunt aangeven welke categorieën u hebt ingevuld." sqref="A1" xr:uid="{00000000-0002-0000-0100-000001000000}"/>
    <dataValidation allowBlank="1" showInputMessage="1" showErrorMessage="1" prompt="Voer in de onderstaande tabel de kosten in de categorie Kleding in" sqref="B2:E2" xr:uid="{00000000-0002-0000-0100-000002000000}"/>
    <dataValidation allowBlank="1" showInputMessage="1" showErrorMessage="1" prompt="Voer in de onderstaande tabel de kosten in de categorie Receptie in" sqref="B22:E22" xr:uid="{00000000-0002-0000-0100-000003000000}"/>
    <dataValidation allowBlank="1" showInputMessage="1" showErrorMessage="1" prompt="Voer in de onderstaande tabel de kosten in de categorie Muziek/amusement in" sqref="B38:E38" xr:uid="{00000000-0002-0000-0100-000004000000}"/>
    <dataValidation allowBlank="1" showInputMessage="1" showErrorMessage="1" prompt="Voer in de onderstaande tabel de kosten in de categorie Drukwerk/briefpapier in" sqref="B47:E47" xr:uid="{00000000-0002-0000-0100-000005000000}"/>
    <dataValidation allowBlank="1" showInputMessage="1" showErrorMessage="1" prompt="Voer in de onderstaande tabel de kosten in de categorie Fotografie in" sqref="B63:E63" xr:uid="{00000000-0002-0000-0100-000006000000}"/>
    <dataValidation allowBlank="1" showInputMessage="1" showErrorMessage="1" prompt="Voer in de onderstaande tabel de kosten in de categorie Versiering in" sqref="B74:E74" xr:uid="{00000000-0002-0000-0100-000007000000}"/>
    <dataValidation allowBlank="1" showInputMessage="1" showErrorMessage="1" prompt="Voer in de onderstaande tabel de kosten in de categorie Bloemen in" sqref="B87:E87" xr:uid="{00000000-0002-0000-0100-000008000000}"/>
    <dataValidation allowBlank="1" showInputMessage="1" showErrorMessage="1" prompt="Voer in de onderstaande tabel de kosten in de categorie Cadeaus in" sqref="B99:E99" xr:uid="{00000000-0002-0000-0100-000009000000}"/>
    <dataValidation allowBlank="1" showInputMessage="1" showErrorMessage="1" prompt="Voer in de onderstaande tabel de kosten in de categorie Reiskosten/vervoer in" sqref="B111:E111" xr:uid="{00000000-0002-0000-0100-00000A000000}"/>
    <dataValidation allowBlank="1" showInputMessage="1" showErrorMessage="1" prompt="Voer in de onderstaande tabel de kosten in de categorie Overige uitgaven in" sqref="B121:E121" xr:uid="{00000000-0002-0000-0100-00000B000000}"/>
  </dataValidations>
  <printOptions horizontalCentered="1"/>
  <pageMargins left="0.5" right="0.5" top="0.5" bottom="0.5" header="0.3" footer="0.3"/>
  <pageSetup fitToHeight="0" orientation="portrait" r:id="rId1"/>
  <headerFooter differentFirst="1">
    <oddFooter>Page &amp;P of &amp;N</oddFooter>
  </headerFooter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0D7A1203-AEBB-448F-8EBA-DD2CCA000C0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E124:E133 E90:E94 E77:E81 E66:E69 E50:E58 E5:E17 E25:E32 E41:E42 E102:E106 E114:E116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H13"/>
  <sheetViews>
    <sheetView zoomScale="130" zoomScaleNormal="130" workbookViewId="0"/>
  </sheetViews>
  <sheetFormatPr defaultRowHeight="12.75" x14ac:dyDescent="0.2"/>
  <cols>
    <col min="2" max="2" width="13.140625" bestFit="1" customWidth="1"/>
    <col min="3" max="3" width="11.7109375" bestFit="1" customWidth="1"/>
    <col min="4" max="4" width="9.42578125" bestFit="1" customWidth="1"/>
    <col min="5" max="7" width="9.42578125" customWidth="1"/>
    <col min="8" max="8" width="19" customWidth="1"/>
  </cols>
  <sheetData>
    <row r="2" spans="2:8" x14ac:dyDescent="0.2">
      <c r="B2" s="15" t="s">
        <v>103</v>
      </c>
      <c r="C2" s="15" t="s">
        <v>106</v>
      </c>
      <c r="D2" s="15" t="s">
        <v>15</v>
      </c>
      <c r="E2" s="15"/>
      <c r="F2" s="15" t="s">
        <v>14</v>
      </c>
      <c r="G2" s="15"/>
      <c r="H2" s="15" t="s">
        <v>107</v>
      </c>
    </row>
    <row r="3" spans="2:8" x14ac:dyDescent="0.2">
      <c r="B3" s="12" t="s">
        <v>2</v>
      </c>
      <c r="C3" s="13">
        <f>Kleding_totaal_geschat</f>
        <v>9490</v>
      </c>
      <c r="D3" s="13">
        <f>Kleding_totaal_werkelijk</f>
        <v>9770</v>
      </c>
      <c r="E3" s="13">
        <f>C3-F3</f>
        <v>9480</v>
      </c>
      <c r="F3" s="13">
        <f>ROUNDUP($C$13/1000,0)</f>
        <v>10</v>
      </c>
      <c r="G3" s="14">
        <f>$D$13-E3</f>
        <v>290</v>
      </c>
      <c r="H3" s="13">
        <f>D3-C3</f>
        <v>280</v>
      </c>
    </row>
    <row r="4" spans="2:8" x14ac:dyDescent="0.2">
      <c r="B4" s="12" t="s">
        <v>3</v>
      </c>
      <c r="C4" s="13">
        <f>Receptie_totaal_geschat</f>
        <v>1050</v>
      </c>
      <c r="D4" s="13">
        <f>Receptie_totaal_werkelijk</f>
        <v>928</v>
      </c>
      <c r="E4" s="13">
        <f t="shared" ref="E4:E12" si="0">C4-F4</f>
        <v>1040</v>
      </c>
      <c r="F4" s="13">
        <f t="shared" ref="F4:F13" si="1">ROUNDUP($C$13/1000,0)</f>
        <v>10</v>
      </c>
      <c r="G4" s="14">
        <f t="shared" ref="G4:G12" si="2">$D$13-E4</f>
        <v>8730</v>
      </c>
      <c r="H4" s="13">
        <f t="shared" ref="H4:H12" si="3">D4-C4</f>
        <v>-122</v>
      </c>
    </row>
    <row r="5" spans="2:8" x14ac:dyDescent="0.2">
      <c r="B5" s="12" t="s">
        <v>4</v>
      </c>
      <c r="C5" s="13">
        <f>Muziek_entertainment_totaal_geschat</f>
        <v>600</v>
      </c>
      <c r="D5" s="13">
        <f>Muziek_entertainment_totaal_werkelijk</f>
        <v>500</v>
      </c>
      <c r="E5" s="13">
        <f t="shared" si="0"/>
        <v>590</v>
      </c>
      <c r="F5" s="13">
        <f t="shared" si="1"/>
        <v>10</v>
      </c>
      <c r="G5" s="14">
        <f t="shared" si="2"/>
        <v>9180</v>
      </c>
      <c r="H5" s="13">
        <f t="shared" si="3"/>
        <v>-100</v>
      </c>
    </row>
    <row r="6" spans="2:8" x14ac:dyDescent="0.2">
      <c r="B6" s="12" t="s">
        <v>5</v>
      </c>
      <c r="C6" s="13">
        <f>Drukwerk_briefpapier_totaal_geschat</f>
        <v>935</v>
      </c>
      <c r="D6" s="13">
        <f>Drukwerk_briefpapier_totaal_werkelijk</f>
        <v>870</v>
      </c>
      <c r="E6" s="13">
        <f t="shared" si="0"/>
        <v>925</v>
      </c>
      <c r="F6" s="13">
        <f t="shared" si="1"/>
        <v>10</v>
      </c>
      <c r="G6" s="14">
        <f t="shared" si="2"/>
        <v>8845</v>
      </c>
      <c r="H6" s="13">
        <f t="shared" si="3"/>
        <v>-65</v>
      </c>
    </row>
    <row r="7" spans="2:8" x14ac:dyDescent="0.2">
      <c r="B7" s="12" t="s">
        <v>6</v>
      </c>
      <c r="C7" s="13">
        <f>Fotografie_totaal_geschat</f>
        <v>1625</v>
      </c>
      <c r="D7" s="13">
        <f>Fotografie_totaal_werkelijk</f>
        <v>1575</v>
      </c>
      <c r="E7" s="13">
        <f t="shared" si="0"/>
        <v>1615</v>
      </c>
      <c r="F7" s="13">
        <f t="shared" si="1"/>
        <v>10</v>
      </c>
      <c r="G7" s="14">
        <f t="shared" si="2"/>
        <v>8155</v>
      </c>
      <c r="H7" s="13">
        <f t="shared" si="3"/>
        <v>-50</v>
      </c>
    </row>
    <row r="8" spans="2:8" x14ac:dyDescent="0.2">
      <c r="B8" s="12" t="s">
        <v>7</v>
      </c>
      <c r="C8" s="13">
        <f>Versiering_totaal_geschat</f>
        <v>700</v>
      </c>
      <c r="D8" s="13">
        <f>Versiering_totaal_werkelijk</f>
        <v>720</v>
      </c>
      <c r="E8" s="13">
        <f t="shared" si="0"/>
        <v>690</v>
      </c>
      <c r="F8" s="13">
        <f t="shared" si="1"/>
        <v>10</v>
      </c>
      <c r="G8" s="14">
        <f t="shared" si="2"/>
        <v>9080</v>
      </c>
      <c r="H8" s="13">
        <f t="shared" si="3"/>
        <v>20</v>
      </c>
    </row>
    <row r="9" spans="2:8" x14ac:dyDescent="0.2">
      <c r="B9" s="12" t="s">
        <v>8</v>
      </c>
      <c r="C9" s="13">
        <f>Bloemen_totaal_geschat</f>
        <v>900</v>
      </c>
      <c r="D9" s="13">
        <f>Bloemen_totaal_werkelijk</f>
        <v>850</v>
      </c>
      <c r="E9" s="13">
        <f t="shared" si="0"/>
        <v>890</v>
      </c>
      <c r="F9" s="13">
        <f t="shared" si="1"/>
        <v>10</v>
      </c>
      <c r="G9" s="14">
        <f t="shared" si="2"/>
        <v>8880</v>
      </c>
      <c r="H9" s="13">
        <f t="shared" si="3"/>
        <v>-50</v>
      </c>
    </row>
    <row r="10" spans="2:8" x14ac:dyDescent="0.2">
      <c r="B10" s="12" t="s">
        <v>9</v>
      </c>
      <c r="C10" s="13">
        <f>Cadeaus_totaal_geschat</f>
        <v>1345</v>
      </c>
      <c r="D10" s="13">
        <f>Cadeaus_totaal_werkelijk</f>
        <v>1075</v>
      </c>
      <c r="E10" s="13">
        <f t="shared" si="0"/>
        <v>1335</v>
      </c>
      <c r="F10" s="13">
        <f t="shared" si="1"/>
        <v>10</v>
      </c>
      <c r="G10" s="14">
        <f t="shared" si="2"/>
        <v>8435</v>
      </c>
      <c r="H10" s="13">
        <f t="shared" si="3"/>
        <v>-270</v>
      </c>
    </row>
    <row r="11" spans="2:8" x14ac:dyDescent="0.2">
      <c r="B11" s="12" t="s">
        <v>10</v>
      </c>
      <c r="C11" s="13">
        <f>Reiskosten_vervoer_totaal_geschat</f>
        <v>100</v>
      </c>
      <c r="D11" s="13">
        <f>Reiskosten_vervoer_totaal_werkelijk</f>
        <v>165</v>
      </c>
      <c r="E11" s="13">
        <f t="shared" si="0"/>
        <v>90</v>
      </c>
      <c r="F11" s="13">
        <f t="shared" si="1"/>
        <v>10</v>
      </c>
      <c r="G11" s="14">
        <f t="shared" si="2"/>
        <v>9680</v>
      </c>
      <c r="H11" s="13">
        <f t="shared" si="3"/>
        <v>65</v>
      </c>
    </row>
    <row r="12" spans="2:8" x14ac:dyDescent="0.2">
      <c r="B12" s="12" t="s">
        <v>104</v>
      </c>
      <c r="C12" s="13">
        <f>Overige_uitgaven_totaal_geschat</f>
        <v>885</v>
      </c>
      <c r="D12" s="13">
        <f>Overige_uitgaven_totaal_werkelijk</f>
        <v>1021</v>
      </c>
      <c r="E12" s="13">
        <f t="shared" si="0"/>
        <v>875</v>
      </c>
      <c r="F12" s="13">
        <f t="shared" si="1"/>
        <v>10</v>
      </c>
      <c r="G12" s="14">
        <f t="shared" si="2"/>
        <v>8895</v>
      </c>
      <c r="H12" s="13">
        <f t="shared" si="3"/>
        <v>136</v>
      </c>
    </row>
    <row r="13" spans="2:8" x14ac:dyDescent="0.2">
      <c r="B13" s="12" t="s">
        <v>105</v>
      </c>
      <c r="C13" s="14">
        <f>MAX(C3:D12)</f>
        <v>9770</v>
      </c>
      <c r="D13" s="14">
        <f>MAX(C3:D12)</f>
        <v>9770</v>
      </c>
      <c r="E13" s="13"/>
      <c r="F13" s="13">
        <f t="shared" si="1"/>
        <v>10</v>
      </c>
      <c r="G13" s="14"/>
      <c r="H13" s="14"/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003E55-A058-4482-869F-A15E2C27C8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E13C71-0C05-4E1A-A8C6-0456608147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3297F6AF-8567-4A7F-ADAD-53D10066A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30</vt:i4>
      </vt:variant>
    </vt:vector>
  </HeadingPairs>
  <TitlesOfParts>
    <vt:vector size="33" baseType="lpstr">
      <vt:lpstr>Trouwbudget</vt:lpstr>
      <vt:lpstr>Kosten</vt:lpstr>
      <vt:lpstr>Berekeningen</vt:lpstr>
      <vt:lpstr>Bloemen_gereed</vt:lpstr>
      <vt:lpstr>Bloemen_totaal_geschat</vt:lpstr>
      <vt:lpstr>Bloemen_totaal_werkelijk</vt:lpstr>
      <vt:lpstr>Cadeaus_gereed</vt:lpstr>
      <vt:lpstr>Cadeaus_totaal_geschat</vt:lpstr>
      <vt:lpstr>Cadeaus_totaal_werkelijk</vt:lpstr>
      <vt:lpstr>Drukwerk_briefpapier_totaal_geschat</vt:lpstr>
      <vt:lpstr>Drukwerk_briefpapier_totaal_werkelijk</vt:lpstr>
      <vt:lpstr>Druwerk_gereed</vt:lpstr>
      <vt:lpstr>Fotografie_gereed</vt:lpstr>
      <vt:lpstr>Fotografie_totaal_geschat</vt:lpstr>
      <vt:lpstr>Fotografie_totaal_werkelijk</vt:lpstr>
      <vt:lpstr>Kleding_gereed</vt:lpstr>
      <vt:lpstr>Kleding_totaal_geschat</vt:lpstr>
      <vt:lpstr>Kleding_totaal_werkelijk</vt:lpstr>
      <vt:lpstr>Muziek_entertainment_totaal_geschat</vt:lpstr>
      <vt:lpstr>Muziek_entertainment_totaal_werkelijk</vt:lpstr>
      <vt:lpstr>Muziek_gereed</vt:lpstr>
      <vt:lpstr>Overig_gereed</vt:lpstr>
      <vt:lpstr>Overige_uitgaven_totaal_geschat</vt:lpstr>
      <vt:lpstr>Overige_uitgaven_totaal_werkelijk</vt:lpstr>
      <vt:lpstr>Receptie_gereed</vt:lpstr>
      <vt:lpstr>Receptie_totaal_geschat</vt:lpstr>
      <vt:lpstr>Receptie_totaal_werkelijk</vt:lpstr>
      <vt:lpstr>Reiskosten_vervoer_totaal_geschat</vt:lpstr>
      <vt:lpstr>Reiskosten_vervoer_totaal_werkelijk</vt:lpstr>
      <vt:lpstr>Versiering_gereed</vt:lpstr>
      <vt:lpstr>Versiering_totaal_geschat</vt:lpstr>
      <vt:lpstr>Versiering_totaal_werkelijk</vt:lpstr>
      <vt:lpstr>Vervoer_gereed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2018-10-22T16:24:34Z</dcterms:created>
  <dcterms:modified xsi:type="dcterms:W3CDTF">2019-06-29T10:45:56Z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