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C:\Users\sherryl\Desktop\Task\10\et-EE\target\"/>
    </mc:Choice>
  </mc:AlternateContent>
  <bookViews>
    <workbookView xWindow="-120" yWindow="-120" windowWidth="24240" windowHeight="17640" xr2:uid="{00000000-000D-0000-FFFF-FFFF00000000}"/>
  </bookViews>
  <sheets>
    <sheet name="Algus" sheetId="5" r:id="rId1"/>
    <sheet name="Perekalender" sheetId="4" r:id="rId2"/>
  </sheets>
  <definedNames>
    <definedName name="AprP1">DATE(Kalendriaasta,4,1)-WEEKDAY(DATE(Kalendriaasta,4,1))+1</definedName>
    <definedName name="AugP1">DATE(Kalendriaasta,8,1)-WEEKDAY(DATE(Kalendriaasta,8,1))+1</definedName>
    <definedName name="DetsP1">DATE(Kalendriaasta,12,1)-WEEKDAY(DATE(Kalendriaasta,12,1))+1</definedName>
    <definedName name="JaanP1">DATE(Kalendriaasta,1,1)-WEEKDAY(DATE(Kalendriaasta,1,1))+1</definedName>
    <definedName name="JuuliP1">DATE(Kalendriaasta,7,1)-WEEKDAY(DATE(Kalendriaasta,7,1))+1</definedName>
    <definedName name="JuuniP1">DATE(Kalendriaasta,6,1)-WEEKDAY(DATE(Kalendriaasta,6,1))+1</definedName>
    <definedName name="Kalendriaasta">Perekalender!$AE$3</definedName>
    <definedName name="MaiP1">DATE(Kalendriaasta,5,1)-WEEKDAY(DATE(Kalendriaasta,5,1))+1</definedName>
    <definedName name="MärtsP1">DATE(Kalendriaasta,3,1)-WEEKDAY(DATE(Kalendriaasta,3,1))+1</definedName>
    <definedName name="NovP1">DATE(Kalendriaasta,11,1)-WEEKDAY(DATE(Kalendriaasta,11,1))+1</definedName>
    <definedName name="OktP1">DATE(Kalendriaasta,10,1)-WEEKDAY(DATE(Kalendriaasta,10,1))+1</definedName>
    <definedName name="OlulisedKuupäevad">Perekalender!$D$6:$G$20</definedName>
    <definedName name="_xlnm.Print_Area" localSheetId="1">Perekalender!$B$1:$AK$50</definedName>
    <definedName name="SeptP1">DATE(Kalendriaasta,9,1)-WEEKDAY(DATE(Kalendriaasta,9,1))+1</definedName>
    <definedName name="VeebrP1">DATE(Kalendriaasta,2,1)-WEEKDAY(DATE(Kalendriaasta,2,1))+1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3" i="4" l="1"/>
  <c r="D7" i="4" l="1"/>
  <c r="D6" i="4"/>
  <c r="AJ49" i="4" l="1"/>
  <c r="AI49" i="4"/>
  <c r="AH49" i="4"/>
  <c r="AG49" i="4"/>
  <c r="AF49" i="4"/>
  <c r="AE49" i="4"/>
  <c r="AD49" i="4"/>
  <c r="AJ48" i="4"/>
  <c r="AI48" i="4"/>
  <c r="AH48" i="4"/>
  <c r="AG48" i="4"/>
  <c r="AF48" i="4"/>
  <c r="AE48" i="4"/>
  <c r="AD48" i="4"/>
  <c r="AJ47" i="4"/>
  <c r="AI47" i="4"/>
  <c r="AH47" i="4"/>
  <c r="AG47" i="4"/>
  <c r="AF47" i="4"/>
  <c r="AE47" i="4"/>
  <c r="AD47" i="4"/>
  <c r="AJ46" i="4"/>
  <c r="AI46" i="4"/>
  <c r="AH46" i="4"/>
  <c r="AG46" i="4"/>
  <c r="AF46" i="4"/>
  <c r="AE46" i="4"/>
  <c r="AD46" i="4"/>
  <c r="AJ45" i="4"/>
  <c r="AI45" i="4"/>
  <c r="AH45" i="4"/>
  <c r="AG45" i="4"/>
  <c r="AF45" i="4"/>
  <c r="AE45" i="4"/>
  <c r="AD45" i="4"/>
  <c r="AJ44" i="4"/>
  <c r="AI44" i="4"/>
  <c r="AH44" i="4"/>
  <c r="AG44" i="4"/>
  <c r="AF44" i="4"/>
  <c r="AE44" i="4"/>
  <c r="AD44" i="4"/>
  <c r="AA49" i="4"/>
  <c r="Z49" i="4"/>
  <c r="Y49" i="4"/>
  <c r="X49" i="4"/>
  <c r="W49" i="4"/>
  <c r="V49" i="4"/>
  <c r="U49" i="4"/>
  <c r="AA48" i="4"/>
  <c r="Z48" i="4"/>
  <c r="Y48" i="4"/>
  <c r="X48" i="4"/>
  <c r="W48" i="4"/>
  <c r="V48" i="4"/>
  <c r="U48" i="4"/>
  <c r="AA47" i="4"/>
  <c r="Z47" i="4"/>
  <c r="Y47" i="4"/>
  <c r="X47" i="4"/>
  <c r="W47" i="4"/>
  <c r="V47" i="4"/>
  <c r="U47" i="4"/>
  <c r="AA46" i="4"/>
  <c r="Z46" i="4"/>
  <c r="Y46" i="4"/>
  <c r="X46" i="4"/>
  <c r="W46" i="4"/>
  <c r="V46" i="4"/>
  <c r="U46" i="4"/>
  <c r="AA45" i="4"/>
  <c r="Z45" i="4"/>
  <c r="Y45" i="4"/>
  <c r="X45" i="4"/>
  <c r="W45" i="4"/>
  <c r="V45" i="4"/>
  <c r="U45" i="4"/>
  <c r="AA44" i="4"/>
  <c r="Z44" i="4"/>
  <c r="Y44" i="4"/>
  <c r="X44" i="4"/>
  <c r="W44" i="4"/>
  <c r="V44" i="4"/>
  <c r="U44" i="4"/>
  <c r="R49" i="4"/>
  <c r="Q49" i="4"/>
  <c r="P49" i="4"/>
  <c r="O49" i="4"/>
  <c r="N49" i="4"/>
  <c r="M49" i="4"/>
  <c r="L49" i="4"/>
  <c r="R48" i="4"/>
  <c r="Q48" i="4"/>
  <c r="P48" i="4"/>
  <c r="O48" i="4"/>
  <c r="N48" i="4"/>
  <c r="M48" i="4"/>
  <c r="L48" i="4"/>
  <c r="R47" i="4"/>
  <c r="Q47" i="4"/>
  <c r="P47" i="4"/>
  <c r="O47" i="4"/>
  <c r="N47" i="4"/>
  <c r="M47" i="4"/>
  <c r="L47" i="4"/>
  <c r="R46" i="4"/>
  <c r="Q46" i="4"/>
  <c r="P46" i="4"/>
  <c r="O46" i="4"/>
  <c r="N46" i="4"/>
  <c r="M46" i="4"/>
  <c r="L46" i="4"/>
  <c r="R45" i="4"/>
  <c r="Q45" i="4"/>
  <c r="P45" i="4"/>
  <c r="O45" i="4"/>
  <c r="N45" i="4"/>
  <c r="M45" i="4"/>
  <c r="L45" i="4"/>
  <c r="R44" i="4"/>
  <c r="Q44" i="4"/>
  <c r="P44" i="4"/>
  <c r="O44" i="4"/>
  <c r="N44" i="4"/>
  <c r="M44" i="4"/>
  <c r="L44" i="4"/>
  <c r="I49" i="4"/>
  <c r="H49" i="4"/>
  <c r="G49" i="4"/>
  <c r="F49" i="4"/>
  <c r="E49" i="4"/>
  <c r="D49" i="4"/>
  <c r="C49" i="4"/>
  <c r="I48" i="4"/>
  <c r="H48" i="4"/>
  <c r="G48" i="4"/>
  <c r="F48" i="4"/>
  <c r="E48" i="4"/>
  <c r="D48" i="4"/>
  <c r="C48" i="4"/>
  <c r="I47" i="4"/>
  <c r="H47" i="4"/>
  <c r="G47" i="4"/>
  <c r="F47" i="4"/>
  <c r="E47" i="4"/>
  <c r="D47" i="4"/>
  <c r="C47" i="4"/>
  <c r="I46" i="4"/>
  <c r="H46" i="4"/>
  <c r="G46" i="4"/>
  <c r="F46" i="4"/>
  <c r="E46" i="4"/>
  <c r="D46" i="4"/>
  <c r="C46" i="4"/>
  <c r="I45" i="4"/>
  <c r="H45" i="4"/>
  <c r="G45" i="4"/>
  <c r="F45" i="4"/>
  <c r="E45" i="4"/>
  <c r="D45" i="4"/>
  <c r="C45" i="4"/>
  <c r="I44" i="4"/>
  <c r="H44" i="4"/>
  <c r="G44" i="4"/>
  <c r="F44" i="4"/>
  <c r="E44" i="4"/>
  <c r="D44" i="4"/>
  <c r="C44" i="4"/>
  <c r="AJ40" i="4"/>
  <c r="AI40" i="4"/>
  <c r="AH40" i="4"/>
  <c r="AG40" i="4"/>
  <c r="AF40" i="4"/>
  <c r="AE40" i="4"/>
  <c r="AD40" i="4"/>
  <c r="AJ39" i="4"/>
  <c r="AI39" i="4"/>
  <c r="AH39" i="4"/>
  <c r="AG39" i="4"/>
  <c r="AF39" i="4"/>
  <c r="AE39" i="4"/>
  <c r="AD39" i="4"/>
  <c r="AJ38" i="4"/>
  <c r="AI38" i="4"/>
  <c r="AH38" i="4"/>
  <c r="AG38" i="4"/>
  <c r="AF38" i="4"/>
  <c r="AE38" i="4"/>
  <c r="AD38" i="4"/>
  <c r="AJ37" i="4"/>
  <c r="AI37" i="4"/>
  <c r="AH37" i="4"/>
  <c r="AG37" i="4"/>
  <c r="AF37" i="4"/>
  <c r="AE37" i="4"/>
  <c r="AD37" i="4"/>
  <c r="AJ36" i="4"/>
  <c r="AI36" i="4"/>
  <c r="AH36" i="4"/>
  <c r="AG36" i="4"/>
  <c r="AF36" i="4"/>
  <c r="AE36" i="4"/>
  <c r="AD36" i="4"/>
  <c r="AJ35" i="4"/>
  <c r="AI35" i="4"/>
  <c r="AH35" i="4"/>
  <c r="AG35" i="4"/>
  <c r="AF35" i="4"/>
  <c r="AE35" i="4"/>
  <c r="AD35" i="4"/>
  <c r="AA40" i="4"/>
  <c r="Z40" i="4"/>
  <c r="Y40" i="4"/>
  <c r="X40" i="4"/>
  <c r="W40" i="4"/>
  <c r="V40" i="4"/>
  <c r="U40" i="4"/>
  <c r="AA39" i="4"/>
  <c r="Z39" i="4"/>
  <c r="Y39" i="4"/>
  <c r="X39" i="4"/>
  <c r="W39" i="4"/>
  <c r="V39" i="4"/>
  <c r="U39" i="4"/>
  <c r="AA38" i="4"/>
  <c r="Z38" i="4"/>
  <c r="Y38" i="4"/>
  <c r="X38" i="4"/>
  <c r="W38" i="4"/>
  <c r="V38" i="4"/>
  <c r="U38" i="4"/>
  <c r="AA37" i="4"/>
  <c r="Z37" i="4"/>
  <c r="Y37" i="4"/>
  <c r="X37" i="4"/>
  <c r="W37" i="4"/>
  <c r="V37" i="4"/>
  <c r="U37" i="4"/>
  <c r="AA36" i="4"/>
  <c r="Z36" i="4"/>
  <c r="Y36" i="4"/>
  <c r="X36" i="4"/>
  <c r="W36" i="4"/>
  <c r="V36" i="4"/>
  <c r="U36" i="4"/>
  <c r="AA35" i="4"/>
  <c r="Z35" i="4"/>
  <c r="Y35" i="4"/>
  <c r="X35" i="4"/>
  <c r="W35" i="4"/>
  <c r="V35" i="4"/>
  <c r="U35" i="4"/>
  <c r="R40" i="4"/>
  <c r="Q40" i="4"/>
  <c r="P40" i="4"/>
  <c r="O40" i="4"/>
  <c r="N40" i="4"/>
  <c r="M40" i="4"/>
  <c r="L40" i="4"/>
  <c r="R39" i="4"/>
  <c r="Q39" i="4"/>
  <c r="P39" i="4"/>
  <c r="O39" i="4"/>
  <c r="N39" i="4"/>
  <c r="M39" i="4"/>
  <c r="L39" i="4"/>
  <c r="R38" i="4"/>
  <c r="Q38" i="4"/>
  <c r="P38" i="4"/>
  <c r="O38" i="4"/>
  <c r="N38" i="4"/>
  <c r="M38" i="4"/>
  <c r="L38" i="4"/>
  <c r="R37" i="4"/>
  <c r="Q37" i="4"/>
  <c r="P37" i="4"/>
  <c r="O37" i="4"/>
  <c r="N37" i="4"/>
  <c r="M37" i="4"/>
  <c r="L37" i="4"/>
  <c r="R36" i="4"/>
  <c r="Q36" i="4"/>
  <c r="P36" i="4"/>
  <c r="O36" i="4"/>
  <c r="N36" i="4"/>
  <c r="M36" i="4"/>
  <c r="L36" i="4"/>
  <c r="R35" i="4"/>
  <c r="Q35" i="4"/>
  <c r="P35" i="4"/>
  <c r="O35" i="4"/>
  <c r="N35" i="4"/>
  <c r="M35" i="4"/>
  <c r="L35" i="4"/>
  <c r="I40" i="4"/>
  <c r="H40" i="4"/>
  <c r="G40" i="4"/>
  <c r="F40" i="4"/>
  <c r="E40" i="4"/>
  <c r="D40" i="4"/>
  <c r="C40" i="4"/>
  <c r="I39" i="4"/>
  <c r="H39" i="4"/>
  <c r="G39" i="4"/>
  <c r="F39" i="4"/>
  <c r="E39" i="4"/>
  <c r="D39" i="4"/>
  <c r="C39" i="4"/>
  <c r="I38" i="4"/>
  <c r="H38" i="4"/>
  <c r="G38" i="4"/>
  <c r="F38" i="4"/>
  <c r="E38" i="4"/>
  <c r="D38" i="4"/>
  <c r="C38" i="4"/>
  <c r="I37" i="4"/>
  <c r="H37" i="4"/>
  <c r="G37" i="4"/>
  <c r="F37" i="4"/>
  <c r="E37" i="4"/>
  <c r="D37" i="4"/>
  <c r="C37" i="4"/>
  <c r="I36" i="4"/>
  <c r="H36" i="4"/>
  <c r="G36" i="4"/>
  <c r="F36" i="4"/>
  <c r="E36" i="4"/>
  <c r="D36" i="4"/>
  <c r="C36" i="4"/>
  <c r="I35" i="4"/>
  <c r="H35" i="4"/>
  <c r="G35" i="4"/>
  <c r="F35" i="4"/>
  <c r="E35" i="4"/>
  <c r="D35" i="4"/>
  <c r="C35" i="4"/>
  <c r="AJ31" i="4"/>
  <c r="AI31" i="4"/>
  <c r="AH31" i="4"/>
  <c r="AG31" i="4"/>
  <c r="AF31" i="4"/>
  <c r="AE31" i="4"/>
  <c r="AD31" i="4"/>
  <c r="AJ30" i="4"/>
  <c r="AI30" i="4"/>
  <c r="AH30" i="4"/>
  <c r="AG30" i="4"/>
  <c r="AF30" i="4"/>
  <c r="AE30" i="4"/>
  <c r="AD30" i="4"/>
  <c r="AJ29" i="4"/>
  <c r="AI29" i="4"/>
  <c r="AH29" i="4"/>
  <c r="AG29" i="4"/>
  <c r="AF29" i="4"/>
  <c r="AE29" i="4"/>
  <c r="AD29" i="4"/>
  <c r="AJ28" i="4"/>
  <c r="AI28" i="4"/>
  <c r="AH28" i="4"/>
  <c r="AG28" i="4"/>
  <c r="AF28" i="4"/>
  <c r="AE28" i="4"/>
  <c r="AD28" i="4"/>
  <c r="AJ27" i="4"/>
  <c r="AI27" i="4"/>
  <c r="AH27" i="4"/>
  <c r="AG27" i="4"/>
  <c r="AF27" i="4"/>
  <c r="AE27" i="4"/>
  <c r="AD27" i="4"/>
  <c r="AJ26" i="4"/>
  <c r="AI26" i="4"/>
  <c r="AH26" i="4"/>
  <c r="AG26" i="4"/>
  <c r="AF26" i="4"/>
  <c r="AE26" i="4"/>
  <c r="AD26" i="4"/>
  <c r="AA31" i="4"/>
  <c r="Z31" i="4"/>
  <c r="Y31" i="4"/>
  <c r="X31" i="4"/>
  <c r="W31" i="4"/>
  <c r="V31" i="4"/>
  <c r="U31" i="4"/>
  <c r="AA30" i="4"/>
  <c r="Z30" i="4"/>
  <c r="Y30" i="4"/>
  <c r="X30" i="4"/>
  <c r="W30" i="4"/>
  <c r="V30" i="4"/>
  <c r="U30" i="4"/>
  <c r="AA29" i="4"/>
  <c r="Z29" i="4"/>
  <c r="Y29" i="4"/>
  <c r="X29" i="4"/>
  <c r="W29" i="4"/>
  <c r="V29" i="4"/>
  <c r="U29" i="4"/>
  <c r="AA28" i="4"/>
  <c r="Z28" i="4"/>
  <c r="Y28" i="4"/>
  <c r="X28" i="4"/>
  <c r="W28" i="4"/>
  <c r="V28" i="4"/>
  <c r="U28" i="4"/>
  <c r="AA27" i="4"/>
  <c r="Z27" i="4"/>
  <c r="Y27" i="4"/>
  <c r="X27" i="4"/>
  <c r="W27" i="4"/>
  <c r="V27" i="4"/>
  <c r="U27" i="4"/>
  <c r="AA26" i="4"/>
  <c r="Z26" i="4"/>
  <c r="Y26" i="4"/>
  <c r="X26" i="4"/>
  <c r="W26" i="4"/>
  <c r="V26" i="4"/>
  <c r="U26" i="4"/>
  <c r="R31" i="4"/>
  <c r="Q31" i="4"/>
  <c r="P31" i="4"/>
  <c r="O31" i="4"/>
  <c r="N31" i="4"/>
  <c r="M31" i="4"/>
  <c r="L31" i="4"/>
  <c r="R30" i="4"/>
  <c r="Q30" i="4"/>
  <c r="P30" i="4"/>
  <c r="O30" i="4"/>
  <c r="N30" i="4"/>
  <c r="M30" i="4"/>
  <c r="L30" i="4"/>
  <c r="R29" i="4"/>
  <c r="Q29" i="4"/>
  <c r="P29" i="4"/>
  <c r="O29" i="4"/>
  <c r="N29" i="4"/>
  <c r="M29" i="4"/>
  <c r="L29" i="4"/>
  <c r="R28" i="4"/>
  <c r="Q28" i="4"/>
  <c r="P28" i="4"/>
  <c r="O28" i="4"/>
  <c r="N28" i="4"/>
  <c r="M28" i="4"/>
  <c r="L28" i="4"/>
  <c r="R27" i="4"/>
  <c r="Q27" i="4"/>
  <c r="P27" i="4"/>
  <c r="O27" i="4"/>
  <c r="N27" i="4"/>
  <c r="M27" i="4"/>
  <c r="L27" i="4"/>
  <c r="R26" i="4"/>
  <c r="Q26" i="4"/>
  <c r="P26" i="4"/>
  <c r="O26" i="4"/>
  <c r="N26" i="4"/>
  <c r="M26" i="4"/>
  <c r="L26" i="4"/>
  <c r="I31" i="4"/>
  <c r="H31" i="4"/>
  <c r="G31" i="4"/>
  <c r="F31" i="4"/>
  <c r="E31" i="4"/>
  <c r="D31" i="4"/>
  <c r="C31" i="4"/>
  <c r="I30" i="4"/>
  <c r="H30" i="4"/>
  <c r="G30" i="4"/>
  <c r="F30" i="4"/>
  <c r="E30" i="4"/>
  <c r="D30" i="4"/>
  <c r="C30" i="4"/>
  <c r="I29" i="4"/>
  <c r="H29" i="4"/>
  <c r="G29" i="4"/>
  <c r="F29" i="4"/>
  <c r="E29" i="4"/>
  <c r="D29" i="4"/>
  <c r="C29" i="4"/>
  <c r="I28" i="4"/>
  <c r="H28" i="4"/>
  <c r="G28" i="4"/>
  <c r="F28" i="4"/>
  <c r="E28" i="4"/>
  <c r="D28" i="4"/>
  <c r="C28" i="4"/>
  <c r="I27" i="4"/>
  <c r="H27" i="4"/>
  <c r="G27" i="4"/>
  <c r="F27" i="4"/>
  <c r="E27" i="4"/>
  <c r="D27" i="4"/>
  <c r="C27" i="4"/>
  <c r="I26" i="4"/>
  <c r="H26" i="4"/>
  <c r="G26" i="4"/>
  <c r="F26" i="4"/>
  <c r="E26" i="4"/>
  <c r="D26" i="4"/>
  <c r="C26" i="4"/>
  <c r="AD42" i="4"/>
  <c r="U42" i="4"/>
  <c r="L42" i="4"/>
  <c r="C42" i="4"/>
  <c r="AD33" i="4"/>
  <c r="U33" i="4"/>
  <c r="L33" i="4"/>
  <c r="C33" i="4"/>
  <c r="AD24" i="4"/>
  <c r="U24" i="4"/>
  <c r="L24" i="4"/>
  <c r="C24" i="4"/>
</calcChain>
</file>

<file path=xl/sharedStrings.xml><?xml version="1.0" encoding="utf-8"?>
<sst xmlns="http://schemas.openxmlformats.org/spreadsheetml/2006/main" count="112" uniqueCount="35">
  <si>
    <t>TEAVE SELLE MALLI KOHTA</t>
  </si>
  <si>
    <t>Kohandage kalendri pealkirja ja valige aasta.</t>
  </si>
  <si>
    <t>Iga kuu värskendatakse kalender automaatselt.</t>
  </si>
  <si>
    <t>Märkus. </t>
  </si>
  <si>
    <t>Tabelite kohta lisateabe saamiseks vajutage tabelis tõstuklahvi (SHIFT) ja seejärel klahvi F10, valige suvand TABEL ja seejärel käsk ASETEKST.</t>
  </si>
  <si>
    <t>Sellel töölehel saate luua mis tahes aasta perekonnakalendri. Selle veeru lahtritest leiate töölehe kasutamise kohta käivad kasulikud juhised. Järgmine juhis on lahtris A3.</t>
  </si>
  <si>
    <t>Lahtris D5 on silt Olulised kuupäevad ja lahtris U5 silt Märkmed. Sisestage lahtritesse D6 kuni D20 olulised kuupäevad, lahtritesse H6 kuni H20 tähtpäevad ja sündmused ning lahtritesse U6 kuni U20 Märkmed. Järgmine juhis on lahtris A23.</t>
  </si>
  <si>
    <t>Aastakalender asub lahtrites C24 kuni AJ49, jaanuari kalender lahtrites C25 kuni I31, veebruari kalender lahtrites L25 kuni R31, märtsi kalender lahtrites U25 kuni AA31 ja aprilli kalender lahtrites AD25 kuni AJ31.</t>
  </si>
  <si>
    <t>Sellel real on kuude nimed. Jaanuari silt asub lahtris C24, veebruari silt lahtris L24, märtsi oma lahtris U24 ja aprilli oma lahtris AD24.</t>
  </si>
  <si>
    <t>Sellel real on nädalapäevade nimed. Jaanuari nädalapäevade nimed on lahtrites C25 kuni I25, veebruari nädalapäevad lahtrites L25 kuni R25, märtsi nädalapäevad lahtrites U25 kuni AA25 ja aprilli nädalapäevad lahtrites AD25 kuni AJ25.</t>
  </si>
  <si>
    <t>Kuupäevad värskendatakse sellel real automaatselt. Jaanuari kuupäevad asuvad paremal lahtrites C26 kuni I31, veebruari kuupäevad lahtrites L26 kuni R31, märtsi kuupäevad lahtrites U26 kuni AA31 ja aprilli kuupäevad lahtrites AD26 kuni AJ31. Järgmine juhis on lahtris A32.</t>
  </si>
  <si>
    <t>Mai kalender asub lahtrites C34 kuni I40, juuni kalender lahtrites L34 kuni R40, juuli kalender lahtrites U34 kuni AA40 ja augusti kalender lahtrites AD34 kuni AJ40.</t>
  </si>
  <si>
    <t>Sellel real on kuude nimed. Mai silt asub lahtris C33, juuni silt lahtris L33, juuli oma lahtris U33 ja augusti oma lahtris AD33.</t>
  </si>
  <si>
    <t>Sellel real on nädalapäevade nimed. Mai nädalapäevade nimed asuvad lahtrites C34 kuni I34, juuni nädalapäevad lahtrites L34 kuni R34, juuli nädalapäevad lahtrites U34 kuni AA34 ja augusti nädalapäevad lahtrites AD34 kuni AJ34.</t>
  </si>
  <si>
    <t>Kuupäevad värskendatakse sellel real automaatselt. Mai kuupäevad asuvad paremal lahtrites C35 kuni I40, juuni kuupäevad lahtrites L35 kuni R40, juuli kuupäevad lahtrites U35 kuni AA35 ja augusti kuupäevad lahtrites AD35 kuni AJ40. Järgmine juhis on lahtris A41.</t>
  </si>
  <si>
    <t>Septembri kalender asub lahtrites C43 kuni I49, oktoobri kalender lahtrites L43 kuni R49, novembri kalender lahtrites U43 kuni AA49 ja detsembri kalender lahtrites AD43 kuni AJ49.</t>
  </si>
  <si>
    <t>Sellel real on kuude nimed. Septembri silt asub lahtris C42, oktoobri silt lahtris L42, novembri oma lahtris U42 ja detsembri oma lahtris AD42.</t>
  </si>
  <si>
    <t>Sellel real on nädalapäevade nimed. Septembri nädalapäevade nimed asuvad lahtrites C43 kuni I43, oktoobri nädalapäevad lahtrites L43 kuni R43, novembri nädalapäevad lahtrites U43 kuni AA43 ja detsembri nädalapäevad lahtrites AD43 kuni AJ43.</t>
  </si>
  <si>
    <t>Kuupäevad värskendatakse sellel real automaatselt. Septembri kuupäevad asuvad paremal lahtrites C44 kuni I49, oktoobri kuupäevad lahtrites L44 kuni R49, novembri kuupäevad lahtrites U44 kuni AA49 ja detsembri kuupäevad lahtrites AD44 kuni AJ49.</t>
  </si>
  <si>
    <t>E</t>
  </si>
  <si>
    <t>Perekond Kuusiku kalender</t>
  </si>
  <si>
    <t>Olulised kuupäevad</t>
  </si>
  <si>
    <t>T</t>
  </si>
  <si>
    <t>K</t>
  </si>
  <si>
    <t>N</t>
  </si>
  <si>
    <t>R</t>
  </si>
  <si>
    <t>Uusaasta</t>
  </si>
  <si>
    <t>Jaani sünnipäev</t>
  </si>
  <si>
    <t>L</t>
  </si>
  <si>
    <t>P</t>
  </si>
  <si>
    <t>Märkused</t>
  </si>
  <si>
    <t>Näpunäide. Kalendriaasta vahetamiseks kasutage selles lahtris asuvat spinnerit.</t>
  </si>
  <si>
    <t>Töölehe PEREKALENDER veerus A on toodud lisajuhised. See tekst on tahtlikult peidetud. Teksti eemaldamiseks valige veerg A ja seejärel käsk PEREKALENDER. Teksti kuvamiseks valige veerg A ja muutke seejärel fondi värvi.</t>
  </si>
  <si>
    <t>Selles perekalender saate hoida olulistel kuupäevadel silma peal ja sisestada märkmeid.</t>
  </si>
  <si>
    <t>Lahtris D3 kohandage kalendri pealkirja ja lahtris AE3 sisestage aasta. Näpunäide on lahtris AL3. Järgmine juhis on lahtris A5.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</si>
</sst>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d"/>
    <numFmt numFmtId="167" formatCode="mmmm"/>
  </numFmts>
  <fonts count="42" x14ac:knownFonts="1">
    <font>
      <sz val="10"/>
      <color theme="1"/>
      <name val="Calibri"/>
      <family val="2"/>
      <scheme val="minor"/>
    </font>
    <font>
      <sz val="11"/>
      <color theme="1"/>
      <name val="Calibri"/>
      <family val="2"/>
      <scheme val="minor"/>
    </font>
    <font>
      <sz val="11"/>
      <color theme="1"/>
      <name val="Calibri"/>
      <family val="2"/>
      <scheme val="minor"/>
    </font>
    <font>
      <b/>
      <sz val="12"/>
      <color theme="0"/>
      <name val="Cambria"/>
      <family val="4"/>
      <scheme val="major"/>
    </font>
    <font>
      <sz val="11"/>
      <color theme="1"/>
      <name val="Cambria"/>
      <family val="4"/>
      <scheme val="major"/>
    </font>
    <font>
      <sz val="11"/>
      <color rgb="FFFFFF00"/>
      <name val="Cambria"/>
      <family val="4"/>
      <scheme val="major"/>
    </font>
    <font>
      <sz val="10"/>
      <color rgb="FFFFFF00"/>
      <name val="Cambria"/>
      <family val="4"/>
      <scheme val="major"/>
    </font>
    <font>
      <sz val="10"/>
      <color theme="4"/>
      <name val="Cambria"/>
      <family val="4"/>
      <scheme val="major"/>
    </font>
    <font>
      <b/>
      <sz val="12"/>
      <color theme="1"/>
      <name val="Cambria"/>
      <family val="2"/>
      <scheme val="major"/>
    </font>
    <font>
      <sz val="9"/>
      <color theme="1"/>
      <name val="Calibri"/>
      <family val="2"/>
      <scheme val="minor"/>
    </font>
    <font>
      <sz val="10"/>
      <color theme="4"/>
      <name val="Calibri"/>
      <family val="2"/>
      <scheme val="minor"/>
    </font>
    <font>
      <sz val="11"/>
      <color theme="4"/>
      <name val="Cambria"/>
      <family val="4"/>
      <scheme val="major"/>
    </font>
    <font>
      <b/>
      <sz val="11.5"/>
      <color theme="1"/>
      <name val="Cambria"/>
      <family val="2"/>
      <scheme val="major"/>
    </font>
    <font>
      <b/>
      <sz val="11.5"/>
      <color theme="0" tint="-0.249977111117893"/>
      <name val="Calibri"/>
      <family val="2"/>
      <scheme val="minor"/>
    </font>
    <font>
      <b/>
      <sz val="12"/>
      <color theme="0"/>
      <name val="Cambria"/>
      <family val="1"/>
      <scheme val="major"/>
    </font>
    <font>
      <b/>
      <sz val="28"/>
      <color theme="0"/>
      <name val="Cambria"/>
      <family val="1"/>
      <scheme val="major"/>
    </font>
    <font>
      <sz val="10"/>
      <color theme="0"/>
      <name val="Calibri"/>
      <family val="2"/>
      <scheme val="minor"/>
    </font>
    <font>
      <sz val="11"/>
      <color theme="0"/>
      <name val="Cambria"/>
      <family val="4"/>
      <scheme val="major"/>
    </font>
    <font>
      <sz val="12"/>
      <color theme="0"/>
      <name val="Cambria"/>
      <family val="1"/>
      <scheme val="major"/>
    </font>
    <font>
      <sz val="12"/>
      <color theme="0"/>
      <name val="Cambria"/>
      <family val="4"/>
      <scheme val="major"/>
    </font>
    <font>
      <sz val="12"/>
      <color theme="0"/>
      <name val="Calibri"/>
      <family val="2"/>
      <scheme val="minor"/>
    </font>
    <font>
      <sz val="11"/>
      <name val="Calibri"/>
      <family val="2"/>
      <scheme val="minor"/>
    </font>
    <font>
      <b/>
      <sz val="11.5"/>
      <color theme="1" tint="0.34998626667073579"/>
      <name val="Calibri"/>
      <family val="2"/>
      <scheme val="minor"/>
    </font>
    <font>
      <b/>
      <sz val="13"/>
      <color theme="3"/>
      <name val="Calibri"/>
      <family val="2"/>
      <scheme val="minor"/>
    </font>
    <font>
      <b/>
      <sz val="13"/>
      <color theme="3" tint="-0.249977111117893"/>
      <name val="Calibri"/>
      <family val="2"/>
      <scheme val="minor"/>
    </font>
    <font>
      <b/>
      <sz val="11"/>
      <color theme="1"/>
      <name val="Calibri"/>
      <family val="2"/>
      <scheme val="minor"/>
    </font>
    <font>
      <sz val="11"/>
      <color theme="0"/>
      <name val="Calibri"/>
      <family val="2"/>
      <scheme val="minor"/>
    </font>
    <font>
      <sz val="11"/>
      <name val="Calibri"/>
      <family val="2"/>
    </font>
    <font>
      <sz val="10"/>
      <color theme="1"/>
      <name val="Calibri"/>
      <family val="2"/>
      <scheme val="minor"/>
    </font>
    <font>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5">
    <fill>
      <patternFill patternType="none"/>
    </fill>
    <fill>
      <patternFill patternType="gray125"/>
    </fill>
    <fill>
      <patternFill patternType="solid">
        <fgColor theme="1" tint="0.14999847407452621"/>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style="thin">
        <color theme="0" tint="-0.14996795556505021"/>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1" fillId="0" borderId="0"/>
    <xf numFmtId="0" fontId="23" fillId="0" borderId="4"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7" applyNumberFormat="0" applyAlignment="0" applyProtection="0"/>
    <xf numFmtId="0" fontId="36" fillId="8" borderId="8" applyNumberFormat="0" applyAlignment="0" applyProtection="0"/>
    <xf numFmtId="0" fontId="37" fillId="8" borderId="7" applyNumberFormat="0" applyAlignment="0" applyProtection="0"/>
    <xf numFmtId="0" fontId="38" fillId="0" borderId="9" applyNumberFormat="0" applyFill="0" applyAlignment="0" applyProtection="0"/>
    <xf numFmtId="0" fontId="39" fillId="9" borderId="10" applyNumberFormat="0" applyAlignment="0" applyProtection="0"/>
    <xf numFmtId="0" fontId="40" fillId="0" borderId="0" applyNumberFormat="0" applyFill="0" applyBorder="0" applyAlignment="0" applyProtection="0"/>
    <xf numFmtId="0" fontId="28" fillId="10" borderId="11" applyNumberFormat="0" applyFont="0" applyAlignment="0" applyProtection="0"/>
    <xf numFmtId="0" fontId="41" fillId="0" borderId="0" applyNumberFormat="0" applyFill="0" applyBorder="0" applyAlignment="0" applyProtection="0"/>
    <xf numFmtId="0" fontId="25" fillId="0" borderId="12"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5">
    <xf numFmtId="0" fontId="0" fillId="0" borderId="0" xfId="0"/>
    <xf numFmtId="0" fontId="0" fillId="0" borderId="0" xfId="0" applyFont="1"/>
    <xf numFmtId="0" fontId="0" fillId="0" borderId="0" xfId="0" applyFont="1" applyFill="1" applyBorder="1"/>
    <xf numFmtId="0" fontId="3" fillId="2" borderId="0" xfId="0" applyFont="1" applyFill="1" applyAlignment="1">
      <alignment horizontal="left" indent="1"/>
    </xf>
    <xf numFmtId="0" fontId="10" fillId="2" borderId="0" xfId="0" applyFont="1" applyFill="1"/>
    <xf numFmtId="0" fontId="11" fillId="2" borderId="0" xfId="0" applyFont="1" applyFill="1"/>
    <xf numFmtId="0" fontId="7" fillId="2" borderId="0" xfId="0" applyFont="1" applyFill="1"/>
    <xf numFmtId="0" fontId="4" fillId="0" borderId="0" xfId="0" applyFont="1" applyFill="1"/>
    <xf numFmtId="0" fontId="7" fillId="0" borderId="0" xfId="0" applyFont="1" applyFill="1"/>
    <xf numFmtId="0" fontId="6" fillId="0" borderId="0" xfId="0" applyFont="1" applyFill="1"/>
    <xf numFmtId="0" fontId="5" fillId="0" borderId="0" xfId="0" applyFont="1" applyFill="1"/>
    <xf numFmtId="0" fontId="0" fillId="0" borderId="0" xfId="0" applyFill="1"/>
    <xf numFmtId="0" fontId="14" fillId="2" borderId="0" xfId="0" applyFont="1" applyFill="1"/>
    <xf numFmtId="0" fontId="7" fillId="2" borderId="0" xfId="0" applyFont="1" applyFill="1" applyAlignment="1"/>
    <xf numFmtId="0" fontId="16" fillId="2" borderId="0" xfId="0" applyFont="1" applyFill="1"/>
    <xf numFmtId="0" fontId="17" fillId="2" borderId="0" xfId="0" applyFont="1" applyFill="1"/>
    <xf numFmtId="0" fontId="18" fillId="2" borderId="0" xfId="0" applyFont="1" applyFill="1" applyAlignment="1">
      <alignment horizontal="left" indent="1"/>
    </xf>
    <xf numFmtId="0" fontId="19" fillId="2" borderId="0" xfId="0" applyFont="1" applyFill="1" applyAlignment="1">
      <alignment horizontal="left" indent="1"/>
    </xf>
    <xf numFmtId="0" fontId="19" fillId="2" borderId="0" xfId="0" applyFont="1" applyFill="1"/>
    <xf numFmtId="0" fontId="20" fillId="2" borderId="0" xfId="0" applyFont="1" applyFill="1"/>
    <xf numFmtId="0" fontId="16" fillId="0" borderId="0" xfId="0" applyFont="1"/>
    <xf numFmtId="0" fontId="22" fillId="0" borderId="0" xfId="0" applyFont="1" applyFill="1" applyBorder="1" applyAlignment="1">
      <alignment horizontal="center"/>
    </xf>
    <xf numFmtId="0" fontId="24" fillId="3" borderId="4" xfId="2" applyFont="1" applyFill="1" applyAlignment="1">
      <alignment horizontal="center"/>
    </xf>
    <xf numFmtId="0" fontId="0" fillId="0" borderId="0" xfId="0" applyAlignment="1">
      <alignment vertical="center"/>
    </xf>
    <xf numFmtId="0" fontId="2"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0" fontId="0" fillId="0" borderId="0" xfId="0" applyAlignment="1">
      <alignment wrapText="1"/>
    </xf>
    <xf numFmtId="0" fontId="17" fillId="2" borderId="0" xfId="0" applyFont="1" applyFill="1" applyAlignment="1">
      <alignment wrapText="1"/>
    </xf>
    <xf numFmtId="0" fontId="16" fillId="2" borderId="0" xfId="0" applyFont="1" applyFill="1" applyAlignment="1">
      <alignment wrapText="1"/>
    </xf>
    <xf numFmtId="0" fontId="27" fillId="0" borderId="0" xfId="0" applyFont="1" applyAlignment="1">
      <alignment wrapText="1"/>
    </xf>
    <xf numFmtId="0" fontId="8" fillId="0" borderId="3" xfId="0" applyNumberFormat="1" applyFont="1" applyFill="1" applyBorder="1" applyAlignment="1"/>
    <xf numFmtId="0" fontId="8" fillId="0" borderId="0" xfId="0" applyNumberFormat="1" applyFont="1" applyFill="1" applyBorder="1" applyAlignment="1"/>
    <xf numFmtId="0" fontId="13" fillId="0" borderId="3"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3" xfId="0" applyNumberFormat="1" applyFont="1" applyFill="1" applyBorder="1" applyAlignment="1">
      <alignment horizontal="center"/>
    </xf>
    <xf numFmtId="0" fontId="0" fillId="0" borderId="0" xfId="0" applyNumberFormat="1" applyFont="1" applyFill="1" applyBorder="1"/>
    <xf numFmtId="0" fontId="0" fillId="0" borderId="3" xfId="0" applyNumberFormat="1" applyFont="1" applyBorder="1"/>
    <xf numFmtId="0" fontId="0" fillId="0" borderId="0" xfId="0" applyNumberFormat="1" applyFont="1"/>
    <xf numFmtId="0" fontId="0" fillId="0" borderId="0" xfId="0" applyNumberFormat="1"/>
    <xf numFmtId="0" fontId="0" fillId="0" borderId="3" xfId="0" applyNumberFormat="1" applyBorder="1"/>
    <xf numFmtId="0" fontId="9" fillId="0" borderId="0" xfId="0" applyNumberFormat="1" applyFont="1"/>
    <xf numFmtId="0" fontId="1" fillId="0" borderId="0" xfId="0" applyFont="1" applyAlignment="1">
      <alignment vertical="center" wrapText="1"/>
    </xf>
    <xf numFmtId="166" fontId="0" fillId="0" borderId="0" xfId="0" applyNumberFormat="1" applyFont="1" applyFill="1" applyBorder="1" applyAlignment="1">
      <alignment horizontal="center"/>
    </xf>
    <xf numFmtId="0" fontId="16" fillId="0" borderId="0" xfId="0" applyFont="1" applyAlignment="1">
      <alignment horizontal="center" wrapText="1"/>
    </xf>
    <xf numFmtId="0" fontId="15" fillId="2" borderId="0" xfId="0" applyFont="1" applyFill="1" applyAlignment="1">
      <alignment horizontal="left" wrapText="1"/>
    </xf>
    <xf numFmtId="0" fontId="15" fillId="2" borderId="0" xfId="0" applyFont="1" applyFill="1" applyAlignment="1">
      <alignment horizontal="right" wrapText="1"/>
    </xf>
    <xf numFmtId="0" fontId="10" fillId="2" borderId="2" xfId="0" applyFont="1" applyFill="1" applyBorder="1"/>
    <xf numFmtId="0" fontId="7" fillId="2" borderId="0" xfId="0" applyFont="1" applyFill="1" applyAlignment="1"/>
    <xf numFmtId="0" fontId="10" fillId="2" borderId="1" xfId="0" applyFont="1" applyFill="1" applyBorder="1"/>
    <xf numFmtId="14" fontId="7" fillId="2" borderId="0" xfId="0" applyNumberFormat="1" applyFont="1" applyFill="1" applyAlignment="1">
      <alignment horizontal="right" indent="1"/>
    </xf>
    <xf numFmtId="0" fontId="7" fillId="0" borderId="0" xfId="0" applyFont="1" applyFill="1"/>
    <xf numFmtId="0" fontId="7" fillId="2" borderId="0" xfId="0" applyFont="1" applyFill="1"/>
    <xf numFmtId="167" fontId="12" fillId="0" borderId="0" xfId="0" applyNumberFormat="1" applyFont="1" applyFill="1" applyBorder="1" applyAlignment="1">
      <alignment horizontal="left"/>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3" builtinId="3" customBuiltin="1"/>
    <cellStyle name="Comma [0]" xfId="4" builtinId="6" customBuiltin="1"/>
    <cellStyle name="Currency" xfId="5" builtinId="4" customBuiltin="1"/>
    <cellStyle name="Currency [0]" xfId="6" builtinId="7" customBuiltin="1"/>
    <cellStyle name="Explanatory Text" xfId="22" builtinId="53" customBuiltin="1"/>
    <cellStyle name="Good" xfId="12" builtinId="26" customBuiltin="1"/>
    <cellStyle name="Heading 1" xfId="9" builtinId="16" customBuiltin="1"/>
    <cellStyle name="Heading 2" xfId="2"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7" builtinId="5" customBuiltin="1"/>
    <cellStyle name="Tavaline 2" xfId="1" xr:uid="{00000000-0005-0000-0000-000001000000}"/>
    <cellStyle name="Title" xfId="8" builtinId="15" customBuiltin="1"/>
    <cellStyle name="Total" xfId="23" builtinId="25" customBuiltin="1"/>
    <cellStyle name="Warning Text" xfId="20" builtinId="11" customBuiltin="1"/>
  </cellStyles>
  <dxfs count="109">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AE$3" max="2999" min="1900" page="10" val="2019"/>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85725</xdr:rowOff>
    </xdr:from>
    <xdr:to>
      <xdr:col>36</xdr:col>
      <xdr:colOff>183262</xdr:colOff>
      <xdr:row>22</xdr:row>
      <xdr:rowOff>7239</xdr:rowOff>
    </xdr:to>
    <xdr:sp macro="" textlink="">
      <xdr:nvSpPr>
        <xdr:cNvPr id="2" name="Koolitahvli raam" descr="Puidust koolitahvli raam">
          <a:extLst>
            <a:ext uri="{FF2B5EF4-FFF2-40B4-BE49-F238E27FC236}">
              <a16:creationId xmlns:a16="http://schemas.microsoft.com/office/drawing/2014/main" id="{00000000-0008-0000-0100-000002000000}"/>
            </a:ext>
          </a:extLst>
        </xdr:cNvPr>
        <xdr:cNvSpPr/>
      </xdr:nvSpPr>
      <xdr:spPr>
        <a:xfrm>
          <a:off x="257176" y="85725"/>
          <a:ext cx="7431786" cy="4188714"/>
        </a:xfrm>
        <a:prstGeom prst="frame">
          <a:avLst>
            <a:gd name="adj1" fmla="val 4776"/>
          </a:avLst>
        </a:prstGeom>
        <a:blipFill>
          <a:blip xmlns:r="http://schemas.openxmlformats.org/officeDocument/2006/relationships" r:embed="rId1">
            <a:extLst>
              <a:ext uri="{BEBA8EAE-BF5A-486C-A8C5-ECC9F3942E4B}">
                <a14:imgProps xmlns:a14="http://schemas.microsoft.com/office/drawing/2010/main">
                  <a14:imgLayer r:embed="rId2">
                    <a14:imgEffect>
                      <a14:artisticCrisscrossEtching/>
                    </a14:imgEffect>
                  </a14:imgLayer>
                </a14:imgProps>
              </a:ext>
            </a:extLst>
          </a:blip>
          <a:tile tx="0" ty="0" sx="100000" sy="100000" flip="none" algn="tl"/>
        </a:blipFill>
        <a:ln>
          <a:noFill/>
        </a:ln>
        <a:effectLst>
          <a:innerShdw blurRad="114300">
            <a:prstClr val="black"/>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twoCellAnchor editAs="oneCell">
    <xdr:from>
      <xdr:col>37</xdr:col>
      <xdr:colOff>9527</xdr:colOff>
      <xdr:row>2</xdr:row>
      <xdr:rowOff>104776</xdr:rowOff>
    </xdr:from>
    <xdr:to>
      <xdr:col>40</xdr:col>
      <xdr:colOff>1</xdr:colOff>
      <xdr:row>3</xdr:row>
      <xdr:rowOff>0</xdr:rowOff>
    </xdr:to>
    <xdr:sp macro="" textlink="">
      <xdr:nvSpPr>
        <xdr:cNvPr id="4" name="Juhised" descr="Näpunäide: kalendriaasta vahetamiseks kasutage spinnerit.">
          <a:extLst>
            <a:ext uri="{FF2B5EF4-FFF2-40B4-BE49-F238E27FC236}">
              <a16:creationId xmlns:a16="http://schemas.microsoft.com/office/drawing/2014/main" id="{00000000-0008-0000-0100-000004000000}"/>
            </a:ext>
          </a:extLst>
        </xdr:cNvPr>
        <xdr:cNvSpPr txBox="1"/>
      </xdr:nvSpPr>
      <xdr:spPr>
        <a:xfrm>
          <a:off x="7667627" y="552451"/>
          <a:ext cx="1800224"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r>
            <a:rPr lang="et" sz="1000" b="0" i="1">
              <a:solidFill>
                <a:schemeClr val="tx1">
                  <a:lumMod val="75000"/>
                  <a:lumOff val="25000"/>
                </a:schemeClr>
              </a:solidFill>
              <a:latin typeface="Calibri" panose="020F0502020204030204" pitchFamily="34" charset="0"/>
            </a:rPr>
            <a:t>Kalendriaasta vahetamiseks kasutage spinnerit</a:t>
          </a:r>
        </a:p>
      </xdr:txBody>
    </xdr:sp>
    <xdr:clientData fPrintsWithSheet="0"/>
  </xdr:twoCellAnchor>
  <xdr:twoCellAnchor editAs="oneCell">
    <xdr:from>
      <xdr:col>18</xdr:col>
      <xdr:colOff>114300</xdr:colOff>
      <xdr:row>4</xdr:row>
      <xdr:rowOff>85725</xdr:rowOff>
    </xdr:from>
    <xdr:to>
      <xdr:col>18</xdr:col>
      <xdr:colOff>114300</xdr:colOff>
      <xdr:row>20</xdr:row>
      <xdr:rowOff>24765</xdr:rowOff>
    </xdr:to>
    <xdr:cxnSp macro="">
      <xdr:nvCxnSpPr>
        <xdr:cNvPr id="6" name="Koolitahvli eraldaja" descr="Koolitahvli eraldaja">
          <a:extLst>
            <a:ext uri="{FF2B5EF4-FFF2-40B4-BE49-F238E27FC236}">
              <a16:creationId xmlns:a16="http://schemas.microsoft.com/office/drawing/2014/main" id="{00000000-0008-0000-0100-000006000000}"/>
            </a:ext>
          </a:extLst>
        </xdr:cNvPr>
        <xdr:cNvCxnSpPr/>
      </xdr:nvCxnSpPr>
      <xdr:spPr>
        <a:xfrm>
          <a:off x="4343400" y="1076325"/>
          <a:ext cx="0" cy="2834640"/>
        </a:xfrm>
        <a:prstGeom prst="line">
          <a:avLst/>
        </a:prstGeom>
        <a:ln w="3175">
          <a:solidFill>
            <a:schemeClr val="accent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35</xdr:col>
          <xdr:colOff>0</xdr:colOff>
          <xdr:row>2</xdr:row>
          <xdr:rowOff>85725</xdr:rowOff>
        </xdr:from>
        <xdr:to>
          <xdr:col>35</xdr:col>
          <xdr:colOff>152400</xdr:colOff>
          <xdr:row>2</xdr:row>
          <xdr:rowOff>390525</xdr:rowOff>
        </xdr:to>
        <xdr:sp macro="" textlink="">
          <xdr:nvSpPr>
            <xdr:cNvPr id="1025" name="Spinner" descr="Kalendriaasta muutmiseks kasutage spinneri nuppu või tippige soovitud aasta lahtrisse AE3."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084D8F-5E57-4031-AB3B-95BABC13017E}" name="Jaanuar" displayName="Jaanuar" ref="C25:I31" totalsRowShown="0" headerRowDxfId="107" dataDxfId="106">
  <autoFilter ref="C25:I31" xr:uid="{1ADE8804-B0AD-4D11-994B-A0B41F6BA2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197DA7-A53D-40E2-83EB-11047B8FB9A1}" name="E" dataDxfId="105"/>
    <tableColumn id="2" xr3:uid="{D28A6F25-5E4C-4F17-88ED-16968913DBE9}" name="T" dataDxfId="104"/>
    <tableColumn id="3" xr3:uid="{BB2355F6-BB28-486C-8D20-834DCACD4F3F}" name="K" dataDxfId="103"/>
    <tableColumn id="4" xr3:uid="{50E92CC5-40CA-4805-9BB5-CE0DB8786693}" name="N" dataDxfId="102"/>
    <tableColumn id="5" xr3:uid="{E4BB72AD-4D9E-41F4-90A0-D41C1000188D}" name="R" dataDxfId="101"/>
    <tableColumn id="6" xr3:uid="{2B371CF3-31DE-453E-9B23-86C0A18DD970}" name="L" dataDxfId="100"/>
    <tableColumn id="7" xr3:uid="{66ED2259-FB70-4D39-BDC5-24C72D11CFAF}" name="P" dataDxfId="99"/>
  </tableColumns>
  <tableStyleInfo showFirstColumn="0" showLastColumn="0" showRowStripes="0" showColumnStripes="0"/>
  <extLst>
    <ext xmlns:x14="http://schemas.microsoft.com/office/spreadsheetml/2009/9/main" uri="{504A1905-F514-4f6f-8877-14C23A59335A}">
      <x14:table altTextSummary="Jaanuari kalender, nädalapäev arvutatakse automaatselt selle tabeli lahtrisse AE3 sisestatud aasta jaok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09AB6E0-CD0E-4829-AEC6-6555470351F2}" name="Mai" displayName="Mai" ref="C34:I40" totalsRowShown="0" headerRowDxfId="26" dataDxfId="25">
  <autoFilter ref="C34:I40" xr:uid="{DD84EE09-28A1-495B-AAF7-8A0DC4C4308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B5F498-A896-471E-B854-83E1F5569372}" name="E" dataDxfId="24"/>
    <tableColumn id="2" xr3:uid="{BA329B39-24F6-49D6-B18B-B0D068298D8D}" name="T" dataDxfId="23"/>
    <tableColumn id="3" xr3:uid="{C799F152-9858-4AF4-A0FF-8FCA81C8D628}" name="K" dataDxfId="22"/>
    <tableColumn id="4" xr3:uid="{E983E442-3CDE-46FF-8F09-DAE022ADCC87}" name="N" dataDxfId="21"/>
    <tableColumn id="5" xr3:uid="{8149405D-CCBC-4B4B-85BE-1A4FF328E013}" name="R" dataDxfId="20"/>
    <tableColumn id="6" xr3:uid="{9C43832F-4334-4B42-B414-EFF19262FEE6}" name="L" dataDxfId="19"/>
    <tableColumn id="7" xr3:uid="{9AF096CA-BE9E-4E1D-838B-C9706D1EF82D}" name="P" dataDxfId="18"/>
  </tableColumns>
  <tableStyleInfo showFirstColumn="0" showLastColumn="0" showRowStripes="0" showColumnStripes="0"/>
  <extLst>
    <ext xmlns:x14="http://schemas.microsoft.com/office/spreadsheetml/2009/9/main" uri="{504A1905-F514-4f6f-8877-14C23A59335A}">
      <x14:table altTextSummary="Mai kalender, nädalapäev arvutatakse automaatselt selle tabeli lahtrisse AE3 sisestatud aasta jaok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C1C30F-F899-4F2F-ACC1-9E735A2D638E}" name="Juuni" displayName="Juuni" ref="L34:R40" totalsRowShown="0" headerRowDxfId="17" dataDxfId="16">
  <autoFilter ref="L34:R40" xr:uid="{06E6625D-5B44-4419-B810-7FC21D452B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503938C-7986-49FF-9501-DDC17B342FAA}" name="E" dataDxfId="15"/>
    <tableColumn id="2" xr3:uid="{D09E41EB-4C62-4845-BE36-E7C6C3889C0C}" name="T" dataDxfId="14"/>
    <tableColumn id="3" xr3:uid="{7E15A4CB-F43F-4EBE-BA7C-AF20ECC6CFCF}" name="K" dataDxfId="13"/>
    <tableColumn id="4" xr3:uid="{FB6E5EE0-423F-4A55-9060-8B0B30DC7B4C}" name="N" dataDxfId="12"/>
    <tableColumn id="5" xr3:uid="{C7F55345-04C4-4F39-ADF6-BE38EF870C9A}" name="R" dataDxfId="11"/>
    <tableColumn id="6" xr3:uid="{89E766D5-3601-41EB-A409-D3C988BFEBDC}" name="L" dataDxfId="10"/>
    <tableColumn id="7" xr3:uid="{B37A6A8B-9721-42FA-8CA0-0914B15D5A98}" name="P" dataDxfId="9"/>
  </tableColumns>
  <tableStyleInfo showFirstColumn="0" showLastColumn="0" showRowStripes="0" showColumnStripes="0"/>
  <extLst>
    <ext xmlns:x14="http://schemas.microsoft.com/office/spreadsheetml/2009/9/main" uri="{504A1905-F514-4f6f-8877-14C23A59335A}">
      <x14:table altTextSummary="Juuni kalender, nädalapäev arvutatakse automaatselt selle tabeli lahtrisse AE3 sisestatud aasta jaok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EF8228F-878A-4314-8FAB-11CFA7BBDCCE}" name="Juuli" displayName="Juuli" ref="U34:AA40" totalsRowShown="0" headerRowDxfId="8" dataDxfId="7">
  <autoFilter ref="U34:AA40" xr:uid="{9393EAC2-153E-44A1-8C75-70195AD060C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04AB094-7893-4603-B8E4-15FF6D7C848C}" name="E" dataDxfId="6"/>
    <tableColumn id="2" xr3:uid="{84C699AB-6496-441A-B237-2EB283CEFEAE}" name="T" dataDxfId="5"/>
    <tableColumn id="3" xr3:uid="{F183BF59-9DC2-4398-81DB-F0438980A67D}" name="K" dataDxfId="4"/>
    <tableColumn id="4" xr3:uid="{57B4D1AE-A132-42AB-B0DA-DFFC07D5E12F}" name="N" dataDxfId="3"/>
    <tableColumn id="5" xr3:uid="{99F0B57B-81B2-4F58-814B-9AF63612A63B}" name="R" dataDxfId="2"/>
    <tableColumn id="6" xr3:uid="{85194B0F-B914-42E3-9849-D706E0596F18}" name="L" dataDxfId="1"/>
    <tableColumn id="7" xr3:uid="{D5875EA9-3BE5-41A0-8B63-BDE1DE894F6A}" name="P" dataDxfId="0"/>
  </tableColumns>
  <tableStyleInfo showFirstColumn="0" showLastColumn="0" showRowStripes="0" showColumnStripes="0"/>
  <extLst>
    <ext xmlns:x14="http://schemas.microsoft.com/office/spreadsheetml/2009/9/main" uri="{504A1905-F514-4f6f-8877-14C23A59335A}">
      <x14:table altTextSummary="Juuli kalender, nädalapäev arvutatakse automaatselt selle tabeli lahtrisse AE3 sisestatud aasta jaok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B1B8811-C173-43D0-81E6-C30611F9E48C}" name="Veebruar" displayName="Veebruar" ref="L25:R31" totalsRowShown="0" headerRowDxfId="98" dataDxfId="97">
  <autoFilter ref="L25:R31" xr:uid="{09FFEE6B-010F-48D3-B7C4-7E92ACC16B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ED18BE3-3587-499C-9504-874D29C247A0}" name="E" dataDxfId="96"/>
    <tableColumn id="2" xr3:uid="{A205A52F-8E37-498A-A5CC-6FD0732AF131}" name="T" dataDxfId="95"/>
    <tableColumn id="3" xr3:uid="{4F8A4A4F-781E-4A2F-9EF3-0FF67EE2444C}" name="K" dataDxfId="94"/>
    <tableColumn id="4" xr3:uid="{CDAFA5B3-2779-483C-99FC-75278781B8FD}" name="N" dataDxfId="93"/>
    <tableColumn id="5" xr3:uid="{C5B99975-7BB5-4A5D-8222-AC94AE515D3A}" name="R" dataDxfId="92"/>
    <tableColumn id="6" xr3:uid="{5AF46251-0E40-4F5B-94D6-BDC11EC73FDB}" name="L" dataDxfId="91"/>
    <tableColumn id="7" xr3:uid="{658ADFA5-E083-46E9-B4B2-6F07BA9C7140}" name="P" dataDxfId="90"/>
  </tableColumns>
  <tableStyleInfo showFirstColumn="0" showLastColumn="0" showRowStripes="0" showColumnStripes="0"/>
  <extLst>
    <ext xmlns:x14="http://schemas.microsoft.com/office/spreadsheetml/2009/9/main" uri="{504A1905-F514-4f6f-8877-14C23A59335A}">
      <x14:table altTextSummary="Veebruari kalender, nädalapäev arvutatakse automaatselt selle tabeli lahtrisse AE3 sisestatud aasta jaok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D92657-C237-4754-BCC7-2602796838F9}" name="Märts" displayName="Märts" ref="U25:AA31" totalsRowShown="0" headerRowDxfId="89" dataDxfId="88">
  <autoFilter ref="U25:AA31" xr:uid="{B456D373-3115-41EB-A162-40F83720CC9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4069E1A-70FC-4342-918B-8E6B20A93356}" name="E" dataDxfId="87"/>
    <tableColumn id="2" xr3:uid="{1976C28A-BF43-4F82-B3A1-179B4B4AF804}" name="T" dataDxfId="86"/>
    <tableColumn id="3" xr3:uid="{DFDBD758-6531-462B-9AE8-3686E98FFCA9}" name="K" dataDxfId="85"/>
    <tableColumn id="4" xr3:uid="{3AA99097-3DF7-4398-A496-FF080F2CE97E}" name="N" dataDxfId="84"/>
    <tableColumn id="5" xr3:uid="{0E76D483-C95C-4DD9-9CAE-A97C8544598B}" name="R" dataDxfId="83"/>
    <tableColumn id="6" xr3:uid="{7D921C56-69EB-4ABA-9B90-EA9F831DCC34}" name="L" dataDxfId="82"/>
    <tableColumn id="7" xr3:uid="{03450A21-A6C8-4854-B72B-E981E5FC9DC9}" name="P" dataDxfId="81"/>
  </tableColumns>
  <tableStyleInfo showFirstColumn="0" showLastColumn="0" showRowStripes="0" showColumnStripes="0"/>
  <extLst>
    <ext xmlns:x14="http://schemas.microsoft.com/office/spreadsheetml/2009/9/main" uri="{504A1905-F514-4f6f-8877-14C23A59335A}">
      <x14:table altTextSummary="Märtsi kalender, nädalapäev arvutatakse automaatselt selle tabeli lahtrisse AE3 sisestatud aasta jaok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087589-C009-49EB-AFDC-257881EDD147}" name="Aprill" displayName="Aprill" ref="AD25:AJ31" totalsRowShown="0" headerRowDxfId="80" dataDxfId="79">
  <autoFilter ref="AD25:AJ31" xr:uid="{8BFC6485-6E26-4A91-8066-650E029D3FF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EEF355-B82A-4D6F-B450-C6D068838F44}" name="E" dataDxfId="78"/>
    <tableColumn id="2" xr3:uid="{0221955E-CD3B-479A-BF28-D0EB57D80A7C}" name="T" dataDxfId="77"/>
    <tableColumn id="3" xr3:uid="{273B5508-3FFE-4EFC-8827-E1E9731A6D7E}" name="K" dataDxfId="76"/>
    <tableColumn id="4" xr3:uid="{7F787E39-16E5-49DD-AA24-872C926B911A}" name="N" dataDxfId="75"/>
    <tableColumn id="5" xr3:uid="{8AAAF603-B5C0-498D-9D55-5F9E7E387865}" name="R" dataDxfId="74"/>
    <tableColumn id="6" xr3:uid="{79472EDD-BC97-4C5A-A27E-F1390E092491}" name="L" dataDxfId="73"/>
    <tableColumn id="7" xr3:uid="{85A34A75-8BEB-40C8-9A1F-62A4F246DB22}" name="P" dataDxfId="72"/>
  </tableColumns>
  <tableStyleInfo showFirstColumn="0" showLastColumn="0" showRowStripes="0" showColumnStripes="0"/>
  <extLst>
    <ext xmlns:x14="http://schemas.microsoft.com/office/spreadsheetml/2009/9/main" uri="{504A1905-F514-4f6f-8877-14C23A59335A}">
      <x14:table altTextSummary="Aprilli kalender, nädalapäev arvutatakse automaatselt selle tabeli lahtrisse AE3 sisestatud aasta jaok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BF5564-BB5A-4618-B4DB-982512EAFB11}" name="August" displayName="August" ref="AD34:AJ40" totalsRowShown="0" headerRowDxfId="71" dataDxfId="70">
  <autoFilter ref="AD34:AJ40" xr:uid="{5719ADA1-9BC9-4D98-B98F-4D6D2024564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67B3F8E-C14A-47E8-8002-E8A7D40C3E27}" name="E" dataDxfId="69"/>
    <tableColumn id="2" xr3:uid="{01DDCFDC-70E0-489A-AAAE-CD22902F985B}" name="T" dataDxfId="68"/>
    <tableColumn id="3" xr3:uid="{6CBD51C1-76AC-4F6D-BE33-4C9402A220A5}" name="K" dataDxfId="67"/>
    <tableColumn id="4" xr3:uid="{EC58AF9D-EB3F-4E1D-8E68-2B1EF525DBAB}" name="N" dataDxfId="66"/>
    <tableColumn id="5" xr3:uid="{C367D5EF-1033-48E8-A2C7-4068935677BF}" name="R" dataDxfId="65"/>
    <tableColumn id="6" xr3:uid="{219986D6-6C09-4E7C-B268-689E81800E13}" name="L" dataDxfId="64"/>
    <tableColumn id="7" xr3:uid="{B02FE3BD-CE1D-4250-99CE-0DB5D42E3E4D}" name="P" dataDxfId="63"/>
  </tableColumns>
  <tableStyleInfo showFirstColumn="0" showLastColumn="0" showRowStripes="0" showColumnStripes="0"/>
  <extLst>
    <ext xmlns:x14="http://schemas.microsoft.com/office/spreadsheetml/2009/9/main" uri="{504A1905-F514-4f6f-8877-14C23A59335A}">
      <x14:table altTextSummary="Augusti kalender, nädalapäev arvutatakse automaatselt selle tabeli lahtrisse AE3 sisestatud aasta jaok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FF5790-842E-4103-BC29-B54ACD26D025}" name="Detsember" displayName="Detsember" ref="AD43:AJ49" totalsRowShown="0" headerRowDxfId="62" dataDxfId="61">
  <autoFilter ref="AD43:AJ49" xr:uid="{CEC5793F-6ABD-47F5-97E3-AA946FC68D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7CB8969-BEA3-4624-979E-E1374078F18D}" name="E" dataDxfId="60"/>
    <tableColumn id="2" xr3:uid="{DCB993F9-E5E9-4213-9C84-46F6E62105D7}" name="T" dataDxfId="59"/>
    <tableColumn id="3" xr3:uid="{ED7C5EA4-3B5B-404A-99A0-AD0C523D02E8}" name="K" dataDxfId="58"/>
    <tableColumn id="4" xr3:uid="{35FA642E-79F1-4B64-ACDB-3AB30A01BB43}" name="N" dataDxfId="57"/>
    <tableColumn id="5" xr3:uid="{9119F847-2CFB-4518-954A-408F67803C6D}" name="R" dataDxfId="56"/>
    <tableColumn id="6" xr3:uid="{CFC3B963-A43F-4B9E-A411-25CF38B5B8FB}" name="L" dataDxfId="55"/>
    <tableColumn id="7" xr3:uid="{6773B7AD-6C98-4B11-ACCC-958503B6DC12}" name="P" dataDxfId="54"/>
  </tableColumns>
  <tableStyleInfo showFirstColumn="0" showLastColumn="0" showRowStripes="0" showColumnStripes="0"/>
  <extLst>
    <ext xmlns:x14="http://schemas.microsoft.com/office/spreadsheetml/2009/9/main" uri="{504A1905-F514-4f6f-8877-14C23A59335A}">
      <x14:table altTextSummary="Detsembri kalender, nädalapäev arvutatakse automaatselt selle tabeli lahtrisse AE3 sisestatud aasta jaok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ECAB4FC-D90C-41D6-90D6-EFB979E90C77}" name="November" displayName="November" ref="U43:AA49" totalsRowShown="0" headerRowDxfId="53" dataDxfId="52">
  <autoFilter ref="U43:AA49" xr:uid="{D2B6EA8E-438C-46C4-92D4-1A158BB89EA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3919A4-2344-4CC2-99FA-245A55B3424B}" name="E" dataDxfId="51"/>
    <tableColumn id="2" xr3:uid="{AA21C15B-CFEE-4282-AC89-A2518C48FE57}" name="T" dataDxfId="50"/>
    <tableColumn id="3" xr3:uid="{50DEF649-6E83-425F-B0F7-9FB8FE7EBB63}" name="K" dataDxfId="49"/>
    <tableColumn id="4" xr3:uid="{2FE2FBD4-4B90-4F5C-A8AE-A8CEA2DD5861}" name="N" dataDxfId="48"/>
    <tableColumn id="5" xr3:uid="{B65AFF60-D315-4718-AF6E-4F26244C19DF}" name="R" dataDxfId="47"/>
    <tableColumn id="6" xr3:uid="{E8D0DE96-B2CD-47F6-94B9-529A472368BA}" name="L" dataDxfId="46"/>
    <tableColumn id="7" xr3:uid="{61C86030-ECA7-41C7-A52D-7CF24741A743}" name="P" dataDxfId="45"/>
  </tableColumns>
  <tableStyleInfo showFirstColumn="0" showLastColumn="0" showRowStripes="0" showColumnStripes="0"/>
  <extLst>
    <ext xmlns:x14="http://schemas.microsoft.com/office/spreadsheetml/2009/9/main" uri="{504A1905-F514-4f6f-8877-14C23A59335A}">
      <x14:table altTextSummary="Novembri kalender, nädalapäev arvutatakse automaatselt selle tabeli lahtrisse AE3 sisestatud aasta jaok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9240A08-42CE-49FA-A2A4-AF37C3C91937}" name="Oktoober" displayName="Oktoober" ref="L43:R49" totalsRowShown="0" headerRowDxfId="44" dataDxfId="43">
  <autoFilter ref="L43:R49" xr:uid="{190FC243-D4ED-4031-BD65-2508A4CC43A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959FE53-B080-4347-851C-F1E6DF868D1E}" name="E" dataDxfId="42"/>
    <tableColumn id="2" xr3:uid="{58818C2A-A8BB-4BEE-A471-DDCB2289F220}" name="T" dataDxfId="41"/>
    <tableColumn id="3" xr3:uid="{38A99EE2-D9B0-471F-B412-28E7BA093F28}" name="K" dataDxfId="40"/>
    <tableColumn id="4" xr3:uid="{E8BBD341-C110-4365-902F-BF128A3818B7}" name="N" dataDxfId="39"/>
    <tableColumn id="5" xr3:uid="{AECC25E7-B42C-47DE-AC99-4E3039CC4F71}" name="R" dataDxfId="38"/>
    <tableColumn id="6" xr3:uid="{2A622645-E1EE-49EF-9B76-A5C8939E6835}" name="L" dataDxfId="37"/>
    <tableColumn id="7" xr3:uid="{DEF76847-D46C-406F-9AAB-FEC40A323551}" name="P" dataDxfId="36"/>
  </tableColumns>
  <tableStyleInfo showFirstColumn="0" showLastColumn="0" showRowStripes="0" showColumnStripes="0"/>
  <extLst>
    <ext xmlns:x14="http://schemas.microsoft.com/office/spreadsheetml/2009/9/main" uri="{504A1905-F514-4f6f-8877-14C23A59335A}">
      <x14:table altTextSummary="Oktoobri kalender, nädalapäev arvutatakse automaatselt selle tabeli lahtrisse AE3 sisestatud aasta jaok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2D64E12-997B-4486-8A95-99D21B562D39}" name="September" displayName="September" ref="C43:I49" totalsRowShown="0" headerRowDxfId="35" dataDxfId="34">
  <autoFilter ref="C43:I49" xr:uid="{3F5C9226-4DD1-491C-AC86-DA42A4632E5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5BBC02D-CAFF-4F4E-8247-8C60842E4E75}" name="E" dataDxfId="33"/>
    <tableColumn id="2" xr3:uid="{5C3756F3-44FD-4E9C-98D1-C798168ABA12}" name="T" dataDxfId="32"/>
    <tableColumn id="3" xr3:uid="{D23E7CE4-63A9-46CF-A6CA-8AB7B4338DE2}" name="K" dataDxfId="31"/>
    <tableColumn id="4" xr3:uid="{C18943D6-8975-4A03-9EFA-1A748AC4727A}" name="N" dataDxfId="30"/>
    <tableColumn id="5" xr3:uid="{8FB9889B-D0CF-4FE9-8A62-5B7B1FE7C4A9}" name="R" dataDxfId="29"/>
    <tableColumn id="6" xr3:uid="{B1B5B5E1-3349-4348-8E65-46C36ADC9DFB}" name="L" dataDxfId="28"/>
    <tableColumn id="7" xr3:uid="{94CDB875-64F6-4E7A-A810-55D75100150A}" name="P" dataDxfId="27"/>
  </tableColumns>
  <tableStyleInfo showFirstColumn="0" showLastColumn="0" showRowStripes="0" showColumnStripes="0"/>
  <extLst>
    <ext xmlns:x14="http://schemas.microsoft.com/office/spreadsheetml/2009/9/main" uri="{504A1905-F514-4f6f-8877-14C23A59335A}">
      <x14:table altTextSummary="Septembri kalender, nädalapäev arvutatakse automaatselt selle tabeli lahtrisse AE3 sisestatud aasta jaoks."/>
    </ext>
  </extLst>
</table>
</file>

<file path=xl/theme/theme1.xml><?xml version="1.0" encoding="utf-8"?>
<a:theme xmlns:a="http://schemas.openxmlformats.org/drawingml/2006/main" name="9_calendar">
  <a:themeElements>
    <a:clrScheme name="Family Calendar 2">
      <a:dk1>
        <a:sysClr val="windowText" lastClr="000000"/>
      </a:dk1>
      <a:lt1>
        <a:sysClr val="window" lastClr="FFFFFF"/>
      </a:lt1>
      <a:dk2>
        <a:srgbClr val="3E3D2D"/>
      </a:dk2>
      <a:lt2>
        <a:srgbClr val="FFFFFF"/>
      </a:lt2>
      <a:accent1>
        <a:srgbClr val="FFF078"/>
      </a:accent1>
      <a:accent2>
        <a:srgbClr val="99FF66"/>
      </a:accent2>
      <a:accent3>
        <a:srgbClr val="FF99FF"/>
      </a:accent3>
      <a:accent4>
        <a:srgbClr val="92E0F7"/>
      </a:accent4>
      <a:accent5>
        <a:srgbClr val="FFCB92"/>
      </a:accent5>
      <a:accent6>
        <a:srgbClr val="CC99FF"/>
      </a:accent6>
      <a:hlink>
        <a:srgbClr val="BBA600"/>
      </a:hlink>
      <a:folHlink>
        <a:srgbClr val="A45600"/>
      </a:folHlink>
    </a:clrScheme>
    <a:fontScheme name="Custom 7">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E230F-273C-45E9-9C80-355F4F860AE9}">
  <sheetPr>
    <tabColor theme="1" tint="0.34998626667073579"/>
  </sheetPr>
  <dimension ref="B1:B9"/>
  <sheetViews>
    <sheetView showGridLines="0" tabSelected="1" workbookViewId="0"/>
  </sheetViews>
  <sheetFormatPr defaultRowHeight="12.75" x14ac:dyDescent="0.2"/>
  <cols>
    <col min="1" max="1" width="2.7109375" customWidth="1"/>
    <col min="2" max="2" width="85.140625" customWidth="1"/>
    <col min="3" max="3" width="2.7109375" customWidth="1"/>
  </cols>
  <sheetData>
    <row r="1" spans="2:2" ht="18" thickBot="1" x14ac:dyDescent="0.35">
      <c r="B1" s="22" t="s">
        <v>0</v>
      </c>
    </row>
    <row r="2" spans="2:2" ht="30" customHeight="1" thickTop="1" x14ac:dyDescent="0.2">
      <c r="B2" s="43" t="s">
        <v>33</v>
      </c>
    </row>
    <row r="3" spans="2:2" s="23" customFormat="1" ht="30" customHeight="1" x14ac:dyDescent="0.2">
      <c r="B3" s="24" t="s">
        <v>1</v>
      </c>
    </row>
    <row r="4" spans="2:2" s="23" customFormat="1" ht="30" customHeight="1" x14ac:dyDescent="0.2">
      <c r="B4" s="24" t="s">
        <v>2</v>
      </c>
    </row>
    <row r="5" spans="2:2" s="23" customFormat="1" ht="15" x14ac:dyDescent="0.2">
      <c r="B5" s="25" t="s">
        <v>3</v>
      </c>
    </row>
    <row r="6" spans="2:2" ht="45" x14ac:dyDescent="0.2">
      <c r="B6" s="43" t="s">
        <v>32</v>
      </c>
    </row>
    <row r="7" spans="2:2" ht="30" x14ac:dyDescent="0.25">
      <c r="B7" s="31" t="s">
        <v>4</v>
      </c>
    </row>
    <row r="9" spans="2:2" ht="15" x14ac:dyDescent="0.2">
      <c r="B9" s="2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AN50"/>
  <sheetViews>
    <sheetView showGridLines="0" zoomScaleNormal="100" workbookViewId="0"/>
  </sheetViews>
  <sheetFormatPr defaultRowHeight="12.75" x14ac:dyDescent="0.2"/>
  <cols>
    <col min="1" max="1" width="3.42578125" style="20" customWidth="1"/>
    <col min="2" max="2" width="3.140625" customWidth="1"/>
    <col min="3" max="9" width="3.28515625" customWidth="1"/>
    <col min="10" max="11" width="2.28515625" customWidth="1"/>
    <col min="12" max="18" width="3.28515625" customWidth="1"/>
    <col min="19" max="20" width="2.28515625" customWidth="1"/>
    <col min="21" max="27" width="3.28515625" customWidth="1"/>
    <col min="28" max="29" width="2.28515625" customWidth="1"/>
    <col min="30" max="37" width="3.28515625" customWidth="1"/>
  </cols>
  <sheetData>
    <row r="1" spans="1:40" ht="20.25" customHeight="1" x14ac:dyDescent="0.2">
      <c r="A1" s="26" t="s">
        <v>5</v>
      </c>
    </row>
    <row r="2" spans="1:40" ht="15" customHeight="1" x14ac:dyDescent="0.2">
      <c r="C2" s="14"/>
      <c r="D2" s="14"/>
      <c r="E2" s="15"/>
      <c r="F2" s="15"/>
      <c r="G2" s="15"/>
      <c r="H2" s="15"/>
      <c r="I2" s="15"/>
      <c r="J2" s="15"/>
      <c r="K2" s="15"/>
      <c r="L2" s="15"/>
      <c r="M2" s="15"/>
      <c r="N2" s="14"/>
      <c r="O2" s="14"/>
      <c r="P2" s="14"/>
      <c r="Q2" s="14"/>
      <c r="R2" s="14"/>
      <c r="S2" s="14"/>
      <c r="T2" s="14"/>
      <c r="U2" s="14"/>
      <c r="V2" s="14"/>
      <c r="W2" s="14"/>
      <c r="X2" s="14"/>
      <c r="Y2" s="14"/>
      <c r="Z2" s="14"/>
      <c r="AA2" s="14"/>
      <c r="AB2" s="14"/>
      <c r="AC2" s="14"/>
      <c r="AD2" s="14"/>
      <c r="AE2" s="14"/>
      <c r="AF2" s="14"/>
      <c r="AG2" s="14"/>
      <c r="AH2" s="14"/>
      <c r="AI2" s="14"/>
      <c r="AJ2" s="14"/>
    </row>
    <row r="3" spans="1:40" s="28" customFormat="1" ht="34.5" customHeight="1" x14ac:dyDescent="0.45">
      <c r="A3" s="27" t="s">
        <v>34</v>
      </c>
      <c r="C3" s="29"/>
      <c r="D3" s="46" t="s">
        <v>20</v>
      </c>
      <c r="E3" s="46"/>
      <c r="F3" s="46"/>
      <c r="G3" s="46"/>
      <c r="H3" s="46"/>
      <c r="I3" s="46"/>
      <c r="J3" s="46"/>
      <c r="K3" s="46"/>
      <c r="L3" s="46"/>
      <c r="M3" s="46"/>
      <c r="N3" s="46"/>
      <c r="O3" s="46"/>
      <c r="P3" s="46"/>
      <c r="Q3" s="46"/>
      <c r="R3" s="46"/>
      <c r="S3" s="46"/>
      <c r="T3" s="46"/>
      <c r="U3" s="46"/>
      <c r="V3" s="46"/>
      <c r="W3" s="46"/>
      <c r="X3" s="46"/>
      <c r="Y3" s="46"/>
      <c r="Z3" s="46"/>
      <c r="AA3" s="46"/>
      <c r="AB3" s="46"/>
      <c r="AC3" s="46"/>
      <c r="AD3" s="46"/>
      <c r="AE3" s="47">
        <f ca="1">YEAR(TODAY())</f>
        <v>2019</v>
      </c>
      <c r="AF3" s="47"/>
      <c r="AG3" s="47"/>
      <c r="AH3" s="47"/>
      <c r="AI3" s="47"/>
      <c r="AJ3" s="30"/>
      <c r="AL3" s="45" t="s">
        <v>31</v>
      </c>
      <c r="AM3" s="45"/>
      <c r="AN3" s="45"/>
    </row>
    <row r="4" spans="1:40" ht="9.75" customHeight="1" x14ac:dyDescent="0.2">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row>
    <row r="5" spans="1:40" ht="15.75" customHeight="1" x14ac:dyDescent="0.25">
      <c r="A5" s="27" t="s">
        <v>6</v>
      </c>
      <c r="C5" s="14"/>
      <c r="D5" s="3" t="s">
        <v>21</v>
      </c>
      <c r="E5" s="16"/>
      <c r="F5" s="17"/>
      <c r="G5" s="17"/>
      <c r="H5" s="18"/>
      <c r="I5" s="18"/>
      <c r="J5" s="18"/>
      <c r="K5" s="18"/>
      <c r="L5" s="18"/>
      <c r="M5" s="3"/>
      <c r="N5" s="19"/>
      <c r="O5" s="18"/>
      <c r="P5" s="19"/>
      <c r="Q5" s="19"/>
      <c r="R5" s="19"/>
      <c r="S5" s="14"/>
      <c r="T5" s="14"/>
      <c r="U5" s="12" t="s">
        <v>30</v>
      </c>
      <c r="V5" s="19"/>
      <c r="W5" s="19"/>
      <c r="X5" s="19"/>
      <c r="Y5" s="19"/>
      <c r="Z5" s="19"/>
      <c r="AA5" s="19"/>
      <c r="AB5" s="19"/>
      <c r="AC5" s="19"/>
      <c r="AD5" s="19"/>
      <c r="AE5" s="19"/>
      <c r="AF5" s="19"/>
      <c r="AG5" s="19"/>
      <c r="AH5" s="19"/>
      <c r="AI5" s="14"/>
      <c r="AJ5" s="14"/>
    </row>
    <row r="6" spans="1:40" x14ac:dyDescent="0.2">
      <c r="C6" s="4"/>
      <c r="D6" s="51">
        <f ca="1">DATE(YEAR(TODAY()),1,1)</f>
        <v>43466</v>
      </c>
      <c r="E6" s="51"/>
      <c r="F6" s="51"/>
      <c r="G6" s="51"/>
      <c r="H6" s="49" t="s">
        <v>26</v>
      </c>
      <c r="I6" s="49"/>
      <c r="J6" s="49"/>
      <c r="K6" s="49"/>
      <c r="L6" s="49"/>
      <c r="M6" s="49"/>
      <c r="N6" s="49"/>
      <c r="O6" s="49"/>
      <c r="P6" s="49"/>
      <c r="Q6" s="49"/>
      <c r="R6" s="13"/>
      <c r="S6" s="6"/>
      <c r="T6" s="4"/>
      <c r="U6" s="50"/>
      <c r="V6" s="50"/>
      <c r="W6" s="50"/>
      <c r="X6" s="50"/>
      <c r="Y6" s="50"/>
      <c r="Z6" s="50"/>
      <c r="AA6" s="50"/>
      <c r="AB6" s="50"/>
      <c r="AC6" s="50"/>
      <c r="AD6" s="50"/>
      <c r="AE6" s="50"/>
      <c r="AF6" s="50"/>
      <c r="AG6" s="50"/>
      <c r="AH6" s="50"/>
      <c r="AI6" s="50"/>
      <c r="AJ6" s="4"/>
    </row>
    <row r="7" spans="1:40" ht="14.25" x14ac:dyDescent="0.2">
      <c r="C7" s="5"/>
      <c r="D7" s="51">
        <f ca="1">DATE(YEAR(TODAY()),3,25)</f>
        <v>43549</v>
      </c>
      <c r="E7" s="51"/>
      <c r="F7" s="51"/>
      <c r="G7" s="51"/>
      <c r="H7" s="49" t="s">
        <v>27</v>
      </c>
      <c r="I7" s="49"/>
      <c r="J7" s="49"/>
      <c r="K7" s="49"/>
      <c r="L7" s="49"/>
      <c r="M7" s="49"/>
      <c r="N7" s="49"/>
      <c r="O7" s="49"/>
      <c r="P7" s="49"/>
      <c r="Q7" s="49"/>
      <c r="R7" s="13"/>
      <c r="S7" s="6"/>
      <c r="T7" s="4"/>
      <c r="U7" s="48"/>
      <c r="V7" s="48"/>
      <c r="W7" s="48"/>
      <c r="X7" s="48"/>
      <c r="Y7" s="48"/>
      <c r="Z7" s="48"/>
      <c r="AA7" s="48"/>
      <c r="AB7" s="48"/>
      <c r="AC7" s="48"/>
      <c r="AD7" s="48"/>
      <c r="AE7" s="48"/>
      <c r="AF7" s="48"/>
      <c r="AG7" s="48"/>
      <c r="AH7" s="48"/>
      <c r="AI7" s="48"/>
      <c r="AJ7" s="4"/>
    </row>
    <row r="8" spans="1:40" ht="14.25" x14ac:dyDescent="0.2">
      <c r="C8" s="5"/>
      <c r="D8" s="51"/>
      <c r="E8" s="51"/>
      <c r="F8" s="51"/>
      <c r="G8" s="51"/>
      <c r="H8" s="49"/>
      <c r="I8" s="49"/>
      <c r="J8" s="49"/>
      <c r="K8" s="49"/>
      <c r="L8" s="49"/>
      <c r="M8" s="49"/>
      <c r="N8" s="49"/>
      <c r="O8" s="49"/>
      <c r="P8" s="49"/>
      <c r="Q8" s="49"/>
      <c r="R8" s="13"/>
      <c r="S8" s="6"/>
      <c r="T8" s="4"/>
      <c r="U8" s="48"/>
      <c r="V8" s="48"/>
      <c r="W8" s="48"/>
      <c r="X8" s="48"/>
      <c r="Y8" s="48"/>
      <c r="Z8" s="48"/>
      <c r="AA8" s="48"/>
      <c r="AB8" s="48"/>
      <c r="AC8" s="48"/>
      <c r="AD8" s="48"/>
      <c r="AE8" s="48"/>
      <c r="AF8" s="48"/>
      <c r="AG8" s="48"/>
      <c r="AH8" s="48"/>
      <c r="AI8" s="48"/>
      <c r="AJ8" s="4"/>
    </row>
    <row r="9" spans="1:40" ht="14.25" x14ac:dyDescent="0.2">
      <c r="C9" s="5"/>
      <c r="D9" s="51"/>
      <c r="E9" s="51"/>
      <c r="F9" s="51"/>
      <c r="G9" s="51"/>
      <c r="H9" s="49"/>
      <c r="I9" s="49"/>
      <c r="J9" s="49"/>
      <c r="K9" s="49"/>
      <c r="L9" s="49"/>
      <c r="M9" s="49"/>
      <c r="N9" s="49"/>
      <c r="O9" s="49"/>
      <c r="P9" s="49"/>
      <c r="Q9" s="49"/>
      <c r="R9" s="13"/>
      <c r="S9" s="6"/>
      <c r="T9" s="4"/>
      <c r="U9" s="48"/>
      <c r="V9" s="48"/>
      <c r="W9" s="48"/>
      <c r="X9" s="48"/>
      <c r="Y9" s="48"/>
      <c r="Z9" s="48"/>
      <c r="AA9" s="48"/>
      <c r="AB9" s="48"/>
      <c r="AC9" s="48"/>
      <c r="AD9" s="48"/>
      <c r="AE9" s="48"/>
      <c r="AF9" s="48"/>
      <c r="AG9" s="48"/>
      <c r="AH9" s="48"/>
      <c r="AI9" s="48"/>
      <c r="AJ9" s="4"/>
    </row>
    <row r="10" spans="1:40" ht="14.25" x14ac:dyDescent="0.2">
      <c r="C10" s="5"/>
      <c r="D10" s="51"/>
      <c r="E10" s="51"/>
      <c r="F10" s="51"/>
      <c r="G10" s="51"/>
      <c r="H10" s="49"/>
      <c r="I10" s="49"/>
      <c r="J10" s="49"/>
      <c r="K10" s="49"/>
      <c r="L10" s="49"/>
      <c r="M10" s="49"/>
      <c r="N10" s="49"/>
      <c r="O10" s="49"/>
      <c r="P10" s="49"/>
      <c r="Q10" s="49"/>
      <c r="R10" s="13"/>
      <c r="S10" s="6"/>
      <c r="T10" s="4"/>
      <c r="U10" s="48"/>
      <c r="V10" s="48"/>
      <c r="W10" s="48"/>
      <c r="X10" s="48"/>
      <c r="Y10" s="48"/>
      <c r="Z10" s="48"/>
      <c r="AA10" s="48"/>
      <c r="AB10" s="48"/>
      <c r="AC10" s="48"/>
      <c r="AD10" s="48"/>
      <c r="AE10" s="48"/>
      <c r="AF10" s="48"/>
      <c r="AG10" s="48"/>
      <c r="AH10" s="48"/>
      <c r="AI10" s="48"/>
      <c r="AJ10" s="4"/>
    </row>
    <row r="11" spans="1:40" ht="14.25" x14ac:dyDescent="0.2">
      <c r="C11" s="5"/>
      <c r="D11" s="51"/>
      <c r="E11" s="51"/>
      <c r="F11" s="51"/>
      <c r="G11" s="51"/>
      <c r="H11" s="49"/>
      <c r="I11" s="49"/>
      <c r="J11" s="49"/>
      <c r="K11" s="49"/>
      <c r="L11" s="49"/>
      <c r="M11" s="49"/>
      <c r="N11" s="49"/>
      <c r="O11" s="49"/>
      <c r="P11" s="49"/>
      <c r="Q11" s="49"/>
      <c r="R11" s="13"/>
      <c r="S11" s="6"/>
      <c r="T11" s="4"/>
      <c r="U11" s="48"/>
      <c r="V11" s="48"/>
      <c r="W11" s="48"/>
      <c r="X11" s="48"/>
      <c r="Y11" s="48"/>
      <c r="Z11" s="48"/>
      <c r="AA11" s="48"/>
      <c r="AB11" s="48"/>
      <c r="AC11" s="48"/>
      <c r="AD11" s="48"/>
      <c r="AE11" s="48"/>
      <c r="AF11" s="48"/>
      <c r="AG11" s="48"/>
      <c r="AH11" s="48"/>
      <c r="AI11" s="48"/>
      <c r="AJ11" s="4"/>
    </row>
    <row r="12" spans="1:40" ht="14.25" x14ac:dyDescent="0.2">
      <c r="C12" s="5"/>
      <c r="D12" s="51"/>
      <c r="E12" s="51"/>
      <c r="F12" s="51"/>
      <c r="G12" s="51"/>
      <c r="H12" s="49"/>
      <c r="I12" s="49"/>
      <c r="J12" s="49"/>
      <c r="K12" s="49"/>
      <c r="L12" s="49"/>
      <c r="M12" s="49"/>
      <c r="N12" s="49"/>
      <c r="O12" s="49"/>
      <c r="P12" s="49"/>
      <c r="Q12" s="49"/>
      <c r="R12" s="13"/>
      <c r="S12" s="6"/>
      <c r="T12" s="4"/>
      <c r="U12" s="48"/>
      <c r="V12" s="48"/>
      <c r="W12" s="48"/>
      <c r="X12" s="48"/>
      <c r="Y12" s="48"/>
      <c r="Z12" s="48"/>
      <c r="AA12" s="48"/>
      <c r="AB12" s="48"/>
      <c r="AC12" s="48"/>
      <c r="AD12" s="48"/>
      <c r="AE12" s="48"/>
      <c r="AF12" s="48"/>
      <c r="AG12" s="48"/>
      <c r="AH12" s="48"/>
      <c r="AI12" s="48"/>
      <c r="AJ12" s="4"/>
    </row>
    <row r="13" spans="1:40" ht="14.25" x14ac:dyDescent="0.2">
      <c r="C13" s="5"/>
      <c r="D13" s="51"/>
      <c r="E13" s="51"/>
      <c r="F13" s="51"/>
      <c r="G13" s="51"/>
      <c r="H13" s="49"/>
      <c r="I13" s="49"/>
      <c r="J13" s="49"/>
      <c r="K13" s="49"/>
      <c r="L13" s="49"/>
      <c r="M13" s="49"/>
      <c r="N13" s="49"/>
      <c r="O13" s="49"/>
      <c r="P13" s="49"/>
      <c r="Q13" s="49"/>
      <c r="R13" s="13"/>
      <c r="S13" s="6"/>
      <c r="T13" s="4"/>
      <c r="U13" s="48"/>
      <c r="V13" s="48"/>
      <c r="W13" s="48"/>
      <c r="X13" s="48"/>
      <c r="Y13" s="48"/>
      <c r="Z13" s="48"/>
      <c r="AA13" s="48"/>
      <c r="AB13" s="48"/>
      <c r="AC13" s="48"/>
      <c r="AD13" s="48"/>
      <c r="AE13" s="48"/>
      <c r="AF13" s="48"/>
      <c r="AG13" s="48"/>
      <c r="AH13" s="48"/>
      <c r="AI13" s="48"/>
      <c r="AJ13" s="4"/>
    </row>
    <row r="14" spans="1:40" ht="14.25" x14ac:dyDescent="0.2">
      <c r="C14" s="5"/>
      <c r="D14" s="51"/>
      <c r="E14" s="51"/>
      <c r="F14" s="51"/>
      <c r="G14" s="51"/>
      <c r="H14" s="49"/>
      <c r="I14" s="49"/>
      <c r="J14" s="49"/>
      <c r="K14" s="49"/>
      <c r="L14" s="49"/>
      <c r="M14" s="49"/>
      <c r="N14" s="49"/>
      <c r="O14" s="49"/>
      <c r="P14" s="49"/>
      <c r="Q14" s="49"/>
      <c r="R14" s="13"/>
      <c r="S14" s="6"/>
      <c r="T14" s="4"/>
      <c r="U14" s="48"/>
      <c r="V14" s="48"/>
      <c r="W14" s="48"/>
      <c r="X14" s="48"/>
      <c r="Y14" s="48"/>
      <c r="Z14" s="48"/>
      <c r="AA14" s="48"/>
      <c r="AB14" s="48"/>
      <c r="AC14" s="48"/>
      <c r="AD14" s="48"/>
      <c r="AE14" s="48"/>
      <c r="AF14" s="48"/>
      <c r="AG14" s="48"/>
      <c r="AH14" s="48"/>
      <c r="AI14" s="48"/>
      <c r="AJ14" s="4"/>
    </row>
    <row r="15" spans="1:40" ht="14.25" x14ac:dyDescent="0.2">
      <c r="C15" s="5"/>
      <c r="D15" s="51"/>
      <c r="E15" s="51"/>
      <c r="F15" s="51"/>
      <c r="G15" s="51"/>
      <c r="H15" s="49"/>
      <c r="I15" s="49"/>
      <c r="J15" s="49"/>
      <c r="K15" s="49"/>
      <c r="L15" s="49"/>
      <c r="M15" s="49"/>
      <c r="N15" s="49"/>
      <c r="O15" s="49"/>
      <c r="P15" s="49"/>
      <c r="Q15" s="49"/>
      <c r="R15" s="13"/>
      <c r="S15" s="6"/>
      <c r="T15" s="4"/>
      <c r="U15" s="48"/>
      <c r="V15" s="48"/>
      <c r="W15" s="48"/>
      <c r="X15" s="48"/>
      <c r="Y15" s="48"/>
      <c r="Z15" s="48"/>
      <c r="AA15" s="48"/>
      <c r="AB15" s="48"/>
      <c r="AC15" s="48"/>
      <c r="AD15" s="48"/>
      <c r="AE15" s="48"/>
      <c r="AF15" s="48"/>
      <c r="AG15" s="48"/>
      <c r="AH15" s="48"/>
      <c r="AI15" s="48"/>
      <c r="AJ15" s="4"/>
    </row>
    <row r="16" spans="1:40" ht="14.25" x14ac:dyDescent="0.2">
      <c r="C16" s="5"/>
      <c r="D16" s="51"/>
      <c r="E16" s="51"/>
      <c r="F16" s="51"/>
      <c r="G16" s="51"/>
      <c r="H16" s="49"/>
      <c r="I16" s="49"/>
      <c r="J16" s="49"/>
      <c r="K16" s="49"/>
      <c r="L16" s="49"/>
      <c r="M16" s="49"/>
      <c r="N16" s="49"/>
      <c r="O16" s="49"/>
      <c r="P16" s="49"/>
      <c r="Q16" s="49"/>
      <c r="R16" s="13"/>
      <c r="S16" s="6"/>
      <c r="T16" s="4"/>
      <c r="U16" s="48"/>
      <c r="V16" s="48"/>
      <c r="W16" s="48"/>
      <c r="X16" s="48"/>
      <c r="Y16" s="48"/>
      <c r="Z16" s="48"/>
      <c r="AA16" s="48"/>
      <c r="AB16" s="48"/>
      <c r="AC16" s="48"/>
      <c r="AD16" s="48"/>
      <c r="AE16" s="48"/>
      <c r="AF16" s="48"/>
      <c r="AG16" s="48"/>
      <c r="AH16" s="48"/>
      <c r="AI16" s="48"/>
      <c r="AJ16" s="4"/>
    </row>
    <row r="17" spans="1:37" ht="14.25" x14ac:dyDescent="0.2">
      <c r="C17" s="5"/>
      <c r="D17" s="51"/>
      <c r="E17" s="51"/>
      <c r="F17" s="51"/>
      <c r="G17" s="51"/>
      <c r="H17" s="49"/>
      <c r="I17" s="49"/>
      <c r="J17" s="49"/>
      <c r="K17" s="49"/>
      <c r="L17" s="49"/>
      <c r="M17" s="49"/>
      <c r="N17" s="49"/>
      <c r="O17" s="49"/>
      <c r="P17" s="49"/>
      <c r="Q17" s="49"/>
      <c r="R17" s="13"/>
      <c r="S17" s="6"/>
      <c r="T17" s="4"/>
      <c r="U17" s="48"/>
      <c r="V17" s="48"/>
      <c r="W17" s="48"/>
      <c r="X17" s="48"/>
      <c r="Y17" s="48"/>
      <c r="Z17" s="48"/>
      <c r="AA17" s="48"/>
      <c r="AB17" s="48"/>
      <c r="AC17" s="48"/>
      <c r="AD17" s="48"/>
      <c r="AE17" s="48"/>
      <c r="AF17" s="48"/>
      <c r="AG17" s="48"/>
      <c r="AH17" s="48"/>
      <c r="AI17" s="48"/>
      <c r="AJ17" s="4"/>
    </row>
    <row r="18" spans="1:37" ht="14.25" x14ac:dyDescent="0.2">
      <c r="C18" s="5"/>
      <c r="D18" s="51"/>
      <c r="E18" s="51"/>
      <c r="F18" s="51"/>
      <c r="G18" s="51"/>
      <c r="H18" s="49"/>
      <c r="I18" s="49"/>
      <c r="J18" s="49"/>
      <c r="K18" s="49"/>
      <c r="L18" s="49"/>
      <c r="M18" s="49"/>
      <c r="N18" s="49"/>
      <c r="O18" s="49"/>
      <c r="P18" s="49"/>
      <c r="Q18" s="49"/>
      <c r="R18" s="13"/>
      <c r="S18" s="6"/>
      <c r="T18" s="4"/>
      <c r="U18" s="48"/>
      <c r="V18" s="48"/>
      <c r="W18" s="48"/>
      <c r="X18" s="48"/>
      <c r="Y18" s="48"/>
      <c r="Z18" s="48"/>
      <c r="AA18" s="48"/>
      <c r="AB18" s="48"/>
      <c r="AC18" s="48"/>
      <c r="AD18" s="48"/>
      <c r="AE18" s="48"/>
      <c r="AF18" s="48"/>
      <c r="AG18" s="48"/>
      <c r="AH18" s="48"/>
      <c r="AI18" s="48"/>
      <c r="AJ18" s="4"/>
    </row>
    <row r="19" spans="1:37" ht="14.25" x14ac:dyDescent="0.2">
      <c r="C19" s="5"/>
      <c r="D19" s="51"/>
      <c r="E19" s="51"/>
      <c r="F19" s="51"/>
      <c r="G19" s="51"/>
      <c r="H19" s="49"/>
      <c r="I19" s="49"/>
      <c r="J19" s="49"/>
      <c r="K19" s="49"/>
      <c r="L19" s="49"/>
      <c r="M19" s="49"/>
      <c r="N19" s="49"/>
      <c r="O19" s="49"/>
      <c r="P19" s="49"/>
      <c r="Q19" s="49"/>
      <c r="R19" s="13"/>
      <c r="S19" s="6"/>
      <c r="T19" s="4"/>
      <c r="U19" s="48"/>
      <c r="V19" s="48"/>
      <c r="W19" s="48"/>
      <c r="X19" s="48"/>
      <c r="Y19" s="48"/>
      <c r="Z19" s="48"/>
      <c r="AA19" s="48"/>
      <c r="AB19" s="48"/>
      <c r="AC19" s="48"/>
      <c r="AD19" s="48"/>
      <c r="AE19" s="48"/>
      <c r="AF19" s="48"/>
      <c r="AG19" s="48"/>
      <c r="AH19" s="48"/>
      <c r="AI19" s="48"/>
      <c r="AJ19" s="4"/>
    </row>
    <row r="20" spans="1:37" ht="14.25" x14ac:dyDescent="0.2">
      <c r="C20" s="5"/>
      <c r="D20" s="51"/>
      <c r="E20" s="51"/>
      <c r="F20" s="51"/>
      <c r="G20" s="51"/>
      <c r="H20" s="49"/>
      <c r="I20" s="49"/>
      <c r="J20" s="49"/>
      <c r="K20" s="49"/>
      <c r="L20" s="49"/>
      <c r="M20" s="49"/>
      <c r="N20" s="49"/>
      <c r="O20" s="49"/>
      <c r="P20" s="49"/>
      <c r="Q20" s="49"/>
      <c r="R20" s="13"/>
      <c r="S20" s="6"/>
      <c r="T20" s="4"/>
      <c r="U20" s="48"/>
      <c r="V20" s="48"/>
      <c r="W20" s="48"/>
      <c r="X20" s="48"/>
      <c r="Y20" s="48"/>
      <c r="Z20" s="48"/>
      <c r="AA20" s="48"/>
      <c r="AB20" s="48"/>
      <c r="AC20" s="48"/>
      <c r="AD20" s="48"/>
      <c r="AE20" s="48"/>
      <c r="AF20" s="48"/>
      <c r="AG20" s="48"/>
      <c r="AH20" s="48"/>
      <c r="AI20" s="48"/>
      <c r="AJ20" s="4"/>
    </row>
    <row r="21" spans="1:37" ht="14.25" x14ac:dyDescent="0.2">
      <c r="C21" s="5"/>
      <c r="D21" s="53"/>
      <c r="E21" s="53"/>
      <c r="F21" s="6"/>
      <c r="G21" s="6"/>
      <c r="H21" s="6"/>
      <c r="I21" s="6"/>
      <c r="J21" s="6"/>
      <c r="K21" s="6"/>
      <c r="L21" s="6"/>
      <c r="M21" s="5"/>
      <c r="N21" s="5"/>
      <c r="O21" s="5"/>
      <c r="P21" s="4"/>
      <c r="Q21" s="4"/>
      <c r="R21" s="4"/>
      <c r="S21" s="4"/>
      <c r="T21" s="4"/>
      <c r="U21" s="4"/>
      <c r="V21" s="4"/>
      <c r="W21" s="4"/>
      <c r="X21" s="4"/>
      <c r="Y21" s="4"/>
      <c r="Z21" s="4"/>
      <c r="AA21" s="4"/>
      <c r="AB21" s="4"/>
      <c r="AC21" s="4"/>
      <c r="AD21" s="4"/>
      <c r="AE21" s="4"/>
      <c r="AF21" s="4"/>
      <c r="AG21" s="4"/>
      <c r="AH21" s="4"/>
      <c r="AI21" s="4"/>
      <c r="AJ21" s="4"/>
    </row>
    <row r="22" spans="1:37" ht="14.25" x14ac:dyDescent="0.2">
      <c r="C22" s="7"/>
      <c r="D22" s="52"/>
      <c r="E22" s="52"/>
      <c r="F22" s="8"/>
      <c r="G22" s="8"/>
      <c r="H22" s="8"/>
      <c r="I22" s="9"/>
      <c r="J22" s="9"/>
      <c r="K22" s="9"/>
      <c r="L22" s="9"/>
      <c r="M22" s="10"/>
      <c r="N22" s="10"/>
      <c r="O22" s="10"/>
      <c r="P22" s="11"/>
      <c r="Q22" s="11"/>
      <c r="R22" s="11"/>
      <c r="S22" s="11"/>
      <c r="T22" s="11"/>
      <c r="U22" s="11"/>
      <c r="V22" s="11"/>
      <c r="W22" s="11"/>
      <c r="X22" s="11"/>
      <c r="Y22" s="11"/>
      <c r="Z22" s="11"/>
      <c r="AA22" s="11"/>
      <c r="AB22" s="11"/>
      <c r="AC22" s="11"/>
      <c r="AD22" s="11"/>
      <c r="AE22" s="11"/>
      <c r="AF22" s="11"/>
      <c r="AG22" s="11"/>
      <c r="AH22" s="11"/>
      <c r="AI22" s="11"/>
      <c r="AJ22" s="11"/>
      <c r="AK22" s="11"/>
    </row>
    <row r="23" spans="1:37" ht="33.75" customHeight="1" x14ac:dyDescent="0.2">
      <c r="A23" s="26" t="s">
        <v>7</v>
      </c>
    </row>
    <row r="24" spans="1:37" ht="15.75" x14ac:dyDescent="0.25">
      <c r="A24" s="26" t="s">
        <v>8</v>
      </c>
      <c r="C24" s="54">
        <f ca="1">DATE(Kalendriaasta,1,1)</f>
        <v>43466</v>
      </c>
      <c r="D24" s="54"/>
      <c r="E24" s="54"/>
      <c r="F24" s="54"/>
      <c r="G24" s="54"/>
      <c r="H24" s="54"/>
      <c r="I24" s="54"/>
      <c r="J24" s="32"/>
      <c r="K24" s="33"/>
      <c r="L24" s="54">
        <f ca="1">DATE(Kalendriaasta,2,1)</f>
        <v>43497</v>
      </c>
      <c r="M24" s="54"/>
      <c r="N24" s="54"/>
      <c r="O24" s="54"/>
      <c r="P24" s="54"/>
      <c r="Q24" s="54"/>
      <c r="R24" s="54"/>
      <c r="S24" s="32"/>
      <c r="T24" s="40"/>
      <c r="U24" s="54">
        <f ca="1">DATE(Kalendriaasta,3,1)</f>
        <v>43525</v>
      </c>
      <c r="V24" s="54"/>
      <c r="W24" s="54"/>
      <c r="X24" s="54"/>
      <c r="Y24" s="54"/>
      <c r="Z24" s="54"/>
      <c r="AA24" s="54"/>
      <c r="AB24" s="32"/>
      <c r="AC24" s="37"/>
      <c r="AD24" s="54">
        <f ca="1">DATE(Kalendriaasta,4,1)</f>
        <v>43556</v>
      </c>
      <c r="AE24" s="54"/>
      <c r="AF24" s="54"/>
      <c r="AG24" s="54"/>
      <c r="AH24" s="54"/>
      <c r="AI24" s="54"/>
      <c r="AJ24" s="54"/>
    </row>
    <row r="25" spans="1:37" ht="15.75" x14ac:dyDescent="0.25">
      <c r="A25" s="26" t="s">
        <v>9</v>
      </c>
      <c r="C25" s="21" t="s">
        <v>19</v>
      </c>
      <c r="D25" s="21" t="s">
        <v>22</v>
      </c>
      <c r="E25" s="21" t="s">
        <v>23</v>
      </c>
      <c r="F25" s="21" t="s">
        <v>24</v>
      </c>
      <c r="G25" s="21" t="s">
        <v>25</v>
      </c>
      <c r="H25" s="21" t="s">
        <v>28</v>
      </c>
      <c r="I25" s="21" t="s">
        <v>29</v>
      </c>
      <c r="J25" s="34"/>
      <c r="K25" s="35"/>
      <c r="L25" s="21" t="s">
        <v>19</v>
      </c>
      <c r="M25" s="21" t="s">
        <v>22</v>
      </c>
      <c r="N25" s="21" t="s">
        <v>23</v>
      </c>
      <c r="O25" s="21" t="s">
        <v>24</v>
      </c>
      <c r="P25" s="21" t="s">
        <v>25</v>
      </c>
      <c r="Q25" s="21" t="s">
        <v>28</v>
      </c>
      <c r="R25" s="21" t="s">
        <v>29</v>
      </c>
      <c r="S25" s="34"/>
      <c r="T25" s="40"/>
      <c r="U25" s="21" t="s">
        <v>19</v>
      </c>
      <c r="V25" s="21" t="s">
        <v>22</v>
      </c>
      <c r="W25" s="21" t="s">
        <v>23</v>
      </c>
      <c r="X25" s="21" t="s">
        <v>24</v>
      </c>
      <c r="Y25" s="21" t="s">
        <v>25</v>
      </c>
      <c r="Z25" s="21" t="s">
        <v>28</v>
      </c>
      <c r="AA25" s="21" t="s">
        <v>29</v>
      </c>
      <c r="AB25" s="34"/>
      <c r="AC25" s="33"/>
      <c r="AD25" s="21" t="s">
        <v>19</v>
      </c>
      <c r="AE25" s="21" t="s">
        <v>22</v>
      </c>
      <c r="AF25" s="21" t="s">
        <v>23</v>
      </c>
      <c r="AG25" s="21" t="s">
        <v>24</v>
      </c>
      <c r="AH25" s="21" t="s">
        <v>25</v>
      </c>
      <c r="AI25" s="21" t="s">
        <v>28</v>
      </c>
      <c r="AJ25" s="21" t="s">
        <v>29</v>
      </c>
    </row>
    <row r="26" spans="1:37" ht="15" x14ac:dyDescent="0.2">
      <c r="A26" s="26" t="s">
        <v>10</v>
      </c>
      <c r="C26" s="44" t="str">
        <f ca="1">IF(DAY(JaanP1)=1,"",IF(AND(YEAR(JaanP1+1)=Kalendriaasta,MONTH(JaanP1+1)=1),JaanP1+1,""))</f>
        <v/>
      </c>
      <c r="D26" s="44">
        <f ca="1">IF(DAY(JaanP1)=1,"",IF(AND(YEAR(JaanP1+2)=Kalendriaasta,MONTH(JaanP1+2)=1),JaanP1+2,""))</f>
        <v>43466</v>
      </c>
      <c r="E26" s="44">
        <f ca="1">IF(DAY(JaanP1)=1,"",IF(AND(YEAR(JaanP1+3)=Kalendriaasta,MONTH(JaanP1+3)=1),JaanP1+3,""))</f>
        <v>43467</v>
      </c>
      <c r="F26" s="44">
        <f ca="1">IF(DAY(JaanP1)=1,"",IF(AND(YEAR(JaanP1+4)=Kalendriaasta,MONTH(JaanP1+4)=1),JaanP1+4,""))</f>
        <v>43468</v>
      </c>
      <c r="G26" s="44">
        <f ca="1">IF(DAY(JaanP1)=1,"",IF(AND(YEAR(JaanP1+5)=Kalendriaasta,MONTH(JaanP1+5)=1),JaanP1+5,""))</f>
        <v>43469</v>
      </c>
      <c r="H26" s="44">
        <f ca="1">IF(DAY(JaanP1)=1,"",IF(AND(YEAR(JaanP1+6)=Kalendriaasta,MONTH(JaanP1+6)=1),JaanP1+6,""))</f>
        <v>43470</v>
      </c>
      <c r="I26" s="44">
        <f ca="1">IF(DAY(JaanP1)=1,IF(AND(YEAR(JaanP1)=Kalendriaasta,MONTH(JaanP1)=1),JaanP1,""),IF(AND(YEAR(JaanP1+7)=Kalendriaasta,MONTH(JaanP1+7)=1),JaanP1+7,""))</f>
        <v>43471</v>
      </c>
      <c r="J26" s="36"/>
      <c r="K26" s="35"/>
      <c r="L26" s="44" t="str">
        <f ca="1">IF(DAY(VeebrP1)=1,"",IF(AND(YEAR(VeebrP1+1)=Kalendriaasta,MONTH(VeebrP1+1)=2),VeebrP1+1,""))</f>
        <v/>
      </c>
      <c r="M26" s="44" t="str">
        <f ca="1">IF(DAY(VeebrP1)=1,"",IF(AND(YEAR(VeebrP1+2)=Kalendriaasta,MONTH(VeebrP1+2)=2),VeebrP1+2,""))</f>
        <v/>
      </c>
      <c r="N26" s="44" t="str">
        <f ca="1">IF(DAY(VeebrP1)=1,"",IF(AND(YEAR(VeebrP1+3)=Kalendriaasta,MONTH(VeebrP1+3)=2),VeebrP1+3,""))</f>
        <v/>
      </c>
      <c r="O26" s="44" t="str">
        <f ca="1">IF(DAY(VeebrP1)=1,"",IF(AND(YEAR(VeebrP1+4)=Kalendriaasta,MONTH(VeebrP1+4)=2),VeebrP1+4,""))</f>
        <v/>
      </c>
      <c r="P26" s="44">
        <f ca="1">IF(DAY(VeebrP1)=1,"",IF(AND(YEAR(VeebrP1+5)=Kalendriaasta,MONTH(VeebrP1+5)=2),VeebrP1+5,""))</f>
        <v>43497</v>
      </c>
      <c r="Q26" s="44">
        <f ca="1">IF(DAY(VeebrP1)=1,"",IF(AND(YEAR(VeebrP1+6)=Kalendriaasta,MONTH(VeebrP1+6)=2),VeebrP1+6,""))</f>
        <v>43498</v>
      </c>
      <c r="R26" s="44">
        <f ca="1">IF(DAY(VeebrP1)=1,IF(AND(YEAR(VeebrP1)=Kalendriaasta,MONTH(VeebrP1)=2),VeebrP1,""),IF(AND(YEAR(VeebrP1+7)=Kalendriaasta,MONTH(VeebrP1+7)=2),VeebrP1+7,""))</f>
        <v>43499</v>
      </c>
      <c r="S26" s="36"/>
      <c r="T26" s="40"/>
      <c r="U26" s="44" t="str">
        <f ca="1">IF(DAY(MärtsP1)=1,"",IF(AND(YEAR(MärtsP1+1)=Kalendriaasta,MONTH(MärtsP1+1)=3),MärtsP1+1,""))</f>
        <v/>
      </c>
      <c r="V26" s="44" t="str">
        <f ca="1">IF(DAY(MärtsP1)=1,"",IF(AND(YEAR(MärtsP1+2)=Kalendriaasta,MONTH(MärtsP1+2)=3),MärtsP1+2,""))</f>
        <v/>
      </c>
      <c r="W26" s="44" t="str">
        <f ca="1">IF(DAY(MärtsP1)=1,"",IF(AND(YEAR(MärtsP1+3)=Kalendriaasta,MONTH(MärtsP1+3)=3),MärtsP1+3,""))</f>
        <v/>
      </c>
      <c r="X26" s="44" t="str">
        <f ca="1">IF(DAY(MärtsP1)=1,"",IF(AND(YEAR(MärtsP1+4)=Kalendriaasta,MONTH(MärtsP1+4)=3),MärtsP1+4,""))</f>
        <v/>
      </c>
      <c r="Y26" s="44">
        <f ca="1">IF(DAY(MärtsP1)=1,"",IF(AND(YEAR(MärtsP1+5)=Kalendriaasta,MONTH(MärtsP1+5)=3),MärtsP1+5,""))</f>
        <v>43525</v>
      </c>
      <c r="Z26" s="44">
        <f ca="1">IF(DAY(MärtsP1)=1,"",IF(AND(YEAR(MärtsP1+6)=Kalendriaasta,MONTH(MärtsP1+6)=3),MärtsP1+6,""))</f>
        <v>43526</v>
      </c>
      <c r="AA26" s="44">
        <f ca="1">IF(DAY(MärtsP1)=1,IF(AND(YEAR(MärtsP1)=Kalendriaasta,MONTH(MärtsP1)=3),MärtsP1,""),IF(AND(YEAR(MärtsP1+7)=Kalendriaasta,MONTH(MärtsP1+7)=3),MärtsP1+7,""))</f>
        <v>43527</v>
      </c>
      <c r="AB26" s="36"/>
      <c r="AC26" s="35"/>
      <c r="AD26" s="44">
        <f ca="1">IF(DAY(AprP1)=1,"",IF(AND(YEAR(AprP1+1)=Kalendriaasta,MONTH(AprP1+1)=4),AprP1+1,""))</f>
        <v>43556</v>
      </c>
      <c r="AE26" s="44">
        <f ca="1">IF(DAY(AprP1)=1,"",IF(AND(YEAR(AprP1+2)=Kalendriaasta,MONTH(AprP1+2)=4),AprP1+2,""))</f>
        <v>43557</v>
      </c>
      <c r="AF26" s="44">
        <f ca="1">IF(DAY(AprP1)=1,"",IF(AND(YEAR(AprP1+3)=Kalendriaasta,MONTH(AprP1+3)=4),AprP1+3,""))</f>
        <v>43558</v>
      </c>
      <c r="AG26" s="44">
        <f ca="1">IF(DAY(AprP1)=1,"",IF(AND(YEAR(AprP1+4)=Kalendriaasta,MONTH(AprP1+4)=4),AprP1+4,""))</f>
        <v>43559</v>
      </c>
      <c r="AH26" s="44">
        <f ca="1">IF(DAY(AprP1)=1,"",IF(AND(YEAR(AprP1+5)=Kalendriaasta,MONTH(AprP1+5)=4),AprP1+5,""))</f>
        <v>43560</v>
      </c>
      <c r="AI26" s="44">
        <f ca="1">IF(DAY(AprP1)=1,"",IF(AND(YEAR(AprP1+6)=Kalendriaasta,MONTH(AprP1+6)=4),AprP1+6,""))</f>
        <v>43561</v>
      </c>
      <c r="AJ26" s="44">
        <f ca="1">IF(DAY(AprP1)=1,IF(AND(YEAR(AprP1)=Kalendriaasta,MONTH(AprP1)=4),AprP1,""),IF(AND(YEAR(AprP1+7)=Kalendriaasta,MONTH(AprP1+7)=4),AprP1+7,""))</f>
        <v>43562</v>
      </c>
    </row>
    <row r="27" spans="1:37" x14ac:dyDescent="0.2">
      <c r="C27" s="44">
        <f ca="1">IF(DAY(JaanP1)=1,IF(AND(YEAR(JaanP1+1)=Kalendriaasta,MONTH(JaanP1+1)=1),JaanP1+1,""),IF(AND(YEAR(JaanP1+8)=Kalendriaasta,MONTH(JaanP1+8)=1),JaanP1+8,""))</f>
        <v>43472</v>
      </c>
      <c r="D27" s="44">
        <f ca="1">IF(DAY(JaanP1)=1,IF(AND(YEAR(JaanP1+2)=Kalendriaasta,MONTH(JaanP1+2)=1),JaanP1+2,""),IF(AND(YEAR(JaanP1+9)=Kalendriaasta,MONTH(JaanP1+9)=1),JaanP1+9,""))</f>
        <v>43473</v>
      </c>
      <c r="E27" s="44">
        <f ca="1">IF(DAY(JaanP1)=1,IF(AND(YEAR(JaanP1+3)=Kalendriaasta,MONTH(JaanP1+3)=1),JaanP1+3,""),IF(AND(YEAR(JaanP1+10)=Kalendriaasta,MONTH(JaanP1+10)=1),JaanP1+10,""))</f>
        <v>43474</v>
      </c>
      <c r="F27" s="44">
        <f ca="1">IF(DAY(JaanP1)=1,IF(AND(YEAR(JaanP1+4)=Kalendriaasta,MONTH(JaanP1+4)=1),JaanP1+4,""),IF(AND(YEAR(JaanP1+11)=Kalendriaasta,MONTH(JaanP1+11)=1),JaanP1+11,""))</f>
        <v>43475</v>
      </c>
      <c r="G27" s="44">
        <f ca="1">IF(DAY(JaanP1)=1,IF(AND(YEAR(JaanP1+5)=Kalendriaasta,MONTH(JaanP1+5)=1),JaanP1+5,""),IF(AND(YEAR(JaanP1+12)=Kalendriaasta,MONTH(JaanP1+12)=1),JaanP1+12,""))</f>
        <v>43476</v>
      </c>
      <c r="H27" s="44">
        <f ca="1">IF(DAY(JaanP1)=1,IF(AND(YEAR(JaanP1+6)=Kalendriaasta,MONTH(JaanP1+6)=1),JaanP1+6,""),IF(AND(YEAR(JaanP1+13)=Kalendriaasta,MONTH(JaanP1+13)=1),JaanP1+13,""))</f>
        <v>43477</v>
      </c>
      <c r="I27" s="44">
        <f ca="1">IF(DAY(JaanP1)=1,IF(AND(YEAR(JaanP1+7)=Kalendriaasta,MONTH(JaanP1+7)=1),JaanP1+7,""),IF(AND(YEAR(JaanP1+14)=Kalendriaasta,MONTH(JaanP1+14)=1),JaanP1+14,""))</f>
        <v>43478</v>
      </c>
      <c r="J27" s="36"/>
      <c r="K27" s="35"/>
      <c r="L27" s="44">
        <f ca="1">IF(DAY(VeebrP1)=1,IF(AND(YEAR(VeebrP1+1)=Kalendriaasta,MONTH(VeebrP1+1)=2),VeebrP1+1,""),IF(AND(YEAR(VeebrP1+8)=Kalendriaasta,MONTH(VeebrP1+8)=2),VeebrP1+8,""))</f>
        <v>43500</v>
      </c>
      <c r="M27" s="44">
        <f ca="1">IF(DAY(VeebrP1)=1,IF(AND(YEAR(VeebrP1+2)=Kalendriaasta,MONTH(VeebrP1+2)=2),VeebrP1+2,""),IF(AND(YEAR(VeebrP1+9)=Kalendriaasta,MONTH(VeebrP1+9)=2),VeebrP1+9,""))</f>
        <v>43501</v>
      </c>
      <c r="N27" s="44">
        <f ca="1">IF(DAY(VeebrP1)=1,IF(AND(YEAR(VeebrP1+3)=Kalendriaasta,MONTH(VeebrP1+3)=2),VeebrP1+3,""),IF(AND(YEAR(VeebrP1+10)=Kalendriaasta,MONTH(VeebrP1+10)=2),VeebrP1+10,""))</f>
        <v>43502</v>
      </c>
      <c r="O27" s="44">
        <f ca="1">IF(DAY(VeebrP1)=1,IF(AND(YEAR(VeebrP1+4)=Kalendriaasta,MONTH(VeebrP1+4)=2),VeebrP1+4,""),IF(AND(YEAR(VeebrP1+11)=Kalendriaasta,MONTH(VeebrP1+11)=2),VeebrP1+11,""))</f>
        <v>43503</v>
      </c>
      <c r="P27" s="44">
        <f ca="1">IF(DAY(VeebrP1)=1,IF(AND(YEAR(VeebrP1+5)=Kalendriaasta,MONTH(VeebrP1+5)=2),VeebrP1+5,""),IF(AND(YEAR(VeebrP1+12)=Kalendriaasta,MONTH(VeebrP1+12)=2),VeebrP1+12,""))</f>
        <v>43504</v>
      </c>
      <c r="Q27" s="44">
        <f ca="1">IF(DAY(VeebrP1)=1,IF(AND(YEAR(VeebrP1+6)=Kalendriaasta,MONTH(VeebrP1+6)=2),VeebrP1+6,""),IF(AND(YEAR(VeebrP1+13)=Kalendriaasta,MONTH(VeebrP1+13)=2),VeebrP1+13,""))</f>
        <v>43505</v>
      </c>
      <c r="R27" s="44">
        <f ca="1">IF(DAY(VeebrP1)=1,IF(AND(YEAR(VeebrP1+7)=Kalendriaasta,MONTH(VeebrP1+7)=2),VeebrP1+7,""),IF(AND(YEAR(VeebrP1+14)=Kalendriaasta,MONTH(VeebrP1+14)=2),VeebrP1+14,""))</f>
        <v>43506</v>
      </c>
      <c r="S27" s="36"/>
      <c r="T27" s="40"/>
      <c r="U27" s="44">
        <f ca="1">IF(DAY(MärtsP1)=1,IF(AND(YEAR(MärtsP1+1)=Kalendriaasta,MONTH(MärtsP1+1)=3),MärtsP1+1,""),IF(AND(YEAR(MärtsP1+8)=Kalendriaasta,MONTH(MärtsP1+8)=3),MärtsP1+8,""))</f>
        <v>43528</v>
      </c>
      <c r="V27" s="44">
        <f ca="1">IF(DAY(MärtsP1)=1,IF(AND(YEAR(MärtsP1+2)=Kalendriaasta,MONTH(MärtsP1+2)=3),MärtsP1+2,""),IF(AND(YEAR(MärtsP1+9)=Kalendriaasta,MONTH(MärtsP1+9)=3),MärtsP1+9,""))</f>
        <v>43529</v>
      </c>
      <c r="W27" s="44">
        <f ca="1">IF(DAY(MärtsP1)=1,IF(AND(YEAR(MärtsP1+3)=Kalendriaasta,MONTH(MärtsP1+3)=3),MärtsP1+3,""),IF(AND(YEAR(MärtsP1+10)=Kalendriaasta,MONTH(MärtsP1+10)=3),MärtsP1+10,""))</f>
        <v>43530</v>
      </c>
      <c r="X27" s="44">
        <f ca="1">IF(DAY(MärtsP1)=1,IF(AND(YEAR(MärtsP1+4)=Kalendriaasta,MONTH(MärtsP1+4)=3),MärtsP1+4,""),IF(AND(YEAR(MärtsP1+11)=Kalendriaasta,MONTH(MärtsP1+11)=3),MärtsP1+11,""))</f>
        <v>43531</v>
      </c>
      <c r="Y27" s="44">
        <f ca="1">IF(DAY(MärtsP1)=1,IF(AND(YEAR(MärtsP1+5)=Kalendriaasta,MONTH(MärtsP1+5)=3),MärtsP1+5,""),IF(AND(YEAR(MärtsP1+12)=Kalendriaasta,MONTH(MärtsP1+12)=3),MärtsP1+12,""))</f>
        <v>43532</v>
      </c>
      <c r="Z27" s="44">
        <f ca="1">IF(DAY(MärtsP1)=1,IF(AND(YEAR(MärtsP1+6)=Kalendriaasta,MONTH(MärtsP1+6)=3),MärtsP1+6,""),IF(AND(YEAR(MärtsP1+13)=Kalendriaasta,MONTH(MärtsP1+13)=3),MärtsP1+13,""))</f>
        <v>43533</v>
      </c>
      <c r="AA27" s="44">
        <f ca="1">IF(DAY(MärtsP1)=1,IF(AND(YEAR(MärtsP1+7)=Kalendriaasta,MONTH(MärtsP1+7)=3),MärtsP1+7,""),IF(AND(YEAR(MärtsP1+14)=Kalendriaasta,MONTH(MärtsP1+14)=3),MärtsP1+14,""))</f>
        <v>43534</v>
      </c>
      <c r="AB27" s="36"/>
      <c r="AC27" s="35"/>
      <c r="AD27" s="44">
        <f ca="1">IF(DAY(AprP1)=1,IF(AND(YEAR(AprP1+1)=Kalendriaasta,MONTH(AprP1+1)=4),AprP1+1,""),IF(AND(YEAR(AprP1+8)=Kalendriaasta,MONTH(AprP1+8)=4),AprP1+8,""))</f>
        <v>43563</v>
      </c>
      <c r="AE27" s="44">
        <f ca="1">IF(DAY(AprP1)=1,IF(AND(YEAR(AprP1+2)=Kalendriaasta,MONTH(AprP1+2)=4),AprP1+2,""),IF(AND(YEAR(AprP1+9)=Kalendriaasta,MONTH(AprP1+9)=4),AprP1+9,""))</f>
        <v>43564</v>
      </c>
      <c r="AF27" s="44">
        <f ca="1">IF(DAY(AprP1)=1,IF(AND(YEAR(AprP1+3)=Kalendriaasta,MONTH(AprP1+3)=4),AprP1+3,""),IF(AND(YEAR(AprP1+10)=Kalendriaasta,MONTH(AprP1+10)=4),AprP1+10,""))</f>
        <v>43565</v>
      </c>
      <c r="AG27" s="44">
        <f ca="1">IF(DAY(AprP1)=1,IF(AND(YEAR(AprP1+4)=Kalendriaasta,MONTH(AprP1+4)=4),AprP1+4,""),IF(AND(YEAR(AprP1+11)=Kalendriaasta,MONTH(AprP1+11)=4),AprP1+11,""))</f>
        <v>43566</v>
      </c>
      <c r="AH27" s="44">
        <f ca="1">IF(DAY(AprP1)=1,IF(AND(YEAR(AprP1+5)=Kalendriaasta,MONTH(AprP1+5)=4),AprP1+5,""),IF(AND(YEAR(AprP1+12)=Kalendriaasta,MONTH(AprP1+12)=4),AprP1+12,""))</f>
        <v>43567</v>
      </c>
      <c r="AI27" s="44">
        <f ca="1">IF(DAY(AprP1)=1,IF(AND(YEAR(AprP1+6)=Kalendriaasta,MONTH(AprP1+6)=4),AprP1+6,""),IF(AND(YEAR(AprP1+13)=Kalendriaasta,MONTH(AprP1+13)=4),AprP1+13,""))</f>
        <v>43568</v>
      </c>
      <c r="AJ27" s="44">
        <f ca="1">IF(DAY(AprP1)=1,IF(AND(YEAR(AprP1+7)=Kalendriaasta,MONTH(AprP1+7)=4),AprP1+7,""),IF(AND(YEAR(AprP1+14)=Kalendriaasta,MONTH(AprP1+14)=4),AprP1+14,""))</f>
        <v>43569</v>
      </c>
    </row>
    <row r="28" spans="1:37" x14ac:dyDescent="0.2">
      <c r="C28" s="44">
        <f ca="1">IF(DAY(JaanP1)=1,IF(AND(YEAR(JaanP1+8)=Kalendriaasta,MONTH(JaanP1+8)=1),JaanP1+8,""),IF(AND(YEAR(JaanP1+15)=Kalendriaasta,MONTH(JaanP1+15)=1),JaanP1+15,""))</f>
        <v>43479</v>
      </c>
      <c r="D28" s="44">
        <f ca="1">IF(DAY(JaanP1)=1,IF(AND(YEAR(JaanP1+9)=Kalendriaasta,MONTH(JaanP1+9)=1),JaanP1+9,""),IF(AND(YEAR(JaanP1+16)=Kalendriaasta,MONTH(JaanP1+16)=1),JaanP1+16,""))</f>
        <v>43480</v>
      </c>
      <c r="E28" s="44">
        <f ca="1">IF(DAY(JaanP1)=1,IF(AND(YEAR(JaanP1+10)=Kalendriaasta,MONTH(JaanP1+10)=1),JaanP1+10,""),IF(AND(YEAR(JaanP1+17)=Kalendriaasta,MONTH(JaanP1+17)=1),JaanP1+17,""))</f>
        <v>43481</v>
      </c>
      <c r="F28" s="44">
        <f ca="1">IF(DAY(JaanP1)=1,IF(AND(YEAR(JaanP1+11)=Kalendriaasta,MONTH(JaanP1+11)=1),JaanP1+11,""),IF(AND(YEAR(JaanP1+18)=Kalendriaasta,MONTH(JaanP1+18)=1),JaanP1+18,""))</f>
        <v>43482</v>
      </c>
      <c r="G28" s="44">
        <f ca="1">IF(DAY(JaanP1)=1,IF(AND(YEAR(JaanP1+12)=Kalendriaasta,MONTH(JaanP1+12)=1),JaanP1+12,""),IF(AND(YEAR(JaanP1+19)=Kalendriaasta,MONTH(JaanP1+19)=1),JaanP1+19,""))</f>
        <v>43483</v>
      </c>
      <c r="H28" s="44">
        <f ca="1">IF(DAY(JaanP1)=1,IF(AND(YEAR(JaanP1+13)=Kalendriaasta,MONTH(JaanP1+13)=1),JaanP1+13,""),IF(AND(YEAR(JaanP1+20)=Kalendriaasta,MONTH(JaanP1+20)=1),JaanP1+20,""))</f>
        <v>43484</v>
      </c>
      <c r="I28" s="44">
        <f ca="1">IF(DAY(JaanP1)=1,IF(AND(YEAR(JaanP1+14)=Kalendriaasta,MONTH(JaanP1+14)=1),JaanP1+14,""),IF(AND(YEAR(JaanP1+21)=Kalendriaasta,MONTH(JaanP1+21)=1),JaanP1+21,""))</f>
        <v>43485</v>
      </c>
      <c r="J28" s="36"/>
      <c r="K28" s="35"/>
      <c r="L28" s="44">
        <f ca="1">IF(DAY(VeebrP1)=1,IF(AND(YEAR(VeebrP1+8)=Kalendriaasta,MONTH(VeebrP1+8)=2),VeebrP1+8,""),IF(AND(YEAR(VeebrP1+15)=Kalendriaasta,MONTH(VeebrP1+15)=2),VeebrP1+15,""))</f>
        <v>43507</v>
      </c>
      <c r="M28" s="44">
        <f ca="1">IF(DAY(VeebrP1)=1,IF(AND(YEAR(VeebrP1+9)=Kalendriaasta,MONTH(VeebrP1+9)=2),VeebrP1+9,""),IF(AND(YEAR(VeebrP1+16)=Kalendriaasta,MONTH(VeebrP1+16)=2),VeebrP1+16,""))</f>
        <v>43508</v>
      </c>
      <c r="N28" s="44">
        <f ca="1">IF(DAY(VeebrP1)=1,IF(AND(YEAR(VeebrP1+10)=Kalendriaasta,MONTH(VeebrP1+10)=2),VeebrP1+10,""),IF(AND(YEAR(VeebrP1+17)=Kalendriaasta,MONTH(VeebrP1+17)=2),VeebrP1+17,""))</f>
        <v>43509</v>
      </c>
      <c r="O28" s="44">
        <f ca="1">IF(DAY(VeebrP1)=1,IF(AND(YEAR(VeebrP1+11)=Kalendriaasta,MONTH(VeebrP1+11)=2),VeebrP1+11,""),IF(AND(YEAR(VeebrP1+18)=Kalendriaasta,MONTH(VeebrP1+18)=2),VeebrP1+18,""))</f>
        <v>43510</v>
      </c>
      <c r="P28" s="44">
        <f ca="1">IF(DAY(VeebrP1)=1,IF(AND(YEAR(VeebrP1+12)=Kalendriaasta,MONTH(VeebrP1+12)=2),VeebrP1+12,""),IF(AND(YEAR(VeebrP1+19)=Kalendriaasta,MONTH(VeebrP1+19)=2),VeebrP1+19,""))</f>
        <v>43511</v>
      </c>
      <c r="Q28" s="44">
        <f ca="1">IF(DAY(VeebrP1)=1,IF(AND(YEAR(VeebrP1+13)=Kalendriaasta,MONTH(VeebrP1+13)=2),VeebrP1+13,""),IF(AND(YEAR(VeebrP1+20)=Kalendriaasta,MONTH(VeebrP1+20)=2),VeebrP1+20,""))</f>
        <v>43512</v>
      </c>
      <c r="R28" s="44">
        <f ca="1">IF(DAY(VeebrP1)=1,IF(AND(YEAR(VeebrP1+14)=Kalendriaasta,MONTH(VeebrP1+14)=2),VeebrP1+14,""),IF(AND(YEAR(VeebrP1+21)=Kalendriaasta,MONTH(VeebrP1+21)=2),VeebrP1+21,""))</f>
        <v>43513</v>
      </c>
      <c r="S28" s="36"/>
      <c r="T28" s="40"/>
      <c r="U28" s="44">
        <f ca="1">IF(DAY(MärtsP1)=1,IF(AND(YEAR(MärtsP1+8)=Kalendriaasta,MONTH(MärtsP1+8)=3),MärtsP1+8,""),IF(AND(YEAR(MärtsP1+15)=Kalendriaasta,MONTH(MärtsP1+15)=3),MärtsP1+15,""))</f>
        <v>43535</v>
      </c>
      <c r="V28" s="44">
        <f ca="1">IF(DAY(MärtsP1)=1,IF(AND(YEAR(MärtsP1+9)=Kalendriaasta,MONTH(MärtsP1+9)=3),MärtsP1+9,""),IF(AND(YEAR(MärtsP1+16)=Kalendriaasta,MONTH(MärtsP1+16)=3),MärtsP1+16,""))</f>
        <v>43536</v>
      </c>
      <c r="W28" s="44">
        <f ca="1">IF(DAY(MärtsP1)=1,IF(AND(YEAR(MärtsP1+10)=Kalendriaasta,MONTH(MärtsP1+10)=3),MärtsP1+10,""),IF(AND(YEAR(MärtsP1+17)=Kalendriaasta,MONTH(MärtsP1+17)=3),MärtsP1+17,""))</f>
        <v>43537</v>
      </c>
      <c r="X28" s="44">
        <f ca="1">IF(DAY(MärtsP1)=1,IF(AND(YEAR(MärtsP1+11)=Kalendriaasta,MONTH(MärtsP1+11)=3),MärtsP1+11,""),IF(AND(YEAR(MärtsP1+18)=Kalendriaasta,MONTH(MärtsP1+18)=3),MärtsP1+18,""))</f>
        <v>43538</v>
      </c>
      <c r="Y28" s="44">
        <f ca="1">IF(DAY(MärtsP1)=1,IF(AND(YEAR(MärtsP1+12)=Kalendriaasta,MONTH(MärtsP1+12)=3),MärtsP1+12,""),IF(AND(YEAR(MärtsP1+19)=Kalendriaasta,MONTH(MärtsP1+19)=3),MärtsP1+19,""))</f>
        <v>43539</v>
      </c>
      <c r="Z28" s="44">
        <f ca="1">IF(DAY(MärtsP1)=1,IF(AND(YEAR(MärtsP1+13)=Kalendriaasta,MONTH(MärtsP1+13)=3),MärtsP1+13,""),IF(AND(YEAR(MärtsP1+20)=Kalendriaasta,MONTH(MärtsP1+20)=3),MärtsP1+20,""))</f>
        <v>43540</v>
      </c>
      <c r="AA28" s="44">
        <f ca="1">IF(DAY(MärtsP1)=1,IF(AND(YEAR(MärtsP1+14)=Kalendriaasta,MONTH(MärtsP1+14)=3),MärtsP1+14,""),IF(AND(YEAR(MärtsP1+21)=Kalendriaasta,MONTH(MärtsP1+21)=3),MärtsP1+21,""))</f>
        <v>43541</v>
      </c>
      <c r="AB28" s="36"/>
      <c r="AC28" s="35"/>
      <c r="AD28" s="44">
        <f ca="1">IF(DAY(AprP1)=1,IF(AND(YEAR(AprP1+8)=Kalendriaasta,MONTH(AprP1+8)=4),AprP1+8,""),IF(AND(YEAR(AprP1+15)=Kalendriaasta,MONTH(AprP1+15)=4),AprP1+15,""))</f>
        <v>43570</v>
      </c>
      <c r="AE28" s="44">
        <f ca="1">IF(DAY(AprP1)=1,IF(AND(YEAR(AprP1+9)=Kalendriaasta,MONTH(AprP1+9)=4),AprP1+9,""),IF(AND(YEAR(AprP1+16)=Kalendriaasta,MONTH(AprP1+16)=4),AprP1+16,""))</f>
        <v>43571</v>
      </c>
      <c r="AF28" s="44">
        <f ca="1">IF(DAY(AprP1)=1,IF(AND(YEAR(AprP1+10)=Kalendriaasta,MONTH(AprP1+10)=4),AprP1+10,""),IF(AND(YEAR(AprP1+17)=Kalendriaasta,MONTH(AprP1+17)=4),AprP1+17,""))</f>
        <v>43572</v>
      </c>
      <c r="AG28" s="44">
        <f ca="1">IF(DAY(AprP1)=1,IF(AND(YEAR(AprP1+11)=Kalendriaasta,MONTH(AprP1+11)=4),AprP1+11,""),IF(AND(YEAR(AprP1+18)=Kalendriaasta,MONTH(AprP1+18)=4),AprP1+18,""))</f>
        <v>43573</v>
      </c>
      <c r="AH28" s="44">
        <f ca="1">IF(DAY(AprP1)=1,IF(AND(YEAR(AprP1+12)=Kalendriaasta,MONTH(AprP1+12)=4),AprP1+12,""),IF(AND(YEAR(AprP1+19)=Kalendriaasta,MONTH(AprP1+19)=4),AprP1+19,""))</f>
        <v>43574</v>
      </c>
      <c r="AI28" s="44">
        <f ca="1">IF(DAY(AprP1)=1,IF(AND(YEAR(AprP1+13)=Kalendriaasta,MONTH(AprP1+13)=4),AprP1+13,""),IF(AND(YEAR(AprP1+20)=Kalendriaasta,MONTH(AprP1+20)=4),AprP1+20,""))</f>
        <v>43575</v>
      </c>
      <c r="AJ28" s="44">
        <f ca="1">IF(DAY(AprP1)=1,IF(AND(YEAR(AprP1+14)=Kalendriaasta,MONTH(AprP1+14)=4),AprP1+14,""),IF(AND(YEAR(AprP1+21)=Kalendriaasta,MONTH(AprP1+21)=4),AprP1+21,""))</f>
        <v>43576</v>
      </c>
    </row>
    <row r="29" spans="1:37" x14ac:dyDescent="0.2">
      <c r="C29" s="44">
        <f ca="1">IF(DAY(JaanP1)=1,IF(AND(YEAR(JaanP1+15)=Kalendriaasta,MONTH(JaanP1+15)=1),JaanP1+15,""),IF(AND(YEAR(JaanP1+22)=Kalendriaasta,MONTH(JaanP1+22)=1),JaanP1+22,""))</f>
        <v>43486</v>
      </c>
      <c r="D29" s="44">
        <f ca="1">IF(DAY(JaanP1)=1,IF(AND(YEAR(JaanP1+16)=Kalendriaasta,MONTH(JaanP1+16)=1),JaanP1+16,""),IF(AND(YEAR(JaanP1+23)=Kalendriaasta,MONTH(JaanP1+23)=1),JaanP1+23,""))</f>
        <v>43487</v>
      </c>
      <c r="E29" s="44">
        <f ca="1">IF(DAY(JaanP1)=1,IF(AND(YEAR(JaanP1+17)=Kalendriaasta,MONTH(JaanP1+17)=1),JaanP1+17,""),IF(AND(YEAR(JaanP1+24)=Kalendriaasta,MONTH(JaanP1+24)=1),JaanP1+24,""))</f>
        <v>43488</v>
      </c>
      <c r="F29" s="44">
        <f ca="1">IF(DAY(JaanP1)=1,IF(AND(YEAR(JaanP1+18)=Kalendriaasta,MONTH(JaanP1+18)=1),JaanP1+18,""),IF(AND(YEAR(JaanP1+25)=Kalendriaasta,MONTH(JaanP1+25)=1),JaanP1+25,""))</f>
        <v>43489</v>
      </c>
      <c r="G29" s="44">
        <f ca="1">IF(DAY(JaanP1)=1,IF(AND(YEAR(JaanP1+19)=Kalendriaasta,MONTH(JaanP1+19)=1),JaanP1+19,""),IF(AND(YEAR(JaanP1+26)=Kalendriaasta,MONTH(JaanP1+26)=1),JaanP1+26,""))</f>
        <v>43490</v>
      </c>
      <c r="H29" s="44">
        <f ca="1">IF(DAY(JaanP1)=1,IF(AND(YEAR(JaanP1+20)=Kalendriaasta,MONTH(JaanP1+20)=1),JaanP1+20,""),IF(AND(YEAR(JaanP1+27)=Kalendriaasta,MONTH(JaanP1+27)=1),JaanP1+27,""))</f>
        <v>43491</v>
      </c>
      <c r="I29" s="44">
        <f ca="1">IF(DAY(JaanP1)=1,IF(AND(YEAR(JaanP1+21)=Kalendriaasta,MONTH(JaanP1+21)=1),JaanP1+21,""),IF(AND(YEAR(JaanP1+28)=Kalendriaasta,MONTH(JaanP1+28)=1),JaanP1+28,""))</f>
        <v>43492</v>
      </c>
      <c r="J29" s="36"/>
      <c r="K29" s="35"/>
      <c r="L29" s="44">
        <f ca="1">IF(DAY(VeebrP1)=1,IF(AND(YEAR(VeebrP1+15)=Kalendriaasta,MONTH(VeebrP1+15)=2),VeebrP1+15,""),IF(AND(YEAR(VeebrP1+22)=Kalendriaasta,MONTH(VeebrP1+22)=2),VeebrP1+22,""))</f>
        <v>43514</v>
      </c>
      <c r="M29" s="44">
        <f ca="1">IF(DAY(VeebrP1)=1,IF(AND(YEAR(VeebrP1+16)=Kalendriaasta,MONTH(VeebrP1+16)=2),VeebrP1+16,""),IF(AND(YEAR(VeebrP1+23)=Kalendriaasta,MONTH(VeebrP1+23)=2),VeebrP1+23,""))</f>
        <v>43515</v>
      </c>
      <c r="N29" s="44">
        <f ca="1">IF(DAY(VeebrP1)=1,IF(AND(YEAR(VeebrP1+17)=Kalendriaasta,MONTH(VeebrP1+17)=2),VeebrP1+17,""),IF(AND(YEAR(VeebrP1+24)=Kalendriaasta,MONTH(VeebrP1+24)=2),VeebrP1+24,""))</f>
        <v>43516</v>
      </c>
      <c r="O29" s="44">
        <f ca="1">IF(DAY(VeebrP1)=1,IF(AND(YEAR(VeebrP1+18)=Kalendriaasta,MONTH(VeebrP1+18)=2),VeebrP1+18,""),IF(AND(YEAR(VeebrP1+25)=Kalendriaasta,MONTH(VeebrP1+25)=2),VeebrP1+25,""))</f>
        <v>43517</v>
      </c>
      <c r="P29" s="44">
        <f ca="1">IF(DAY(VeebrP1)=1,IF(AND(YEAR(VeebrP1+19)=Kalendriaasta,MONTH(VeebrP1+19)=2),VeebrP1+19,""),IF(AND(YEAR(VeebrP1+26)=Kalendriaasta,MONTH(VeebrP1+26)=2),VeebrP1+26,""))</f>
        <v>43518</v>
      </c>
      <c r="Q29" s="44">
        <f ca="1">IF(DAY(VeebrP1)=1,IF(AND(YEAR(VeebrP1+20)=Kalendriaasta,MONTH(VeebrP1+20)=2),VeebrP1+20,""),IF(AND(YEAR(VeebrP1+27)=Kalendriaasta,MONTH(VeebrP1+27)=2),VeebrP1+27,""))</f>
        <v>43519</v>
      </c>
      <c r="R29" s="44">
        <f ca="1">IF(DAY(VeebrP1)=1,IF(AND(YEAR(VeebrP1+21)=Kalendriaasta,MONTH(VeebrP1+21)=2),VeebrP1+21,""),IF(AND(YEAR(VeebrP1+28)=Kalendriaasta,MONTH(VeebrP1+28)=2),VeebrP1+28,""))</f>
        <v>43520</v>
      </c>
      <c r="S29" s="36"/>
      <c r="T29" s="40"/>
      <c r="U29" s="44">
        <f ca="1">IF(DAY(MärtsP1)=1,IF(AND(YEAR(MärtsP1+15)=Kalendriaasta,MONTH(MärtsP1+15)=3),MärtsP1+15,""),IF(AND(YEAR(MärtsP1+22)=Kalendriaasta,MONTH(MärtsP1+22)=3),MärtsP1+22,""))</f>
        <v>43542</v>
      </c>
      <c r="V29" s="44">
        <f ca="1">IF(DAY(MärtsP1)=1,IF(AND(YEAR(MärtsP1+16)=Kalendriaasta,MONTH(MärtsP1+16)=3),MärtsP1+16,""),IF(AND(YEAR(MärtsP1+23)=Kalendriaasta,MONTH(MärtsP1+23)=3),MärtsP1+23,""))</f>
        <v>43543</v>
      </c>
      <c r="W29" s="44">
        <f ca="1">IF(DAY(MärtsP1)=1,IF(AND(YEAR(MärtsP1+17)=Kalendriaasta,MONTH(MärtsP1+17)=3),MärtsP1+17,""),IF(AND(YEAR(MärtsP1+24)=Kalendriaasta,MONTH(MärtsP1+24)=3),MärtsP1+24,""))</f>
        <v>43544</v>
      </c>
      <c r="X29" s="44">
        <f ca="1">IF(DAY(MärtsP1)=1,IF(AND(YEAR(MärtsP1+18)=Kalendriaasta,MONTH(MärtsP1+18)=3),MärtsP1+18,""),IF(AND(YEAR(MärtsP1+25)=Kalendriaasta,MONTH(MärtsP1+25)=3),MärtsP1+25,""))</f>
        <v>43545</v>
      </c>
      <c r="Y29" s="44">
        <f ca="1">IF(DAY(MärtsP1)=1,IF(AND(YEAR(MärtsP1+19)=Kalendriaasta,MONTH(MärtsP1+19)=3),MärtsP1+19,""),IF(AND(YEAR(MärtsP1+26)=Kalendriaasta,MONTH(MärtsP1+26)=3),MärtsP1+26,""))</f>
        <v>43546</v>
      </c>
      <c r="Z29" s="44">
        <f ca="1">IF(DAY(MärtsP1)=1,IF(AND(YEAR(MärtsP1+20)=Kalendriaasta,MONTH(MärtsP1+20)=3),MärtsP1+20,""),IF(AND(YEAR(MärtsP1+27)=Kalendriaasta,MONTH(MärtsP1+27)=3),MärtsP1+27,""))</f>
        <v>43547</v>
      </c>
      <c r="AA29" s="44">
        <f ca="1">IF(DAY(MärtsP1)=1,IF(AND(YEAR(MärtsP1+21)=Kalendriaasta,MONTH(MärtsP1+21)=3),MärtsP1+21,""),IF(AND(YEAR(MärtsP1+28)=Kalendriaasta,MONTH(MärtsP1+28)=3),MärtsP1+28,""))</f>
        <v>43548</v>
      </c>
      <c r="AB29" s="36"/>
      <c r="AC29" s="35"/>
      <c r="AD29" s="44">
        <f ca="1">IF(DAY(AprP1)=1,IF(AND(YEAR(AprP1+15)=Kalendriaasta,MONTH(AprP1+15)=4),AprP1+15,""),IF(AND(YEAR(AprP1+22)=Kalendriaasta,MONTH(AprP1+22)=4),AprP1+22,""))</f>
        <v>43577</v>
      </c>
      <c r="AE29" s="44">
        <f ca="1">IF(DAY(AprP1)=1,IF(AND(YEAR(AprP1+16)=Kalendriaasta,MONTH(AprP1+16)=4),AprP1+16,""),IF(AND(YEAR(AprP1+23)=Kalendriaasta,MONTH(AprP1+23)=4),AprP1+23,""))</f>
        <v>43578</v>
      </c>
      <c r="AF29" s="44">
        <f ca="1">IF(DAY(AprP1)=1,IF(AND(YEAR(AprP1+17)=Kalendriaasta,MONTH(AprP1+17)=4),AprP1+17,""),IF(AND(YEAR(AprP1+24)=Kalendriaasta,MONTH(AprP1+24)=4),AprP1+24,""))</f>
        <v>43579</v>
      </c>
      <c r="AG29" s="44">
        <f ca="1">IF(DAY(AprP1)=1,IF(AND(YEAR(AprP1+18)=Kalendriaasta,MONTH(AprP1+18)=4),AprP1+18,""),IF(AND(YEAR(AprP1+25)=Kalendriaasta,MONTH(AprP1+25)=4),AprP1+25,""))</f>
        <v>43580</v>
      </c>
      <c r="AH29" s="44">
        <f ca="1">IF(DAY(AprP1)=1,IF(AND(YEAR(AprP1+19)=Kalendriaasta,MONTH(AprP1+19)=4),AprP1+19,""),IF(AND(YEAR(AprP1+26)=Kalendriaasta,MONTH(AprP1+26)=4),AprP1+26,""))</f>
        <v>43581</v>
      </c>
      <c r="AI29" s="44">
        <f ca="1">IF(DAY(AprP1)=1,IF(AND(YEAR(AprP1+20)=Kalendriaasta,MONTH(AprP1+20)=4),AprP1+20,""),IF(AND(YEAR(AprP1+27)=Kalendriaasta,MONTH(AprP1+27)=4),AprP1+27,""))</f>
        <v>43582</v>
      </c>
      <c r="AJ29" s="44">
        <f ca="1">IF(DAY(AprP1)=1,IF(AND(YEAR(AprP1+21)=Kalendriaasta,MONTH(AprP1+21)=4),AprP1+21,""),IF(AND(YEAR(AprP1+28)=Kalendriaasta,MONTH(AprP1+28)=4),AprP1+28,""))</f>
        <v>43583</v>
      </c>
    </row>
    <row r="30" spans="1:37" x14ac:dyDescent="0.2">
      <c r="C30" s="44">
        <f ca="1">IF(DAY(JaanP1)=1,IF(AND(YEAR(JaanP1+22)=Kalendriaasta,MONTH(JaanP1+22)=1),JaanP1+22,""),IF(AND(YEAR(JaanP1+29)=Kalendriaasta,MONTH(JaanP1+29)=1),JaanP1+29,""))</f>
        <v>43493</v>
      </c>
      <c r="D30" s="44">
        <f ca="1">IF(DAY(JaanP1)=1,IF(AND(YEAR(JaanP1+23)=Kalendriaasta,MONTH(JaanP1+23)=1),JaanP1+23,""),IF(AND(YEAR(JaanP1+30)=Kalendriaasta,MONTH(JaanP1+30)=1),JaanP1+30,""))</f>
        <v>43494</v>
      </c>
      <c r="E30" s="44">
        <f ca="1">IF(DAY(JaanP1)=1,IF(AND(YEAR(JaanP1+24)=Kalendriaasta,MONTH(JaanP1+24)=1),JaanP1+24,""),IF(AND(YEAR(JaanP1+31)=Kalendriaasta,MONTH(JaanP1+31)=1),JaanP1+31,""))</f>
        <v>43495</v>
      </c>
      <c r="F30" s="44">
        <f ca="1">IF(DAY(JaanP1)=1,IF(AND(YEAR(JaanP1+25)=Kalendriaasta,MONTH(JaanP1+25)=1),JaanP1+25,""),IF(AND(YEAR(JaanP1+32)=Kalendriaasta,MONTH(JaanP1+32)=1),JaanP1+32,""))</f>
        <v>43496</v>
      </c>
      <c r="G30" s="44" t="str">
        <f ca="1">IF(DAY(JaanP1)=1,IF(AND(YEAR(JaanP1+26)=Kalendriaasta,MONTH(JaanP1+26)=1),JaanP1+26,""),IF(AND(YEAR(JaanP1+33)=Kalendriaasta,MONTH(JaanP1+33)=1),JaanP1+33,""))</f>
        <v/>
      </c>
      <c r="H30" s="44" t="str">
        <f ca="1">IF(DAY(JaanP1)=1,IF(AND(YEAR(JaanP1+27)=Kalendriaasta,MONTH(JaanP1+27)=1),JaanP1+27,""),IF(AND(YEAR(JaanP1+34)=Kalendriaasta,MONTH(JaanP1+34)=1),JaanP1+34,""))</f>
        <v/>
      </c>
      <c r="I30" s="44" t="str">
        <f ca="1">IF(DAY(JaanP1)=1,IF(AND(YEAR(JaanP1+28)=Kalendriaasta,MONTH(JaanP1+28)=1),JaanP1+28,""),IF(AND(YEAR(JaanP1+35)=Kalendriaasta,MONTH(JaanP1+35)=1),JaanP1+35,""))</f>
        <v/>
      </c>
      <c r="J30" s="36"/>
      <c r="K30" s="35"/>
      <c r="L30" s="44">
        <f ca="1">IF(DAY(VeebrP1)=1,IF(AND(YEAR(VeebrP1+22)=Kalendriaasta,MONTH(VeebrP1+22)=2),VeebrP1+22,""),IF(AND(YEAR(VeebrP1+29)=Kalendriaasta,MONTH(VeebrP1+29)=2),VeebrP1+29,""))</f>
        <v>43521</v>
      </c>
      <c r="M30" s="44">
        <f ca="1">IF(DAY(VeebrP1)=1,IF(AND(YEAR(VeebrP1+23)=Kalendriaasta,MONTH(VeebrP1+23)=2),VeebrP1+23,""),IF(AND(YEAR(VeebrP1+30)=Kalendriaasta,MONTH(VeebrP1+30)=2),VeebrP1+30,""))</f>
        <v>43522</v>
      </c>
      <c r="N30" s="44">
        <f ca="1">IF(DAY(VeebrP1)=1,IF(AND(YEAR(VeebrP1+24)=Kalendriaasta,MONTH(VeebrP1+24)=2),VeebrP1+24,""),IF(AND(YEAR(VeebrP1+31)=Kalendriaasta,MONTH(VeebrP1+31)=2),VeebrP1+31,""))</f>
        <v>43523</v>
      </c>
      <c r="O30" s="44">
        <f ca="1">IF(DAY(VeebrP1)=1,IF(AND(YEAR(VeebrP1+25)=Kalendriaasta,MONTH(VeebrP1+25)=2),VeebrP1+25,""),IF(AND(YEAR(VeebrP1+32)=Kalendriaasta,MONTH(VeebrP1+32)=2),VeebrP1+32,""))</f>
        <v>43524</v>
      </c>
      <c r="P30" s="44" t="str">
        <f ca="1">IF(DAY(VeebrP1)=1,IF(AND(YEAR(VeebrP1+26)=Kalendriaasta,MONTH(VeebrP1+26)=2),VeebrP1+26,""),IF(AND(YEAR(VeebrP1+33)=Kalendriaasta,MONTH(VeebrP1+33)=2),VeebrP1+33,""))</f>
        <v/>
      </c>
      <c r="Q30" s="44" t="str">
        <f ca="1">IF(DAY(VeebrP1)=1,IF(AND(YEAR(VeebrP1+27)=Kalendriaasta,MONTH(VeebrP1+27)=2),VeebrP1+27,""),IF(AND(YEAR(VeebrP1+34)=Kalendriaasta,MONTH(VeebrP1+34)=2),VeebrP1+34,""))</f>
        <v/>
      </c>
      <c r="R30" s="44" t="str">
        <f ca="1">IF(DAY(VeebrP1)=1,IF(AND(YEAR(VeebrP1+28)=Kalendriaasta,MONTH(VeebrP1+28)=2),VeebrP1+28,""),IF(AND(YEAR(VeebrP1+35)=Kalendriaasta,MONTH(VeebrP1+35)=2),VeebrP1+35,""))</f>
        <v/>
      </c>
      <c r="S30" s="36"/>
      <c r="T30" s="40"/>
      <c r="U30" s="44">
        <f ca="1">IF(DAY(MärtsP1)=1,IF(AND(YEAR(MärtsP1+22)=Kalendriaasta,MONTH(MärtsP1+22)=3),MärtsP1+22,""),IF(AND(YEAR(MärtsP1+29)=Kalendriaasta,MONTH(MärtsP1+29)=3),MärtsP1+29,""))</f>
        <v>43549</v>
      </c>
      <c r="V30" s="44">
        <f ca="1">IF(DAY(MärtsP1)=1,IF(AND(YEAR(MärtsP1+23)=Kalendriaasta,MONTH(MärtsP1+23)=3),MärtsP1+23,""),IF(AND(YEAR(MärtsP1+30)=Kalendriaasta,MONTH(MärtsP1+30)=3),MärtsP1+30,""))</f>
        <v>43550</v>
      </c>
      <c r="W30" s="44">
        <f ca="1">IF(DAY(MärtsP1)=1,IF(AND(YEAR(MärtsP1+24)=Kalendriaasta,MONTH(MärtsP1+24)=3),MärtsP1+24,""),IF(AND(YEAR(MärtsP1+31)=Kalendriaasta,MONTH(MärtsP1+31)=3),MärtsP1+31,""))</f>
        <v>43551</v>
      </c>
      <c r="X30" s="44">
        <f ca="1">IF(DAY(MärtsP1)=1,IF(AND(YEAR(MärtsP1+25)=Kalendriaasta,MONTH(MärtsP1+25)=3),MärtsP1+25,""),IF(AND(YEAR(MärtsP1+32)=Kalendriaasta,MONTH(MärtsP1+32)=3),MärtsP1+32,""))</f>
        <v>43552</v>
      </c>
      <c r="Y30" s="44">
        <f ca="1">IF(DAY(MärtsP1)=1,IF(AND(YEAR(MärtsP1+26)=Kalendriaasta,MONTH(MärtsP1+26)=3),MärtsP1+26,""),IF(AND(YEAR(MärtsP1+33)=Kalendriaasta,MONTH(MärtsP1+33)=3),MärtsP1+33,""))</f>
        <v>43553</v>
      </c>
      <c r="Z30" s="44">
        <f ca="1">IF(DAY(MärtsP1)=1,IF(AND(YEAR(MärtsP1+27)=Kalendriaasta,MONTH(MärtsP1+27)=3),MärtsP1+27,""),IF(AND(YEAR(MärtsP1+34)=Kalendriaasta,MONTH(MärtsP1+34)=3),MärtsP1+34,""))</f>
        <v>43554</v>
      </c>
      <c r="AA30" s="44">
        <f ca="1">IF(DAY(MärtsP1)=1,IF(AND(YEAR(MärtsP1+28)=Kalendriaasta,MONTH(MärtsP1+28)=3),MärtsP1+28,""),IF(AND(YEAR(MärtsP1+35)=Kalendriaasta,MONTH(MärtsP1+35)=3),MärtsP1+35,""))</f>
        <v>43555</v>
      </c>
      <c r="AB30" s="36"/>
      <c r="AC30" s="35"/>
      <c r="AD30" s="44">
        <f ca="1">IF(DAY(AprP1)=1,IF(AND(YEAR(AprP1+22)=Kalendriaasta,MONTH(AprP1+22)=4),AprP1+22,""),IF(AND(YEAR(AprP1+29)=Kalendriaasta,MONTH(AprP1+29)=4),AprP1+29,""))</f>
        <v>43584</v>
      </c>
      <c r="AE30" s="44">
        <f ca="1">IF(DAY(AprP1)=1,IF(AND(YEAR(AprP1+23)=Kalendriaasta,MONTH(AprP1+23)=4),AprP1+23,""),IF(AND(YEAR(AprP1+30)=Kalendriaasta,MONTH(AprP1+30)=4),AprP1+30,""))</f>
        <v>43585</v>
      </c>
      <c r="AF30" s="44" t="str">
        <f ca="1">IF(DAY(AprP1)=1,IF(AND(YEAR(AprP1+24)=Kalendriaasta,MONTH(AprP1+24)=4),AprP1+24,""),IF(AND(YEAR(AprP1+31)=Kalendriaasta,MONTH(AprP1+31)=4),AprP1+31,""))</f>
        <v/>
      </c>
      <c r="AG30" s="44" t="str">
        <f ca="1">IF(DAY(AprP1)=1,IF(AND(YEAR(AprP1+25)=Kalendriaasta,MONTH(AprP1+25)=4),AprP1+25,""),IF(AND(YEAR(AprP1+32)=Kalendriaasta,MONTH(AprP1+32)=4),AprP1+32,""))</f>
        <v/>
      </c>
      <c r="AH30" s="44" t="str">
        <f ca="1">IF(DAY(AprP1)=1,IF(AND(YEAR(AprP1+26)=Kalendriaasta,MONTH(AprP1+26)=4),AprP1+26,""),IF(AND(YEAR(AprP1+33)=Kalendriaasta,MONTH(AprP1+33)=4),AprP1+33,""))</f>
        <v/>
      </c>
      <c r="AI30" s="44" t="str">
        <f ca="1">IF(DAY(AprP1)=1,IF(AND(YEAR(AprP1+27)=Kalendriaasta,MONTH(AprP1+27)=4),AprP1+27,""),IF(AND(YEAR(AprP1+34)=Kalendriaasta,MONTH(AprP1+34)=4),AprP1+34,""))</f>
        <v/>
      </c>
      <c r="AJ30" s="44" t="str">
        <f ca="1">IF(DAY(AprP1)=1,IF(AND(YEAR(AprP1+28)=Kalendriaasta,MONTH(AprP1+28)=4),AprP1+28,""),IF(AND(YEAR(AprP1+35)=Kalendriaasta,MONTH(AprP1+35)=4),AprP1+35,""))</f>
        <v/>
      </c>
    </row>
    <row r="31" spans="1:37" x14ac:dyDescent="0.2">
      <c r="C31" s="44" t="str">
        <f ca="1">IF(DAY(JaanP1)=1,IF(AND(YEAR(JaanP1+29)=Kalendriaasta,MONTH(JaanP1+29)=1),JaanP1+29,""),IF(AND(YEAR(JaanP1+36)=Kalendriaasta,MONTH(JaanP1+36)=1),JaanP1+36,""))</f>
        <v/>
      </c>
      <c r="D31" s="44" t="str">
        <f ca="1">IF(DAY(JaanP1)=1,IF(AND(YEAR(JaanP1+30)=Kalendriaasta,MONTH(JaanP1+30)=1),JaanP1+30,""),IF(AND(YEAR(JaanP1+37)=Kalendriaasta,MONTH(JaanP1+37)=1),JaanP1+37,""))</f>
        <v/>
      </c>
      <c r="E31" s="44" t="str">
        <f ca="1">IF(DAY(JaanP1)=1,IF(AND(YEAR(JaanP1+31)=Kalendriaasta,MONTH(JaanP1+31)=1),JaanP1+31,""),IF(AND(YEAR(JaanP1+38)=Kalendriaasta,MONTH(JaanP1+38)=1),JaanP1+38,""))</f>
        <v/>
      </c>
      <c r="F31" s="44" t="str">
        <f ca="1">IF(DAY(JaanP1)=1,IF(AND(YEAR(JaanP1+32)=Kalendriaasta,MONTH(JaanP1+32)=1),JaanP1+32,""),IF(AND(YEAR(JaanP1+39)=Kalendriaasta,MONTH(JaanP1+39)=1),JaanP1+39,""))</f>
        <v/>
      </c>
      <c r="G31" s="44" t="str">
        <f ca="1">IF(DAY(JaanP1)=1,IF(AND(YEAR(JaanP1+33)=Kalendriaasta,MONTH(JaanP1+33)=1),JaanP1+33,""),IF(AND(YEAR(JaanP1+40)=Kalendriaasta,MONTH(JaanP1+40)=1),JaanP1+40,""))</f>
        <v/>
      </c>
      <c r="H31" s="44" t="str">
        <f ca="1">IF(DAY(JaanP1)=1,IF(AND(YEAR(JaanP1+34)=Kalendriaasta,MONTH(JaanP1+34)=1),JaanP1+34,""),IF(AND(YEAR(JaanP1+41)=Kalendriaasta,MONTH(JaanP1+41)=1),JaanP1+41,""))</f>
        <v/>
      </c>
      <c r="I31" s="44" t="str">
        <f ca="1">IF(DAY(JaanP1)=1,IF(AND(YEAR(JaanP1+35)=Kalendriaasta,MONTH(JaanP1+35)=1),JaanP1+35,""),IF(AND(YEAR(JaanP1+42)=Kalendriaasta,MONTH(JaanP1+42)=1),JaanP1+42,""))</f>
        <v/>
      </c>
      <c r="J31" s="36"/>
      <c r="K31" s="35"/>
      <c r="L31" s="44" t="str">
        <f ca="1">IF(DAY(VeebrP1)=1,IF(AND(YEAR(VeebrP1+29)=Kalendriaasta,MONTH(VeebrP1+29)=2),VeebrP1+29,""),IF(AND(YEAR(VeebrP1+36)=Kalendriaasta,MONTH(VeebrP1+36)=2),VeebrP1+36,""))</f>
        <v/>
      </c>
      <c r="M31" s="44" t="str">
        <f ca="1">IF(DAY(VeebrP1)=1,IF(AND(YEAR(VeebrP1+30)=Kalendriaasta,MONTH(VeebrP1+30)=2),VeebrP1+30,""),IF(AND(YEAR(VeebrP1+37)=Kalendriaasta,MONTH(VeebrP1+37)=2),VeebrP1+37,""))</f>
        <v/>
      </c>
      <c r="N31" s="44" t="str">
        <f ca="1">IF(DAY(VeebrP1)=1,IF(AND(YEAR(VeebrP1+31)=Kalendriaasta,MONTH(VeebrP1+31)=2),VeebrP1+31,""),IF(AND(YEAR(VeebrP1+38)=Kalendriaasta,MONTH(VeebrP1+38)=2),VeebrP1+38,""))</f>
        <v/>
      </c>
      <c r="O31" s="44" t="str">
        <f ca="1">IF(DAY(VeebrP1)=1,IF(AND(YEAR(VeebrP1+32)=Kalendriaasta,MONTH(VeebrP1+32)=2),VeebrP1+32,""),IF(AND(YEAR(VeebrP1+39)=Kalendriaasta,MONTH(VeebrP1+39)=2),VeebrP1+39,""))</f>
        <v/>
      </c>
      <c r="P31" s="44" t="str">
        <f ca="1">IF(DAY(VeebrP1)=1,IF(AND(YEAR(VeebrP1+33)=Kalendriaasta,MONTH(VeebrP1+33)=2),VeebrP1+33,""),IF(AND(YEAR(VeebrP1+40)=Kalendriaasta,MONTH(VeebrP1+40)=2),VeebrP1+40,""))</f>
        <v/>
      </c>
      <c r="Q31" s="44" t="str">
        <f ca="1">IF(DAY(VeebrP1)=1,IF(AND(YEAR(VeebrP1+34)=Kalendriaasta,MONTH(VeebrP1+34)=2),VeebrP1+34,""),IF(AND(YEAR(VeebrP1+41)=Kalendriaasta,MONTH(VeebrP1+41)=2),VeebrP1+41,""))</f>
        <v/>
      </c>
      <c r="R31" s="44" t="str">
        <f ca="1">IF(DAY(VeebrP1)=1,IF(AND(YEAR(VeebrP1+35)=Kalendriaasta,MONTH(VeebrP1+35)=2),VeebrP1+35,""),IF(AND(YEAR(VeebrP1+42)=Kalendriaasta,MONTH(VeebrP1+42)=2),VeebrP1+42,""))</f>
        <v/>
      </c>
      <c r="S31" s="36"/>
      <c r="T31" s="40"/>
      <c r="U31" s="44" t="str">
        <f ca="1">IF(DAY(MärtsP1)=1,IF(AND(YEAR(MärtsP1+29)=Kalendriaasta,MONTH(MärtsP1+29)=3),MärtsP1+29,""),IF(AND(YEAR(MärtsP1+36)=Kalendriaasta,MONTH(MärtsP1+36)=3),MärtsP1+36,""))</f>
        <v/>
      </c>
      <c r="V31" s="44" t="str">
        <f ca="1">IF(DAY(MärtsP1)=1,IF(AND(YEAR(MärtsP1+30)=Kalendriaasta,MONTH(MärtsP1+30)=3),MärtsP1+30,""),IF(AND(YEAR(MärtsP1+37)=Kalendriaasta,MONTH(MärtsP1+37)=3),MärtsP1+37,""))</f>
        <v/>
      </c>
      <c r="W31" s="44" t="str">
        <f ca="1">IF(DAY(MärtsP1)=1,IF(AND(YEAR(MärtsP1+31)=Kalendriaasta,MONTH(MärtsP1+31)=3),MärtsP1+31,""),IF(AND(YEAR(MärtsP1+38)=Kalendriaasta,MONTH(MärtsP1+38)=3),MärtsP1+38,""))</f>
        <v/>
      </c>
      <c r="X31" s="44" t="str">
        <f ca="1">IF(DAY(MärtsP1)=1,IF(AND(YEAR(MärtsP1+32)=Kalendriaasta,MONTH(MärtsP1+32)=3),MärtsP1+32,""),IF(AND(YEAR(MärtsP1+39)=Kalendriaasta,MONTH(MärtsP1+39)=3),MärtsP1+39,""))</f>
        <v/>
      </c>
      <c r="Y31" s="44" t="str">
        <f ca="1">IF(DAY(MärtsP1)=1,IF(AND(YEAR(MärtsP1+33)=Kalendriaasta,MONTH(MärtsP1+33)=3),MärtsP1+33,""),IF(AND(YEAR(MärtsP1+40)=Kalendriaasta,MONTH(MärtsP1+40)=3),MärtsP1+40,""))</f>
        <v/>
      </c>
      <c r="Z31" s="44" t="str">
        <f ca="1">IF(DAY(MärtsP1)=1,IF(AND(YEAR(MärtsP1+34)=Kalendriaasta,MONTH(MärtsP1+34)=3),MärtsP1+34,""),IF(AND(YEAR(MärtsP1+41)=Kalendriaasta,MONTH(MärtsP1+41)=3),MärtsP1+41,""))</f>
        <v/>
      </c>
      <c r="AA31" s="44" t="str">
        <f ca="1">IF(DAY(MärtsP1)=1,IF(AND(YEAR(MärtsP1+35)=Kalendriaasta,MONTH(MärtsP1+35)=3),MärtsP1+35,""),IF(AND(YEAR(MärtsP1+42)=Kalendriaasta,MONTH(MärtsP1+42)=3),MärtsP1+42,""))</f>
        <v/>
      </c>
      <c r="AB31" s="36"/>
      <c r="AC31" s="35"/>
      <c r="AD31" s="44" t="str">
        <f ca="1">IF(DAY(AprP1)=1,IF(AND(YEAR(AprP1+29)=Kalendriaasta,MONTH(AprP1+29)=4),AprP1+29,""),IF(AND(YEAR(AprP1+36)=Kalendriaasta,MONTH(AprP1+36)=4),AprP1+36,""))</f>
        <v/>
      </c>
      <c r="AE31" s="44" t="str">
        <f ca="1">IF(DAY(AprP1)=1,IF(AND(YEAR(AprP1+30)=Kalendriaasta,MONTH(AprP1+30)=4),AprP1+30,""),IF(AND(YEAR(AprP1+37)=Kalendriaasta,MONTH(AprP1+37)=4),AprP1+37,""))</f>
        <v/>
      </c>
      <c r="AF31" s="44" t="str">
        <f ca="1">IF(DAY(AprP1)=1,IF(AND(YEAR(AprP1+31)=Kalendriaasta,MONTH(AprP1+31)=4),AprP1+31,""),IF(AND(YEAR(AprP1+38)=Kalendriaasta,MONTH(AprP1+38)=4),AprP1+38,""))</f>
        <v/>
      </c>
      <c r="AG31" s="44" t="str">
        <f ca="1">IF(DAY(AprP1)=1,IF(AND(YEAR(AprP1+32)=Kalendriaasta,MONTH(AprP1+32)=4),AprP1+32,""),IF(AND(YEAR(AprP1+39)=Kalendriaasta,MONTH(AprP1+39)=4),AprP1+39,""))</f>
        <v/>
      </c>
      <c r="AH31" s="44" t="str">
        <f ca="1">IF(DAY(AprP1)=1,IF(AND(YEAR(AprP1+33)=Kalendriaasta,MONTH(AprP1+33)=4),AprP1+33,""),IF(AND(YEAR(AprP1+40)=Kalendriaasta,MONTH(AprP1+40)=4),AprP1+40,""))</f>
        <v/>
      </c>
      <c r="AI31" s="44" t="str">
        <f ca="1">IF(DAY(AprP1)=1,IF(AND(YEAR(AprP1+34)=Kalendriaasta,MONTH(AprP1+34)=4),AprP1+34,""),IF(AND(YEAR(AprP1+41)=Kalendriaasta,MONTH(AprP1+41)=4),AprP1+41,""))</f>
        <v/>
      </c>
      <c r="AJ31" s="44" t="str">
        <f ca="1">IF(DAY(AprP1)=1,IF(AND(YEAR(AprP1+35)=Kalendriaasta,MONTH(AprP1+35)=4),AprP1+35,""),IF(AND(YEAR(AprP1+42)=Kalendriaasta,MONTH(AprP1+42)=4),AprP1+42,""))</f>
        <v/>
      </c>
    </row>
    <row r="32" spans="1:37" ht="15" x14ac:dyDescent="0.2">
      <c r="A32" s="26" t="s">
        <v>11</v>
      </c>
      <c r="C32" s="35"/>
      <c r="D32" s="35"/>
      <c r="E32" s="35"/>
      <c r="F32" s="35"/>
      <c r="G32" s="35"/>
      <c r="H32" s="35"/>
      <c r="I32" s="35"/>
      <c r="J32" s="36"/>
      <c r="K32" s="35"/>
      <c r="L32" s="35"/>
      <c r="M32" s="35"/>
      <c r="N32" s="35"/>
      <c r="O32" s="35"/>
      <c r="P32" s="35"/>
      <c r="Q32" s="35"/>
      <c r="R32" s="35"/>
      <c r="S32" s="36"/>
      <c r="T32" s="40"/>
      <c r="U32" s="40"/>
      <c r="V32" s="40"/>
      <c r="W32" s="40"/>
      <c r="X32" s="40"/>
      <c r="Y32" s="40"/>
      <c r="Z32" s="40"/>
      <c r="AA32" s="40"/>
      <c r="AB32" s="41"/>
      <c r="AC32" s="40"/>
      <c r="AD32" s="40"/>
      <c r="AE32" s="40"/>
      <c r="AF32" s="40"/>
      <c r="AG32" s="40"/>
      <c r="AH32" s="40"/>
      <c r="AI32" s="40"/>
      <c r="AJ32" s="40"/>
    </row>
    <row r="33" spans="1:36" ht="15.75" x14ac:dyDescent="0.25">
      <c r="A33" s="26" t="s">
        <v>12</v>
      </c>
      <c r="C33" s="54">
        <f ca="1">DATE(Kalendriaasta,5,1)</f>
        <v>43586</v>
      </c>
      <c r="D33" s="54"/>
      <c r="E33" s="54"/>
      <c r="F33" s="54"/>
      <c r="G33" s="54"/>
      <c r="H33" s="54"/>
      <c r="I33" s="54"/>
      <c r="J33" s="32"/>
      <c r="K33" s="35"/>
      <c r="L33" s="54">
        <f ca="1">DATE(Kalendriaasta,6,1)</f>
        <v>43617</v>
      </c>
      <c r="M33" s="54"/>
      <c r="N33" s="54"/>
      <c r="O33" s="54"/>
      <c r="P33" s="54"/>
      <c r="Q33" s="54"/>
      <c r="R33" s="54"/>
      <c r="S33" s="32"/>
      <c r="T33" s="40"/>
      <c r="U33" s="54">
        <f ca="1">DATE(Kalendriaasta,7,1)</f>
        <v>43647</v>
      </c>
      <c r="V33" s="54"/>
      <c r="W33" s="54"/>
      <c r="X33" s="54"/>
      <c r="Y33" s="54"/>
      <c r="Z33" s="54"/>
      <c r="AA33" s="54"/>
      <c r="AB33" s="32"/>
      <c r="AC33" s="35"/>
      <c r="AD33" s="54">
        <f ca="1">DATE(Kalendriaasta,8,1)</f>
        <v>43678</v>
      </c>
      <c r="AE33" s="54"/>
      <c r="AF33" s="54"/>
      <c r="AG33" s="54"/>
      <c r="AH33" s="54"/>
      <c r="AI33" s="54"/>
      <c r="AJ33" s="54"/>
    </row>
    <row r="34" spans="1:36" ht="15" x14ac:dyDescent="0.25">
      <c r="A34" s="26" t="s">
        <v>13</v>
      </c>
      <c r="C34" s="21" t="s">
        <v>19</v>
      </c>
      <c r="D34" s="21" t="s">
        <v>22</v>
      </c>
      <c r="E34" s="21" t="s">
        <v>23</v>
      </c>
      <c r="F34" s="21" t="s">
        <v>24</v>
      </c>
      <c r="G34" s="21" t="s">
        <v>25</v>
      </c>
      <c r="H34" s="21" t="s">
        <v>28</v>
      </c>
      <c r="I34" s="21" t="s">
        <v>29</v>
      </c>
      <c r="J34" s="34"/>
      <c r="K34" s="37"/>
      <c r="L34" s="21" t="s">
        <v>19</v>
      </c>
      <c r="M34" s="21" t="s">
        <v>22</v>
      </c>
      <c r="N34" s="21" t="s">
        <v>23</v>
      </c>
      <c r="O34" s="21" t="s">
        <v>24</v>
      </c>
      <c r="P34" s="21" t="s">
        <v>25</v>
      </c>
      <c r="Q34" s="21" t="s">
        <v>28</v>
      </c>
      <c r="R34" s="21" t="s">
        <v>29</v>
      </c>
      <c r="S34" s="34"/>
      <c r="T34" s="40"/>
      <c r="U34" s="21" t="s">
        <v>19</v>
      </c>
      <c r="V34" s="21" t="s">
        <v>22</v>
      </c>
      <c r="W34" s="21" t="s">
        <v>23</v>
      </c>
      <c r="X34" s="21" t="s">
        <v>24</v>
      </c>
      <c r="Y34" s="21" t="s">
        <v>25</v>
      </c>
      <c r="Z34" s="21" t="s">
        <v>28</v>
      </c>
      <c r="AA34" s="21" t="s">
        <v>29</v>
      </c>
      <c r="AB34" s="34"/>
      <c r="AC34" s="35"/>
      <c r="AD34" s="21" t="s">
        <v>19</v>
      </c>
      <c r="AE34" s="21" t="s">
        <v>22</v>
      </c>
      <c r="AF34" s="21" t="s">
        <v>23</v>
      </c>
      <c r="AG34" s="21" t="s">
        <v>24</v>
      </c>
      <c r="AH34" s="21" t="s">
        <v>25</v>
      </c>
      <c r="AI34" s="21" t="s">
        <v>28</v>
      </c>
      <c r="AJ34" s="21" t="s">
        <v>29</v>
      </c>
    </row>
    <row r="35" spans="1:36" ht="15.75" x14ac:dyDescent="0.25">
      <c r="A35" s="26" t="s">
        <v>14</v>
      </c>
      <c r="C35" s="44" t="str">
        <f ca="1">IF(DAY(MaiP1)=1,"",IF(AND(YEAR(MaiP1+1)=Kalendriaasta,MONTH(MaiP1+1)=5),MaiP1+1,""))</f>
        <v/>
      </c>
      <c r="D35" s="44" t="str">
        <f ca="1">IF(DAY(MaiP1)=1,"",IF(AND(YEAR(MaiP1+2)=Kalendriaasta,MONTH(MaiP1+2)=5),MaiP1+2,""))</f>
        <v/>
      </c>
      <c r="E35" s="44">
        <f ca="1">IF(DAY(MaiP1)=1,"",IF(AND(YEAR(MaiP1+3)=Kalendriaasta,MONTH(MaiP1+3)=5),MaiP1+3,""))</f>
        <v>43586</v>
      </c>
      <c r="F35" s="44">
        <f ca="1">IF(DAY(MaiP1)=1,"",IF(AND(YEAR(MaiP1+4)=Kalendriaasta,MONTH(MaiP1+4)=5),MaiP1+4,""))</f>
        <v>43587</v>
      </c>
      <c r="G35" s="44">
        <f ca="1">IF(DAY(MaiP1)=1,"",IF(AND(YEAR(MaiP1+5)=Kalendriaasta,MONTH(MaiP1+5)=5),MaiP1+5,""))</f>
        <v>43588</v>
      </c>
      <c r="H35" s="44">
        <f ca="1">IF(DAY(MaiP1)=1,"",IF(AND(YEAR(MaiP1+6)=Kalendriaasta,MONTH(MaiP1+6)=5),MaiP1+6,""))</f>
        <v>43589</v>
      </c>
      <c r="I35" s="44">
        <f ca="1">IF(DAY(MaiP1)=1,IF(AND(YEAR(MaiP1)=Kalendriaasta,MONTH(MaiP1)=5),MaiP1,""),IF(AND(YEAR(MaiP1+7)=Kalendriaasta,MONTH(MaiP1+7)=5),MaiP1+7,""))</f>
        <v>43590</v>
      </c>
      <c r="J35" s="36"/>
      <c r="K35" s="33"/>
      <c r="L35" s="44" t="str">
        <f ca="1">IF(DAY(JuuniP1)=1,"",IF(AND(YEAR(JuuniP1+1)=Kalendriaasta,MONTH(JuuniP1+1)=6),JuuniP1+1,""))</f>
        <v/>
      </c>
      <c r="M35" s="44" t="str">
        <f ca="1">IF(DAY(JuuniP1)=1,"",IF(AND(YEAR(JuuniP1+2)=Kalendriaasta,MONTH(JuuniP1+2)=6),JuuniP1+2,""))</f>
        <v/>
      </c>
      <c r="N35" s="44" t="str">
        <f ca="1">IF(DAY(JuuniP1)=1,"",IF(AND(YEAR(JuuniP1+3)=Kalendriaasta,MONTH(JuuniP1+3)=6),JuuniP1+3,""))</f>
        <v/>
      </c>
      <c r="O35" s="44" t="str">
        <f ca="1">IF(DAY(JuuniP1)=1,"",IF(AND(YEAR(JuuniP1+4)=Kalendriaasta,MONTH(JuuniP1+4)=6),JuuniP1+4,""))</f>
        <v/>
      </c>
      <c r="P35" s="44" t="str">
        <f ca="1">IF(DAY(JuuniP1)=1,"",IF(AND(YEAR(JuuniP1+5)=Kalendriaasta,MONTH(JuuniP1+5)=6),JuuniP1+5,""))</f>
        <v/>
      </c>
      <c r="Q35" s="44">
        <f ca="1">IF(DAY(JuuniP1)=1,"",IF(AND(YEAR(JuuniP1+6)=Kalendriaasta,MONTH(JuuniP1+6)=6),JuuniP1+6,""))</f>
        <v>43617</v>
      </c>
      <c r="R35" s="44">
        <f ca="1">IF(DAY(JuuniP1)=1,IF(AND(YEAR(JuuniP1)=Kalendriaasta,MONTH(JuuniP1)=6),JuuniP1,""),IF(AND(YEAR(JuuniP1+7)=Kalendriaasta,MONTH(JuuniP1+7)=6),JuuniP1+7,""))</f>
        <v>43618</v>
      </c>
      <c r="S35" s="36"/>
      <c r="T35" s="40"/>
      <c r="U35" s="44">
        <f ca="1">IF(DAY(JuuliP1)=1,"",IF(AND(YEAR(JuuliP1+1)=Kalendriaasta,MONTH(JuuliP1+1)=7),JuuliP1+1,""))</f>
        <v>43647</v>
      </c>
      <c r="V35" s="44">
        <f ca="1">IF(DAY(JuuliP1)=1,"",IF(AND(YEAR(JuuliP1+2)=Kalendriaasta,MONTH(JuuliP1+2)=7),JuuliP1+2,""))</f>
        <v>43648</v>
      </c>
      <c r="W35" s="44">
        <f ca="1">IF(DAY(JuuliP1)=1,"",IF(AND(YEAR(JuuliP1+3)=Kalendriaasta,MONTH(JuuliP1+3)=7),JuuliP1+3,""))</f>
        <v>43649</v>
      </c>
      <c r="X35" s="44">
        <f ca="1">IF(DAY(JuuliP1)=1,"",IF(AND(YEAR(JuuliP1+4)=Kalendriaasta,MONTH(JuuliP1+4)=7),JuuliP1+4,""))</f>
        <v>43650</v>
      </c>
      <c r="Y35" s="44">
        <f ca="1">IF(DAY(JuuliP1)=1,"",IF(AND(YEAR(JuuliP1+5)=Kalendriaasta,MONTH(JuuliP1+5)=7),JuuliP1+5,""))</f>
        <v>43651</v>
      </c>
      <c r="Z35" s="44">
        <f ca="1">IF(DAY(JuuliP1)=1,"",IF(AND(YEAR(JuuliP1+6)=Kalendriaasta,MONTH(JuuliP1+6)=7),JuuliP1+6,""))</f>
        <v>43652</v>
      </c>
      <c r="AA35" s="44">
        <f ca="1">IF(DAY(JuuliP1)=1,IF(AND(YEAR(JuuliP1)=Kalendriaasta,MONTH(JuuliP1)=7),JuuliP1,""),IF(AND(YEAR(JuuliP1+7)=Kalendriaasta,MONTH(JuuliP1+7)=7),JuuliP1+7,""))</f>
        <v>43653</v>
      </c>
      <c r="AB35" s="36"/>
      <c r="AC35" s="37"/>
      <c r="AD35" s="44" t="str">
        <f ca="1">IF(DAY(AugP1)=1,"",IF(AND(YEAR(AugP1+1)=Kalendriaasta,MONTH(AugP1+1)=8),AugP1+1,""))</f>
        <v/>
      </c>
      <c r="AE35" s="44" t="str">
        <f ca="1">IF(DAY(AugP1)=1,"",IF(AND(YEAR(AugP1+2)=Kalendriaasta,MONTH(AugP1+2)=8),AugP1+2,""))</f>
        <v/>
      </c>
      <c r="AF35" s="44" t="str">
        <f ca="1">IF(DAY(AugP1)=1,"",IF(AND(YEAR(AugP1+3)=Kalendriaasta,MONTH(AugP1+3)=8),AugP1+3,""))</f>
        <v/>
      </c>
      <c r="AG35" s="44">
        <f ca="1">IF(DAY(AugP1)=1,"",IF(AND(YEAR(AugP1+4)=Kalendriaasta,MONTH(AugP1+4)=8),AugP1+4,""))</f>
        <v>43678</v>
      </c>
      <c r="AH35" s="44">
        <f ca="1">IF(DAY(AugP1)=1,"",IF(AND(YEAR(AugP1+5)=Kalendriaasta,MONTH(AugP1+5)=8),AugP1+5,""))</f>
        <v>43679</v>
      </c>
      <c r="AI35" s="44">
        <f ca="1">IF(DAY(AugP1)=1,"",IF(AND(YEAR(AugP1+6)=Kalendriaasta,MONTH(AugP1+6)=8),AugP1+6,""))</f>
        <v>43680</v>
      </c>
      <c r="AJ35" s="44">
        <f ca="1">IF(DAY(AugP1)=1,IF(AND(YEAR(AugP1)=Kalendriaasta,MONTH(AugP1)=8),AugP1,""),IF(AND(YEAR(AugP1+7)=Kalendriaasta,MONTH(AugP1+7)=8),AugP1+7,""))</f>
        <v>43681</v>
      </c>
    </row>
    <row r="36" spans="1:36" x14ac:dyDescent="0.2">
      <c r="C36" s="44">
        <f ca="1">IF(DAY(MaiP1)=1,IF(AND(YEAR(MaiP1+1)=Kalendriaasta,MONTH(MaiP1+1)=5),MaiP1+1,""),IF(AND(YEAR(MaiP1+8)=Kalendriaasta,MONTH(MaiP1+8)=5),MaiP1+8,""))</f>
        <v>43591</v>
      </c>
      <c r="D36" s="44">
        <f ca="1">IF(DAY(MaiP1)=1,IF(AND(YEAR(MaiP1+2)=Kalendriaasta,MONTH(MaiP1+2)=5),MaiP1+2,""),IF(AND(YEAR(MaiP1+9)=Kalendriaasta,MONTH(MaiP1+9)=5),MaiP1+9,""))</f>
        <v>43592</v>
      </c>
      <c r="E36" s="44">
        <f ca="1">IF(DAY(MaiP1)=1,IF(AND(YEAR(MaiP1+3)=Kalendriaasta,MONTH(MaiP1+3)=5),MaiP1+3,""),IF(AND(YEAR(MaiP1+10)=Kalendriaasta,MONTH(MaiP1+10)=5),MaiP1+10,""))</f>
        <v>43593</v>
      </c>
      <c r="F36" s="44">
        <f ca="1">IF(DAY(MaiP1)=1,IF(AND(YEAR(MaiP1+4)=Kalendriaasta,MONTH(MaiP1+4)=5),MaiP1+4,""),IF(AND(YEAR(MaiP1+11)=Kalendriaasta,MONTH(MaiP1+11)=5),MaiP1+11,""))</f>
        <v>43594</v>
      </c>
      <c r="G36" s="44">
        <f ca="1">IF(DAY(MaiP1)=1,IF(AND(YEAR(MaiP1+5)=Kalendriaasta,MONTH(MaiP1+5)=5),MaiP1+5,""),IF(AND(YEAR(MaiP1+12)=Kalendriaasta,MONTH(MaiP1+12)=5),MaiP1+12,""))</f>
        <v>43595</v>
      </c>
      <c r="H36" s="44">
        <f ca="1">IF(DAY(MaiP1)=1,IF(AND(YEAR(MaiP1+6)=Kalendriaasta,MONTH(MaiP1+6)=5),MaiP1+6,""),IF(AND(YEAR(MaiP1+13)=Kalendriaasta,MONTH(MaiP1+13)=5),MaiP1+13,""))</f>
        <v>43596</v>
      </c>
      <c r="I36" s="44">
        <f ca="1">IF(DAY(MaiP1)=1,IF(AND(YEAR(MaiP1+7)=Kalendriaasta,MONTH(MaiP1+7)=5),MaiP1+7,""),IF(AND(YEAR(MaiP1+14)=Kalendriaasta,MONTH(MaiP1+14)=5),MaiP1+14,""))</f>
        <v>43597</v>
      </c>
      <c r="J36" s="36"/>
      <c r="K36" s="35"/>
      <c r="L36" s="44">
        <f ca="1">IF(DAY(JuuniP1)=1,IF(AND(YEAR(JuuniP1+1)=Kalendriaasta,MONTH(JuuniP1+1)=6),JuuniP1+1,""),IF(AND(YEAR(JuuniP1+8)=Kalendriaasta,MONTH(JuuniP1+8)=6),JuuniP1+8,""))</f>
        <v>43619</v>
      </c>
      <c r="M36" s="44">
        <f ca="1">IF(DAY(JuuniP1)=1,IF(AND(YEAR(JuuniP1+2)=Kalendriaasta,MONTH(JuuniP1+2)=6),JuuniP1+2,""),IF(AND(YEAR(JuuniP1+9)=Kalendriaasta,MONTH(JuuniP1+9)=6),JuuniP1+9,""))</f>
        <v>43620</v>
      </c>
      <c r="N36" s="44">
        <f ca="1">IF(DAY(JuuniP1)=1,IF(AND(YEAR(JuuniP1+3)=Kalendriaasta,MONTH(JuuniP1+3)=6),JuuniP1+3,""),IF(AND(YEAR(JuuniP1+10)=Kalendriaasta,MONTH(JuuniP1+10)=6),JuuniP1+10,""))</f>
        <v>43621</v>
      </c>
      <c r="O36" s="44">
        <f ca="1">IF(DAY(JuuniP1)=1,IF(AND(YEAR(JuuniP1+4)=Kalendriaasta,MONTH(JuuniP1+4)=6),JuuniP1+4,""),IF(AND(YEAR(JuuniP1+11)=Kalendriaasta,MONTH(JuuniP1+11)=6),JuuniP1+11,""))</f>
        <v>43622</v>
      </c>
      <c r="P36" s="44">
        <f ca="1">IF(DAY(JuuniP1)=1,IF(AND(YEAR(JuuniP1+5)=Kalendriaasta,MONTH(JuuniP1+5)=6),JuuniP1+5,""),IF(AND(YEAR(JuuniP1+12)=Kalendriaasta,MONTH(JuuniP1+12)=6),JuuniP1+12,""))</f>
        <v>43623</v>
      </c>
      <c r="Q36" s="44">
        <f ca="1">IF(DAY(JuuniP1)=1,IF(AND(YEAR(JuuniP1+6)=Kalendriaasta,MONTH(JuuniP1+6)=6),JuuniP1+6,""),IF(AND(YEAR(JuuniP1+13)=Kalendriaasta,MONTH(JuuniP1+13)=6),JuuniP1+13,""))</f>
        <v>43624</v>
      </c>
      <c r="R36" s="44">
        <f ca="1">IF(DAY(JuuniP1)=1,IF(AND(YEAR(JuuniP1+7)=Kalendriaasta,MONTH(JuuniP1+7)=6),JuuniP1+7,""),IF(AND(YEAR(JuuniP1+14)=Kalendriaasta,MONTH(JuuniP1+14)=6),JuuniP1+14,""))</f>
        <v>43625</v>
      </c>
      <c r="S36" s="36"/>
      <c r="T36" s="40"/>
      <c r="U36" s="44">
        <f ca="1">IF(DAY(JuuliP1)=1,IF(AND(YEAR(JuuliP1+1)=Kalendriaasta,MONTH(JuuliP1+1)=7),JuuliP1+1,""),IF(AND(YEAR(JuuliP1+8)=Kalendriaasta,MONTH(JuuliP1+8)=7),JuuliP1+8,""))</f>
        <v>43654</v>
      </c>
      <c r="V36" s="44">
        <f ca="1">IF(DAY(JuuliP1)=1,IF(AND(YEAR(JuuliP1+2)=Kalendriaasta,MONTH(JuuliP1+2)=7),JuuliP1+2,""),IF(AND(YEAR(JuuliP1+9)=Kalendriaasta,MONTH(JuuliP1+9)=7),JuuliP1+9,""))</f>
        <v>43655</v>
      </c>
      <c r="W36" s="44">
        <f ca="1">IF(DAY(JuuliP1)=1,IF(AND(YEAR(JuuliP1+3)=Kalendriaasta,MONTH(JuuliP1+3)=7),JuuliP1+3,""),IF(AND(YEAR(JuuliP1+10)=Kalendriaasta,MONTH(JuuliP1+10)=7),JuuliP1+10,""))</f>
        <v>43656</v>
      </c>
      <c r="X36" s="44">
        <f ca="1">IF(DAY(JuuliP1)=1,IF(AND(YEAR(JuuliP1+4)=Kalendriaasta,MONTH(JuuliP1+4)=7),JuuliP1+4,""),IF(AND(YEAR(JuuliP1+11)=Kalendriaasta,MONTH(JuuliP1+11)=7),JuuliP1+11,""))</f>
        <v>43657</v>
      </c>
      <c r="Y36" s="44">
        <f ca="1">IF(DAY(JuuliP1)=1,IF(AND(YEAR(JuuliP1+5)=Kalendriaasta,MONTH(JuuliP1+5)=7),JuuliP1+5,""),IF(AND(YEAR(JuuliP1+12)=Kalendriaasta,MONTH(JuuliP1+12)=7),JuuliP1+12,""))</f>
        <v>43658</v>
      </c>
      <c r="Z36" s="44">
        <f ca="1">IF(DAY(JuuliP1)=1,IF(AND(YEAR(JuuliP1+6)=Kalendriaasta,MONTH(JuuliP1+6)=7),JuuliP1+6,""),IF(AND(YEAR(JuuliP1+13)=Kalendriaasta,MONTH(JuuliP1+13)=7),JuuliP1+13,""))</f>
        <v>43659</v>
      </c>
      <c r="AA36" s="44">
        <f ca="1">IF(DAY(JuuliP1)=1,IF(AND(YEAR(JuuliP1+7)=Kalendriaasta,MONTH(JuuliP1+7)=7),JuuliP1+7,""),IF(AND(YEAR(JuuliP1+14)=Kalendriaasta,MONTH(JuuliP1+14)=7),JuuliP1+14,""))</f>
        <v>43660</v>
      </c>
      <c r="AB36" s="36"/>
      <c r="AC36" s="39"/>
      <c r="AD36" s="44">
        <f ca="1">IF(DAY(AugP1)=1,IF(AND(YEAR(AugP1+1)=Kalendriaasta,MONTH(AugP1+1)=8),AugP1+1,""),IF(AND(YEAR(AugP1+8)=Kalendriaasta,MONTH(AugP1+8)=8),AugP1+8,""))</f>
        <v>43682</v>
      </c>
      <c r="AE36" s="44">
        <f ca="1">IF(DAY(AugP1)=1,IF(AND(YEAR(AugP1+2)=Kalendriaasta,MONTH(AugP1+2)=8),AugP1+2,""),IF(AND(YEAR(AugP1+9)=Kalendriaasta,MONTH(AugP1+9)=8),AugP1+9,""))</f>
        <v>43683</v>
      </c>
      <c r="AF36" s="44">
        <f ca="1">IF(DAY(AugP1)=1,IF(AND(YEAR(AugP1+3)=Kalendriaasta,MONTH(AugP1+3)=8),AugP1+3,""),IF(AND(YEAR(AugP1+10)=Kalendriaasta,MONTH(AugP1+10)=8),AugP1+10,""))</f>
        <v>43684</v>
      </c>
      <c r="AG36" s="44">
        <f ca="1">IF(DAY(AugP1)=1,IF(AND(YEAR(AugP1+4)=Kalendriaasta,MONTH(AugP1+4)=8),AugP1+4,""),IF(AND(YEAR(AugP1+11)=Kalendriaasta,MONTH(AugP1+11)=8),AugP1+11,""))</f>
        <v>43685</v>
      </c>
      <c r="AH36" s="44">
        <f ca="1">IF(DAY(AugP1)=1,IF(AND(YEAR(AugP1+5)=Kalendriaasta,MONTH(AugP1+5)=8),AugP1+5,""),IF(AND(YEAR(AugP1+12)=Kalendriaasta,MONTH(AugP1+12)=8),AugP1+12,""))</f>
        <v>43686</v>
      </c>
      <c r="AI36" s="44">
        <f ca="1">IF(DAY(AugP1)=1,IF(AND(YEAR(AugP1+6)=Kalendriaasta,MONTH(AugP1+6)=8),AugP1+6,""),IF(AND(YEAR(AugP1+13)=Kalendriaasta,MONTH(AugP1+13)=8),AugP1+13,""))</f>
        <v>43687</v>
      </c>
      <c r="AJ36" s="44">
        <f ca="1">IF(DAY(AugP1)=1,IF(AND(YEAR(AugP1+7)=Kalendriaasta,MONTH(AugP1+7)=8),AugP1+7,""),IF(AND(YEAR(AugP1+14)=Kalendriaasta,MONTH(AugP1+14)=8),AugP1+14,""))</f>
        <v>43688</v>
      </c>
    </row>
    <row r="37" spans="1:36" x14ac:dyDescent="0.2">
      <c r="C37" s="44">
        <f ca="1">IF(DAY(MaiP1)=1,IF(AND(YEAR(MaiP1+8)=Kalendriaasta,MONTH(MaiP1+8)=5),MaiP1+8,""),IF(AND(YEAR(MaiP1+15)=Kalendriaasta,MONTH(MaiP1+15)=5),MaiP1+15,""))</f>
        <v>43598</v>
      </c>
      <c r="D37" s="44">
        <f ca="1">IF(DAY(MaiP1)=1,IF(AND(YEAR(MaiP1+9)=Kalendriaasta,MONTH(MaiP1+9)=5),MaiP1+9,""),IF(AND(YEAR(MaiP1+16)=Kalendriaasta,MONTH(MaiP1+16)=5),MaiP1+16,""))</f>
        <v>43599</v>
      </c>
      <c r="E37" s="44">
        <f ca="1">IF(DAY(MaiP1)=1,IF(AND(YEAR(MaiP1+10)=Kalendriaasta,MONTH(MaiP1+10)=5),MaiP1+10,""),IF(AND(YEAR(MaiP1+17)=Kalendriaasta,MONTH(MaiP1+17)=5),MaiP1+17,""))</f>
        <v>43600</v>
      </c>
      <c r="F37" s="44">
        <f ca="1">IF(DAY(MaiP1)=1,IF(AND(YEAR(MaiP1+11)=Kalendriaasta,MONTH(MaiP1+11)=5),MaiP1+11,""),IF(AND(YEAR(MaiP1+18)=Kalendriaasta,MONTH(MaiP1+18)=5),MaiP1+18,""))</f>
        <v>43601</v>
      </c>
      <c r="G37" s="44">
        <f ca="1">IF(DAY(MaiP1)=1,IF(AND(YEAR(MaiP1+12)=Kalendriaasta,MONTH(MaiP1+12)=5),MaiP1+12,""),IF(AND(YEAR(MaiP1+19)=Kalendriaasta,MONTH(MaiP1+19)=5),MaiP1+19,""))</f>
        <v>43602</v>
      </c>
      <c r="H37" s="44">
        <f ca="1">IF(DAY(MaiP1)=1,IF(AND(YEAR(MaiP1+13)=Kalendriaasta,MONTH(MaiP1+13)=5),MaiP1+13,""),IF(AND(YEAR(MaiP1+20)=Kalendriaasta,MONTH(MaiP1+20)=5),MaiP1+20,""))</f>
        <v>43603</v>
      </c>
      <c r="I37" s="44">
        <f ca="1">IF(DAY(MaiP1)=1,IF(AND(YEAR(MaiP1+14)=Kalendriaasta,MONTH(MaiP1+14)=5),MaiP1+14,""),IF(AND(YEAR(MaiP1+21)=Kalendriaasta,MONTH(MaiP1+21)=5),MaiP1+21,""))</f>
        <v>43604</v>
      </c>
      <c r="J37" s="36"/>
      <c r="K37" s="35"/>
      <c r="L37" s="44">
        <f ca="1">IF(DAY(JuuniP1)=1,IF(AND(YEAR(JuuniP1+8)=Kalendriaasta,MONTH(JuuniP1+8)=6),JuuniP1+8,""),IF(AND(YEAR(JuuniP1+15)=Kalendriaasta,MONTH(JuuniP1+15)=6),JuuniP1+15,""))</f>
        <v>43626</v>
      </c>
      <c r="M37" s="44">
        <f ca="1">IF(DAY(JuuniP1)=1,IF(AND(YEAR(JuuniP1+9)=Kalendriaasta,MONTH(JuuniP1+9)=6),JuuniP1+9,""),IF(AND(YEAR(JuuniP1+16)=Kalendriaasta,MONTH(JuuniP1+16)=6),JuuniP1+16,""))</f>
        <v>43627</v>
      </c>
      <c r="N37" s="44">
        <f ca="1">IF(DAY(JuuniP1)=1,IF(AND(YEAR(JuuniP1+10)=Kalendriaasta,MONTH(JuuniP1+10)=6),JuuniP1+10,""),IF(AND(YEAR(JuuniP1+17)=Kalendriaasta,MONTH(JuuniP1+17)=6),JuuniP1+17,""))</f>
        <v>43628</v>
      </c>
      <c r="O37" s="44">
        <f ca="1">IF(DAY(JuuniP1)=1,IF(AND(YEAR(JuuniP1+11)=Kalendriaasta,MONTH(JuuniP1+11)=6),JuuniP1+11,""),IF(AND(YEAR(JuuniP1+18)=Kalendriaasta,MONTH(JuuniP1+18)=6),JuuniP1+18,""))</f>
        <v>43629</v>
      </c>
      <c r="P37" s="44">
        <f ca="1">IF(DAY(JuuniP1)=1,IF(AND(YEAR(JuuniP1+12)=Kalendriaasta,MONTH(JuuniP1+12)=6),JuuniP1+12,""),IF(AND(YEAR(JuuniP1+19)=Kalendriaasta,MONTH(JuuniP1+19)=6),JuuniP1+19,""))</f>
        <v>43630</v>
      </c>
      <c r="Q37" s="44">
        <f ca="1">IF(DAY(JuuniP1)=1,IF(AND(YEAR(JuuniP1+13)=Kalendriaasta,MONTH(JuuniP1+13)=6),JuuniP1+13,""),IF(AND(YEAR(JuuniP1+20)=Kalendriaasta,MONTH(JuuniP1+20)=6),JuuniP1+20,""))</f>
        <v>43631</v>
      </c>
      <c r="R37" s="44">
        <f ca="1">IF(DAY(JuuniP1)=1,IF(AND(YEAR(JuuniP1+14)=Kalendriaasta,MONTH(JuuniP1+14)=6),JuuniP1+14,""),IF(AND(YEAR(JuuniP1+21)=Kalendriaasta,MONTH(JuuniP1+21)=6),JuuniP1+21,""))</f>
        <v>43632</v>
      </c>
      <c r="S37" s="36"/>
      <c r="T37" s="40"/>
      <c r="U37" s="44">
        <f ca="1">IF(DAY(JuuliP1)=1,IF(AND(YEAR(JuuliP1+8)=Kalendriaasta,MONTH(JuuliP1+8)=7),JuuliP1+8,""),IF(AND(YEAR(JuuliP1+15)=Kalendriaasta,MONTH(JuuliP1+15)=7),JuuliP1+15,""))</f>
        <v>43661</v>
      </c>
      <c r="V37" s="44">
        <f ca="1">IF(DAY(JuuliP1)=1,IF(AND(YEAR(JuuliP1+9)=Kalendriaasta,MONTH(JuuliP1+9)=7),JuuliP1+9,""),IF(AND(YEAR(JuuliP1+16)=Kalendriaasta,MONTH(JuuliP1+16)=7),JuuliP1+16,""))</f>
        <v>43662</v>
      </c>
      <c r="W37" s="44">
        <f ca="1">IF(DAY(JuuliP1)=1,IF(AND(YEAR(JuuliP1+10)=Kalendriaasta,MONTH(JuuliP1+10)=7),JuuliP1+10,""),IF(AND(YEAR(JuuliP1+17)=Kalendriaasta,MONTH(JuuliP1+17)=7),JuuliP1+17,""))</f>
        <v>43663</v>
      </c>
      <c r="X37" s="44">
        <f ca="1">IF(DAY(JuuliP1)=1,IF(AND(YEAR(JuuliP1+11)=Kalendriaasta,MONTH(JuuliP1+11)=7),JuuliP1+11,""),IF(AND(YEAR(JuuliP1+18)=Kalendriaasta,MONTH(JuuliP1+18)=7),JuuliP1+18,""))</f>
        <v>43664</v>
      </c>
      <c r="Y37" s="44">
        <f ca="1">IF(DAY(JuuliP1)=1,IF(AND(YEAR(JuuliP1+12)=Kalendriaasta,MONTH(JuuliP1+12)=7),JuuliP1+12,""),IF(AND(YEAR(JuuliP1+19)=Kalendriaasta,MONTH(JuuliP1+19)=7),JuuliP1+19,""))</f>
        <v>43665</v>
      </c>
      <c r="Z37" s="44">
        <f ca="1">IF(DAY(JuuliP1)=1,IF(AND(YEAR(JuuliP1+13)=Kalendriaasta,MONTH(JuuliP1+13)=7),JuuliP1+13,""),IF(AND(YEAR(JuuliP1+20)=Kalendriaasta,MONTH(JuuliP1+20)=7),JuuliP1+20,""))</f>
        <v>43666</v>
      </c>
      <c r="AA37" s="44">
        <f ca="1">IF(DAY(JuuliP1)=1,IF(AND(YEAR(JuuliP1+14)=Kalendriaasta,MONTH(JuuliP1+14)=7),JuuliP1+14,""),IF(AND(YEAR(JuuliP1+21)=Kalendriaasta,MONTH(JuuliP1+21)=7),JuuliP1+21,""))</f>
        <v>43667</v>
      </c>
      <c r="AB37" s="36"/>
      <c r="AC37" s="39"/>
      <c r="AD37" s="44">
        <f ca="1">IF(DAY(AugP1)=1,IF(AND(YEAR(AugP1+8)=Kalendriaasta,MONTH(AugP1+8)=8),AugP1+8,""),IF(AND(YEAR(AugP1+15)=Kalendriaasta,MONTH(AugP1+15)=8),AugP1+15,""))</f>
        <v>43689</v>
      </c>
      <c r="AE37" s="44">
        <f ca="1">IF(DAY(AugP1)=1,IF(AND(YEAR(AugP1+9)=Kalendriaasta,MONTH(AugP1+9)=8),AugP1+9,""),IF(AND(YEAR(AugP1+16)=Kalendriaasta,MONTH(AugP1+16)=8),AugP1+16,""))</f>
        <v>43690</v>
      </c>
      <c r="AF37" s="44">
        <f ca="1">IF(DAY(AugP1)=1,IF(AND(YEAR(AugP1+10)=Kalendriaasta,MONTH(AugP1+10)=8),AugP1+10,""),IF(AND(YEAR(AugP1+17)=Kalendriaasta,MONTH(AugP1+17)=8),AugP1+17,""))</f>
        <v>43691</v>
      </c>
      <c r="AG37" s="44">
        <f ca="1">IF(DAY(AugP1)=1,IF(AND(YEAR(AugP1+11)=Kalendriaasta,MONTH(AugP1+11)=8),AugP1+11,""),IF(AND(YEAR(AugP1+18)=Kalendriaasta,MONTH(AugP1+18)=8),AugP1+18,""))</f>
        <v>43692</v>
      </c>
      <c r="AH37" s="44">
        <f ca="1">IF(DAY(AugP1)=1,IF(AND(YEAR(AugP1+12)=Kalendriaasta,MONTH(AugP1+12)=8),AugP1+12,""),IF(AND(YEAR(AugP1+19)=Kalendriaasta,MONTH(AugP1+19)=8),AugP1+19,""))</f>
        <v>43693</v>
      </c>
      <c r="AI37" s="44">
        <f ca="1">IF(DAY(AugP1)=1,IF(AND(YEAR(AugP1+13)=Kalendriaasta,MONTH(AugP1+13)=8),AugP1+13,""),IF(AND(YEAR(AugP1+20)=Kalendriaasta,MONTH(AugP1+20)=8),AugP1+20,""))</f>
        <v>43694</v>
      </c>
      <c r="AJ37" s="44">
        <f ca="1">IF(DAY(AugP1)=1,IF(AND(YEAR(AugP1+14)=Kalendriaasta,MONTH(AugP1+14)=8),AugP1+14,""),IF(AND(YEAR(AugP1+21)=Kalendriaasta,MONTH(AugP1+21)=8),AugP1+21,""))</f>
        <v>43695</v>
      </c>
    </row>
    <row r="38" spans="1:36" x14ac:dyDescent="0.2">
      <c r="C38" s="44">
        <f ca="1">IF(DAY(MaiP1)=1,IF(AND(YEAR(MaiP1+15)=Kalendriaasta,MONTH(MaiP1+15)=5),MaiP1+15,""),IF(AND(YEAR(MaiP1+22)=Kalendriaasta,MONTH(MaiP1+22)=5),MaiP1+22,""))</f>
        <v>43605</v>
      </c>
      <c r="D38" s="44">
        <f ca="1">IF(DAY(MaiP1)=1,IF(AND(YEAR(MaiP1+16)=Kalendriaasta,MONTH(MaiP1+16)=5),MaiP1+16,""),IF(AND(YEAR(MaiP1+23)=Kalendriaasta,MONTH(MaiP1+23)=5),MaiP1+23,""))</f>
        <v>43606</v>
      </c>
      <c r="E38" s="44">
        <f ca="1">IF(DAY(MaiP1)=1,IF(AND(YEAR(MaiP1+17)=Kalendriaasta,MONTH(MaiP1+17)=5),MaiP1+17,""),IF(AND(YEAR(MaiP1+24)=Kalendriaasta,MONTH(MaiP1+24)=5),MaiP1+24,""))</f>
        <v>43607</v>
      </c>
      <c r="F38" s="44">
        <f ca="1">IF(DAY(MaiP1)=1,IF(AND(YEAR(MaiP1+18)=Kalendriaasta,MONTH(MaiP1+18)=5),MaiP1+18,""),IF(AND(YEAR(MaiP1+25)=Kalendriaasta,MONTH(MaiP1+25)=5),MaiP1+25,""))</f>
        <v>43608</v>
      </c>
      <c r="G38" s="44">
        <f ca="1">IF(DAY(MaiP1)=1,IF(AND(YEAR(MaiP1+19)=Kalendriaasta,MONTH(MaiP1+19)=5),MaiP1+19,""),IF(AND(YEAR(MaiP1+26)=Kalendriaasta,MONTH(MaiP1+26)=5),MaiP1+26,""))</f>
        <v>43609</v>
      </c>
      <c r="H38" s="44">
        <f ca="1">IF(DAY(MaiP1)=1,IF(AND(YEAR(MaiP1+20)=Kalendriaasta,MONTH(MaiP1+20)=5),MaiP1+20,""),IF(AND(YEAR(MaiP1+27)=Kalendriaasta,MONTH(MaiP1+27)=5),MaiP1+27,""))</f>
        <v>43610</v>
      </c>
      <c r="I38" s="44">
        <f ca="1">IF(DAY(MaiP1)=1,IF(AND(YEAR(MaiP1+21)=Kalendriaasta,MONTH(MaiP1+21)=5),MaiP1+21,""),IF(AND(YEAR(MaiP1+28)=Kalendriaasta,MONTH(MaiP1+28)=5),MaiP1+28,""))</f>
        <v>43611</v>
      </c>
      <c r="J38" s="36"/>
      <c r="K38" s="35"/>
      <c r="L38" s="44">
        <f ca="1">IF(DAY(JuuniP1)=1,IF(AND(YEAR(JuuniP1+15)=Kalendriaasta,MONTH(JuuniP1+15)=6),JuuniP1+15,""),IF(AND(YEAR(JuuniP1+22)=Kalendriaasta,MONTH(JuuniP1+22)=6),JuuniP1+22,""))</f>
        <v>43633</v>
      </c>
      <c r="M38" s="44">
        <f ca="1">IF(DAY(JuuniP1)=1,IF(AND(YEAR(JuuniP1+16)=Kalendriaasta,MONTH(JuuniP1+16)=6),JuuniP1+16,""),IF(AND(YEAR(JuuniP1+23)=Kalendriaasta,MONTH(JuuniP1+23)=6),JuuniP1+23,""))</f>
        <v>43634</v>
      </c>
      <c r="N38" s="44">
        <f ca="1">IF(DAY(JuuniP1)=1,IF(AND(YEAR(JuuniP1+17)=Kalendriaasta,MONTH(JuuniP1+17)=6),JuuniP1+17,""),IF(AND(YEAR(JuuniP1+24)=Kalendriaasta,MONTH(JuuniP1+24)=6),JuuniP1+24,""))</f>
        <v>43635</v>
      </c>
      <c r="O38" s="44">
        <f ca="1">IF(DAY(JuuniP1)=1,IF(AND(YEAR(JuuniP1+18)=Kalendriaasta,MONTH(JuuniP1+18)=6),JuuniP1+18,""),IF(AND(YEAR(JuuniP1+25)=Kalendriaasta,MONTH(JuuniP1+25)=6),JuuniP1+25,""))</f>
        <v>43636</v>
      </c>
      <c r="P38" s="44">
        <f ca="1">IF(DAY(JuuniP1)=1,IF(AND(YEAR(JuuniP1+19)=Kalendriaasta,MONTH(JuuniP1+19)=6),JuuniP1+19,""),IF(AND(YEAR(JuuniP1+26)=Kalendriaasta,MONTH(JuuniP1+26)=6),JuuniP1+26,""))</f>
        <v>43637</v>
      </c>
      <c r="Q38" s="44">
        <f ca="1">IF(DAY(JuuniP1)=1,IF(AND(YEAR(JuuniP1+20)=Kalendriaasta,MONTH(JuuniP1+20)=6),JuuniP1+20,""),IF(AND(YEAR(JuuniP1+27)=Kalendriaasta,MONTH(JuuniP1+27)=6),JuuniP1+27,""))</f>
        <v>43638</v>
      </c>
      <c r="R38" s="44">
        <f ca="1">IF(DAY(JuuniP1)=1,IF(AND(YEAR(JuuniP1+21)=Kalendriaasta,MONTH(JuuniP1+21)=6),JuuniP1+21,""),IF(AND(YEAR(JuuniP1+28)=Kalendriaasta,MONTH(JuuniP1+28)=6),JuuniP1+28,""))</f>
        <v>43639</v>
      </c>
      <c r="S38" s="36"/>
      <c r="T38" s="40"/>
      <c r="U38" s="44">
        <f ca="1">IF(DAY(JuuliP1)=1,IF(AND(YEAR(JuuliP1+15)=Kalendriaasta,MONTH(JuuliP1+15)=7),JuuliP1+15,""),IF(AND(YEAR(JuuliP1+22)=Kalendriaasta,MONTH(JuuliP1+22)=7),JuuliP1+22,""))</f>
        <v>43668</v>
      </c>
      <c r="V38" s="44">
        <f ca="1">IF(DAY(JuuliP1)=1,IF(AND(YEAR(JuuliP1+16)=Kalendriaasta,MONTH(JuuliP1+16)=7),JuuliP1+16,""),IF(AND(YEAR(JuuliP1+23)=Kalendriaasta,MONTH(JuuliP1+23)=7),JuuliP1+23,""))</f>
        <v>43669</v>
      </c>
      <c r="W38" s="44">
        <f ca="1">IF(DAY(JuuliP1)=1,IF(AND(YEAR(JuuliP1+17)=Kalendriaasta,MONTH(JuuliP1+17)=7),JuuliP1+17,""),IF(AND(YEAR(JuuliP1+24)=Kalendriaasta,MONTH(JuuliP1+24)=7),JuuliP1+24,""))</f>
        <v>43670</v>
      </c>
      <c r="X38" s="44">
        <f ca="1">IF(DAY(JuuliP1)=1,IF(AND(YEAR(JuuliP1+18)=Kalendriaasta,MONTH(JuuliP1+18)=7),JuuliP1+18,""),IF(AND(YEAR(JuuliP1+25)=Kalendriaasta,MONTH(JuuliP1+25)=7),JuuliP1+25,""))</f>
        <v>43671</v>
      </c>
      <c r="Y38" s="44">
        <f ca="1">IF(DAY(JuuliP1)=1,IF(AND(YEAR(JuuliP1+19)=Kalendriaasta,MONTH(JuuliP1+19)=7),JuuliP1+19,""),IF(AND(YEAR(JuuliP1+26)=Kalendriaasta,MONTH(JuuliP1+26)=7),JuuliP1+26,""))</f>
        <v>43672</v>
      </c>
      <c r="Z38" s="44">
        <f ca="1">IF(DAY(JuuliP1)=1,IF(AND(YEAR(JuuliP1+20)=Kalendriaasta,MONTH(JuuliP1+20)=7),JuuliP1+20,""),IF(AND(YEAR(JuuliP1+27)=Kalendriaasta,MONTH(JuuliP1+27)=7),JuuliP1+27,""))</f>
        <v>43673</v>
      </c>
      <c r="AA38" s="44">
        <f ca="1">IF(DAY(JuuliP1)=1,IF(AND(YEAR(JuuliP1+21)=Kalendriaasta,MONTH(JuuliP1+21)=7),JuuliP1+21,""),IF(AND(YEAR(JuuliP1+28)=Kalendriaasta,MONTH(JuuliP1+28)=7),JuuliP1+28,""))</f>
        <v>43674</v>
      </c>
      <c r="AB38" s="36"/>
      <c r="AC38" s="39"/>
      <c r="AD38" s="44">
        <f ca="1">IF(DAY(AugP1)=1,IF(AND(YEAR(AugP1+15)=Kalendriaasta,MONTH(AugP1+15)=8),AugP1+15,""),IF(AND(YEAR(AugP1+22)=Kalendriaasta,MONTH(AugP1+22)=8),AugP1+22,""))</f>
        <v>43696</v>
      </c>
      <c r="AE38" s="44">
        <f ca="1">IF(DAY(AugP1)=1,IF(AND(YEAR(AugP1+16)=Kalendriaasta,MONTH(AugP1+16)=8),AugP1+16,""),IF(AND(YEAR(AugP1+23)=Kalendriaasta,MONTH(AugP1+23)=8),AugP1+23,""))</f>
        <v>43697</v>
      </c>
      <c r="AF38" s="44">
        <f ca="1">IF(DAY(AugP1)=1,IF(AND(YEAR(AugP1+17)=Kalendriaasta,MONTH(AugP1+17)=8),AugP1+17,""),IF(AND(YEAR(AugP1+24)=Kalendriaasta,MONTH(AugP1+24)=8),AugP1+24,""))</f>
        <v>43698</v>
      </c>
      <c r="AG38" s="44">
        <f ca="1">IF(DAY(AugP1)=1,IF(AND(YEAR(AugP1+18)=Kalendriaasta,MONTH(AugP1+18)=8),AugP1+18,""),IF(AND(YEAR(AugP1+25)=Kalendriaasta,MONTH(AugP1+25)=8),AugP1+25,""))</f>
        <v>43699</v>
      </c>
      <c r="AH38" s="44">
        <f ca="1">IF(DAY(AugP1)=1,IF(AND(YEAR(AugP1+19)=Kalendriaasta,MONTH(AugP1+19)=8),AugP1+19,""),IF(AND(YEAR(AugP1+26)=Kalendriaasta,MONTH(AugP1+26)=8),AugP1+26,""))</f>
        <v>43700</v>
      </c>
      <c r="AI38" s="44">
        <f ca="1">IF(DAY(AugP1)=1,IF(AND(YEAR(AugP1+20)=Kalendriaasta,MONTH(AugP1+20)=8),AugP1+20,""),IF(AND(YEAR(AugP1+27)=Kalendriaasta,MONTH(AugP1+27)=8),AugP1+27,""))</f>
        <v>43701</v>
      </c>
      <c r="AJ38" s="44">
        <f ca="1">IF(DAY(AugP1)=1,IF(AND(YEAR(AugP1+21)=Kalendriaasta,MONTH(AugP1+21)=8),AugP1+21,""),IF(AND(YEAR(AugP1+28)=Kalendriaasta,MONTH(AugP1+28)=8),AugP1+28,""))</f>
        <v>43702</v>
      </c>
    </row>
    <row r="39" spans="1:36" x14ac:dyDescent="0.2">
      <c r="C39" s="44">
        <f ca="1">IF(DAY(MaiP1)=1,IF(AND(YEAR(MaiP1+22)=Kalendriaasta,MONTH(MaiP1+22)=5),MaiP1+22,""),IF(AND(YEAR(MaiP1+29)=Kalendriaasta,MONTH(MaiP1+29)=5),MaiP1+29,""))</f>
        <v>43612</v>
      </c>
      <c r="D39" s="44">
        <f ca="1">IF(DAY(MaiP1)=1,IF(AND(YEAR(MaiP1+23)=Kalendriaasta,MONTH(MaiP1+23)=5),MaiP1+23,""),IF(AND(YEAR(MaiP1+30)=Kalendriaasta,MONTH(MaiP1+30)=5),MaiP1+30,""))</f>
        <v>43613</v>
      </c>
      <c r="E39" s="44">
        <f ca="1">IF(DAY(MaiP1)=1,IF(AND(YEAR(MaiP1+24)=Kalendriaasta,MONTH(MaiP1+24)=5),MaiP1+24,""),IF(AND(YEAR(MaiP1+31)=Kalendriaasta,MONTH(MaiP1+31)=5),MaiP1+31,""))</f>
        <v>43614</v>
      </c>
      <c r="F39" s="44">
        <f ca="1">IF(DAY(MaiP1)=1,IF(AND(YEAR(MaiP1+25)=Kalendriaasta,MONTH(MaiP1+25)=5),MaiP1+25,""),IF(AND(YEAR(MaiP1+32)=Kalendriaasta,MONTH(MaiP1+32)=5),MaiP1+32,""))</f>
        <v>43615</v>
      </c>
      <c r="G39" s="44">
        <f ca="1">IF(DAY(MaiP1)=1,IF(AND(YEAR(MaiP1+26)=Kalendriaasta,MONTH(MaiP1+26)=5),MaiP1+26,""),IF(AND(YEAR(MaiP1+33)=Kalendriaasta,MONTH(MaiP1+33)=5),MaiP1+33,""))</f>
        <v>43616</v>
      </c>
      <c r="H39" s="44" t="str">
        <f ca="1">IF(DAY(MaiP1)=1,IF(AND(YEAR(MaiP1+27)=Kalendriaasta,MONTH(MaiP1+27)=5),MaiP1+27,""),IF(AND(YEAR(MaiP1+34)=Kalendriaasta,MONTH(MaiP1+34)=5),MaiP1+34,""))</f>
        <v/>
      </c>
      <c r="I39" s="44" t="str">
        <f ca="1">IF(DAY(MaiP1)=1,IF(AND(YEAR(MaiP1+28)=Kalendriaasta,MONTH(MaiP1+28)=5),MaiP1+28,""),IF(AND(YEAR(MaiP1+35)=Kalendriaasta,MONTH(MaiP1+35)=5),MaiP1+35,""))</f>
        <v/>
      </c>
      <c r="J39" s="36"/>
      <c r="K39" s="35"/>
      <c r="L39" s="44">
        <f ca="1">IF(DAY(JuuniP1)=1,IF(AND(YEAR(JuuniP1+22)=Kalendriaasta,MONTH(JuuniP1+22)=6),JuuniP1+22,""),IF(AND(YEAR(JuuniP1+29)=Kalendriaasta,MONTH(JuuniP1+29)=6),JuuniP1+29,""))</f>
        <v>43640</v>
      </c>
      <c r="M39" s="44">
        <f ca="1">IF(DAY(JuuniP1)=1,IF(AND(YEAR(JuuniP1+23)=Kalendriaasta,MONTH(JuuniP1+23)=6),JuuniP1+23,""),IF(AND(YEAR(JuuniP1+30)=Kalendriaasta,MONTH(JuuniP1+30)=6),JuuniP1+30,""))</f>
        <v>43641</v>
      </c>
      <c r="N39" s="44">
        <f ca="1">IF(DAY(JuuniP1)=1,IF(AND(YEAR(JuuniP1+24)=Kalendriaasta,MONTH(JuuniP1+24)=6),JuuniP1+24,""),IF(AND(YEAR(JuuniP1+31)=Kalendriaasta,MONTH(JuuniP1+31)=6),JuuniP1+31,""))</f>
        <v>43642</v>
      </c>
      <c r="O39" s="44">
        <f ca="1">IF(DAY(JuuniP1)=1,IF(AND(YEAR(JuuniP1+25)=Kalendriaasta,MONTH(JuuniP1+25)=6),JuuniP1+25,""),IF(AND(YEAR(JuuniP1+32)=Kalendriaasta,MONTH(JuuniP1+32)=6),JuuniP1+32,""))</f>
        <v>43643</v>
      </c>
      <c r="P39" s="44">
        <f ca="1">IF(DAY(JuuniP1)=1,IF(AND(YEAR(JuuniP1+26)=Kalendriaasta,MONTH(JuuniP1+26)=6),JuuniP1+26,""),IF(AND(YEAR(JuuniP1+33)=Kalendriaasta,MONTH(JuuniP1+33)=6),JuuniP1+33,""))</f>
        <v>43644</v>
      </c>
      <c r="Q39" s="44">
        <f ca="1">IF(DAY(JuuniP1)=1,IF(AND(YEAR(JuuniP1+27)=Kalendriaasta,MONTH(JuuniP1+27)=6),JuuniP1+27,""),IF(AND(YEAR(JuuniP1+34)=Kalendriaasta,MONTH(JuuniP1+34)=6),JuuniP1+34,""))</f>
        <v>43645</v>
      </c>
      <c r="R39" s="44">
        <f ca="1">IF(DAY(JuuniP1)=1,IF(AND(YEAR(JuuniP1+28)=Kalendriaasta,MONTH(JuuniP1+28)=6),JuuniP1+28,""),IF(AND(YEAR(JuuniP1+35)=Kalendriaasta,MONTH(JuuniP1+35)=6),JuuniP1+35,""))</f>
        <v>43646</v>
      </c>
      <c r="S39" s="36"/>
      <c r="T39" s="40"/>
      <c r="U39" s="44">
        <f ca="1">IF(DAY(JuuliP1)=1,IF(AND(YEAR(JuuliP1+22)=Kalendriaasta,MONTH(JuuliP1+22)=7),JuuliP1+22,""),IF(AND(YEAR(JuuliP1+29)=Kalendriaasta,MONTH(JuuliP1+29)=7),JuuliP1+29,""))</f>
        <v>43675</v>
      </c>
      <c r="V39" s="44">
        <f ca="1">IF(DAY(JuuliP1)=1,IF(AND(YEAR(JuuliP1+23)=Kalendriaasta,MONTH(JuuliP1+23)=7),JuuliP1+23,""),IF(AND(YEAR(JuuliP1+30)=Kalendriaasta,MONTH(JuuliP1+30)=7),JuuliP1+30,""))</f>
        <v>43676</v>
      </c>
      <c r="W39" s="44">
        <f ca="1">IF(DAY(JuuliP1)=1,IF(AND(YEAR(JuuliP1+24)=Kalendriaasta,MONTH(JuuliP1+24)=7),JuuliP1+24,""),IF(AND(YEAR(JuuliP1+31)=Kalendriaasta,MONTH(JuuliP1+31)=7),JuuliP1+31,""))</f>
        <v>43677</v>
      </c>
      <c r="X39" s="44" t="str">
        <f ca="1">IF(DAY(JuuliP1)=1,IF(AND(YEAR(JuuliP1+25)=Kalendriaasta,MONTH(JuuliP1+25)=7),JuuliP1+25,""),IF(AND(YEAR(JuuliP1+32)=Kalendriaasta,MONTH(JuuliP1+32)=7),JuuliP1+32,""))</f>
        <v/>
      </c>
      <c r="Y39" s="44" t="str">
        <f ca="1">IF(DAY(JuuliP1)=1,IF(AND(YEAR(JuuliP1+26)=Kalendriaasta,MONTH(JuuliP1+26)=7),JuuliP1+26,""),IF(AND(YEAR(JuuliP1+33)=Kalendriaasta,MONTH(JuuliP1+33)=7),JuuliP1+33,""))</f>
        <v/>
      </c>
      <c r="Z39" s="44" t="str">
        <f ca="1">IF(DAY(JuuliP1)=1,IF(AND(YEAR(JuuliP1+27)=Kalendriaasta,MONTH(JuuliP1+27)=7),JuuliP1+27,""),IF(AND(YEAR(JuuliP1+34)=Kalendriaasta,MONTH(JuuliP1+34)=7),JuuliP1+34,""))</f>
        <v/>
      </c>
      <c r="AA39" s="44" t="str">
        <f ca="1">IF(DAY(JuuliP1)=1,IF(AND(YEAR(JuuliP1+28)=Kalendriaasta,MONTH(JuuliP1+28)=7),JuuliP1+28,""),IF(AND(YEAR(JuuliP1+35)=Kalendriaasta,MONTH(JuuliP1+35)=7),JuuliP1+35,""))</f>
        <v/>
      </c>
      <c r="AB39" s="36"/>
      <c r="AC39" s="39"/>
      <c r="AD39" s="44">
        <f ca="1">IF(DAY(AugP1)=1,IF(AND(YEAR(AugP1+22)=Kalendriaasta,MONTH(AugP1+22)=8),AugP1+22,""),IF(AND(YEAR(AugP1+29)=Kalendriaasta,MONTH(AugP1+29)=8),AugP1+29,""))</f>
        <v>43703</v>
      </c>
      <c r="AE39" s="44">
        <f ca="1">IF(DAY(AugP1)=1,IF(AND(YEAR(AugP1+23)=Kalendriaasta,MONTH(AugP1+23)=8),AugP1+23,""),IF(AND(YEAR(AugP1+30)=Kalendriaasta,MONTH(AugP1+30)=8),AugP1+30,""))</f>
        <v>43704</v>
      </c>
      <c r="AF39" s="44">
        <f ca="1">IF(DAY(AugP1)=1,IF(AND(YEAR(AugP1+24)=Kalendriaasta,MONTH(AugP1+24)=8),AugP1+24,""),IF(AND(YEAR(AugP1+31)=Kalendriaasta,MONTH(AugP1+31)=8),AugP1+31,""))</f>
        <v>43705</v>
      </c>
      <c r="AG39" s="44">
        <f ca="1">IF(DAY(AugP1)=1,IF(AND(YEAR(AugP1+25)=Kalendriaasta,MONTH(AugP1+25)=8),AugP1+25,""),IF(AND(YEAR(AugP1+32)=Kalendriaasta,MONTH(AugP1+32)=8),AugP1+32,""))</f>
        <v>43706</v>
      </c>
      <c r="AH39" s="44">
        <f ca="1">IF(DAY(AugP1)=1,IF(AND(YEAR(AugP1+26)=Kalendriaasta,MONTH(AugP1+26)=8),AugP1+26,""),IF(AND(YEAR(AugP1+33)=Kalendriaasta,MONTH(AugP1+33)=8),AugP1+33,""))</f>
        <v>43707</v>
      </c>
      <c r="AI39" s="44">
        <f ca="1">IF(DAY(AugP1)=1,IF(AND(YEAR(AugP1+27)=Kalendriaasta,MONTH(AugP1+27)=8),AugP1+27,""),IF(AND(YEAR(AugP1+34)=Kalendriaasta,MONTH(AugP1+34)=8),AugP1+34,""))</f>
        <v>43708</v>
      </c>
      <c r="AJ39" s="44" t="str">
        <f ca="1">IF(DAY(AugP1)=1,IF(AND(YEAR(AugP1+28)=Kalendriaasta,MONTH(AugP1+28)=8),AugP1+28,""),IF(AND(YEAR(AugP1+35)=Kalendriaasta,MONTH(AugP1+35)=8),AugP1+35,""))</f>
        <v/>
      </c>
    </row>
    <row r="40" spans="1:36" x14ac:dyDescent="0.2">
      <c r="C40" s="44" t="str">
        <f ca="1">IF(DAY(MaiP1)=1,IF(AND(YEAR(MaiP1+29)=Kalendriaasta,MONTH(MaiP1+29)=5),MaiP1+29,""),IF(AND(YEAR(MaiP1+36)=Kalendriaasta,MONTH(MaiP1+36)=5),MaiP1+36,""))</f>
        <v/>
      </c>
      <c r="D40" s="44" t="str">
        <f ca="1">IF(DAY(MaiP1)=1,IF(AND(YEAR(MaiP1+30)=Kalendriaasta,MONTH(MaiP1+30)=5),MaiP1+30,""),IF(AND(YEAR(MaiP1+37)=Kalendriaasta,MONTH(MaiP1+37)=5),MaiP1+37,""))</f>
        <v/>
      </c>
      <c r="E40" s="44" t="str">
        <f ca="1">IF(DAY(MaiP1)=1,IF(AND(YEAR(MaiP1+31)=Kalendriaasta,MONTH(MaiP1+31)=5),MaiP1+31,""),IF(AND(YEAR(MaiP1+38)=Kalendriaasta,MONTH(MaiP1+38)=5),MaiP1+38,""))</f>
        <v/>
      </c>
      <c r="F40" s="44" t="str">
        <f ca="1">IF(DAY(MaiP1)=1,IF(AND(YEAR(MaiP1+32)=Kalendriaasta,MONTH(MaiP1+32)=5),MaiP1+32,""),IF(AND(YEAR(MaiP1+39)=Kalendriaasta,MONTH(MaiP1+39)=5),MaiP1+39,""))</f>
        <v/>
      </c>
      <c r="G40" s="44" t="str">
        <f ca="1">IF(DAY(MaiP1)=1,IF(AND(YEAR(MaiP1+33)=Kalendriaasta,MONTH(MaiP1+33)=5),MaiP1+33,""),IF(AND(YEAR(MaiP1+40)=Kalendriaasta,MONTH(MaiP1+40)=5),MaiP1+40,""))</f>
        <v/>
      </c>
      <c r="H40" s="44" t="str">
        <f ca="1">IF(DAY(MaiP1)=1,IF(AND(YEAR(MaiP1+34)=Kalendriaasta,MONTH(MaiP1+34)=5),MaiP1+34,""),IF(AND(YEAR(MaiP1+41)=Kalendriaasta,MONTH(MaiP1+41)=5),MaiP1+41,""))</f>
        <v/>
      </c>
      <c r="I40" s="44" t="str">
        <f ca="1">IF(DAY(MaiP1)=1,IF(AND(YEAR(MaiP1+35)=Kalendriaasta,MONTH(MaiP1+35)=5),MaiP1+35,""),IF(AND(YEAR(MaiP1+42)=Kalendriaasta,MONTH(MaiP1+42)=5),MaiP1+42,""))</f>
        <v/>
      </c>
      <c r="J40" s="36"/>
      <c r="K40" s="35"/>
      <c r="L40" s="44" t="str">
        <f ca="1">IF(DAY(JuuniP1)=1,IF(AND(YEAR(JuuniP1+29)=Kalendriaasta,MONTH(JuuniP1+29)=6),JuuniP1+29,""),IF(AND(YEAR(JuuniP1+36)=Kalendriaasta,MONTH(JuuniP1+36)=6),JuuniP1+36,""))</f>
        <v/>
      </c>
      <c r="M40" s="44" t="str">
        <f ca="1">IF(DAY(JuuniP1)=1,IF(AND(YEAR(JuuniP1+30)=Kalendriaasta,MONTH(JuuniP1+30)=6),JuuniP1+30,""),IF(AND(YEAR(JuuniP1+37)=Kalendriaasta,MONTH(JuuniP1+37)=6),JuuniP1+37,""))</f>
        <v/>
      </c>
      <c r="N40" s="44" t="str">
        <f ca="1">IF(DAY(JuuniP1)=1,IF(AND(YEAR(JuuniP1+31)=Kalendriaasta,MONTH(JuuniP1+31)=6),JuuniP1+31,""),IF(AND(YEAR(JuuniP1+38)=Kalendriaasta,MONTH(JuuniP1+38)=6),JuuniP1+38,""))</f>
        <v/>
      </c>
      <c r="O40" s="44" t="str">
        <f ca="1">IF(DAY(JuuniP1)=1,IF(AND(YEAR(JuuniP1+32)=Kalendriaasta,MONTH(JuuniP1+32)=6),JuuniP1+32,""),IF(AND(YEAR(JuuniP1+39)=Kalendriaasta,MONTH(JuuniP1+39)=6),JuuniP1+39,""))</f>
        <v/>
      </c>
      <c r="P40" s="44" t="str">
        <f ca="1">IF(DAY(JuuniP1)=1,IF(AND(YEAR(JuuniP1+33)=Kalendriaasta,MONTH(JuuniP1+33)=6),JuuniP1+33,""),IF(AND(YEAR(JuuniP1+40)=Kalendriaasta,MONTH(JuuniP1+40)=6),JuuniP1+40,""))</f>
        <v/>
      </c>
      <c r="Q40" s="44" t="str">
        <f ca="1">IF(DAY(JuuniP1)=1,IF(AND(YEAR(JuuniP1+34)=Kalendriaasta,MONTH(JuuniP1+34)=6),JuuniP1+34,""),IF(AND(YEAR(JuuniP1+41)=Kalendriaasta,MONTH(JuuniP1+41)=6),JuuniP1+41,""))</f>
        <v/>
      </c>
      <c r="R40" s="44" t="str">
        <f ca="1">IF(DAY(JuuniP1)=1,IF(AND(YEAR(JuuniP1+35)=Kalendriaasta,MONTH(JuuniP1+35)=6),JuuniP1+35,""),IF(AND(YEAR(JuuniP1+42)=Kalendriaasta,MONTH(JuuniP1+42)=6),JuuniP1+42,""))</f>
        <v/>
      </c>
      <c r="S40" s="36"/>
      <c r="T40" s="40"/>
      <c r="U40" s="44" t="str">
        <f ca="1">IF(DAY(JuuliP1)=1,IF(AND(YEAR(JuuliP1+29)=Kalendriaasta,MONTH(JuuliP1+29)=7),JuuliP1+29,""),IF(AND(YEAR(JuuliP1+36)=Kalendriaasta,MONTH(JuuliP1+36)=7),JuuliP1+36,""))</f>
        <v/>
      </c>
      <c r="V40" s="44" t="str">
        <f ca="1">IF(DAY(JuuliP1)=1,IF(AND(YEAR(JuuliP1+30)=Kalendriaasta,MONTH(JuuliP1+30)=7),JuuliP1+30,""),IF(AND(YEAR(JuuliP1+37)=Kalendriaasta,MONTH(JuuliP1+37)=7),JuuliP1+37,""))</f>
        <v/>
      </c>
      <c r="W40" s="44" t="str">
        <f ca="1">IF(DAY(JuuliP1)=1,IF(AND(YEAR(JuuliP1+31)=Kalendriaasta,MONTH(JuuliP1+31)=7),JuuliP1+31,""),IF(AND(YEAR(JuuliP1+38)=Kalendriaasta,MONTH(JuuliP1+38)=7),JuuliP1+38,""))</f>
        <v/>
      </c>
      <c r="X40" s="44" t="str">
        <f ca="1">IF(DAY(JuuliP1)=1,IF(AND(YEAR(JuuliP1+32)=Kalendriaasta,MONTH(JuuliP1+32)=7),JuuliP1+32,""),IF(AND(YEAR(JuuliP1+39)=Kalendriaasta,MONTH(JuuliP1+39)=7),JuuliP1+39,""))</f>
        <v/>
      </c>
      <c r="Y40" s="44" t="str">
        <f ca="1">IF(DAY(JuuliP1)=1,IF(AND(YEAR(JuuliP1+33)=Kalendriaasta,MONTH(JuuliP1+33)=7),JuuliP1+33,""),IF(AND(YEAR(JuuliP1+40)=Kalendriaasta,MONTH(JuuliP1+40)=7),JuuliP1+40,""))</f>
        <v/>
      </c>
      <c r="Z40" s="44" t="str">
        <f ca="1">IF(DAY(JuuliP1)=1,IF(AND(YEAR(JuuliP1+34)=Kalendriaasta,MONTH(JuuliP1+34)=7),JuuliP1+34,""),IF(AND(YEAR(JuuliP1+41)=Kalendriaasta,MONTH(JuuliP1+41)=7),JuuliP1+41,""))</f>
        <v/>
      </c>
      <c r="AA40" s="44" t="str">
        <f ca="1">IF(DAY(JuuliP1)=1,IF(AND(YEAR(JuuliP1+35)=Kalendriaasta,MONTH(JuuliP1+35)=7),JuuliP1+35,""),IF(AND(YEAR(JuuliP1+42)=Kalendriaasta,MONTH(JuuliP1+42)=7),JuuliP1+42,""))</f>
        <v/>
      </c>
      <c r="AB40" s="36"/>
      <c r="AC40" s="39"/>
      <c r="AD40" s="44" t="str">
        <f ca="1">IF(DAY(AugP1)=1,IF(AND(YEAR(AugP1+29)=Kalendriaasta,MONTH(AugP1+29)=8),AugP1+29,""),IF(AND(YEAR(AugP1+36)=Kalendriaasta,MONTH(AugP1+36)=8),AugP1+36,""))</f>
        <v/>
      </c>
      <c r="AE40" s="44" t="str">
        <f ca="1">IF(DAY(AugP1)=1,IF(AND(YEAR(AugP1+30)=Kalendriaasta,MONTH(AugP1+30)=8),AugP1+30,""),IF(AND(YEAR(AugP1+37)=Kalendriaasta,MONTH(AugP1+37)=8),AugP1+37,""))</f>
        <v/>
      </c>
      <c r="AF40" s="44" t="str">
        <f ca="1">IF(DAY(AugP1)=1,IF(AND(YEAR(AugP1+31)=Kalendriaasta,MONTH(AugP1+31)=8),AugP1+31,""),IF(AND(YEAR(AugP1+38)=Kalendriaasta,MONTH(AugP1+38)=8),AugP1+38,""))</f>
        <v/>
      </c>
      <c r="AG40" s="44" t="str">
        <f ca="1">IF(DAY(AugP1)=1,IF(AND(YEAR(AugP1+32)=Kalendriaasta,MONTH(AugP1+32)=8),AugP1+32,""),IF(AND(YEAR(AugP1+39)=Kalendriaasta,MONTH(AugP1+39)=8),AugP1+39,""))</f>
        <v/>
      </c>
      <c r="AH40" s="44" t="str">
        <f ca="1">IF(DAY(AugP1)=1,IF(AND(YEAR(AugP1+33)=Kalendriaasta,MONTH(AugP1+33)=8),AugP1+33,""),IF(AND(YEAR(AugP1+40)=Kalendriaasta,MONTH(AugP1+40)=8),AugP1+40,""))</f>
        <v/>
      </c>
      <c r="AI40" s="44" t="str">
        <f ca="1">IF(DAY(AugP1)=1,IF(AND(YEAR(AugP1+34)=Kalendriaasta,MONTH(AugP1+34)=8),AugP1+34,""),IF(AND(YEAR(AugP1+41)=Kalendriaasta,MONTH(AugP1+41)=8),AugP1+41,""))</f>
        <v/>
      </c>
      <c r="AJ40" s="44" t="str">
        <f ca="1">IF(DAY(AugP1)=1,IF(AND(YEAR(AugP1+35)=Kalendriaasta,MONTH(AugP1+35)=8),AugP1+35,""),IF(AND(YEAR(AugP1+42)=Kalendriaasta,MONTH(AugP1+42)=8),AugP1+42,""))</f>
        <v/>
      </c>
    </row>
    <row r="41" spans="1:36" ht="15" x14ac:dyDescent="0.2">
      <c r="A41" s="26" t="s">
        <v>15</v>
      </c>
      <c r="C41" s="39"/>
      <c r="D41" s="39"/>
      <c r="E41" s="39"/>
      <c r="F41" s="39"/>
      <c r="G41" s="39"/>
      <c r="H41" s="39"/>
      <c r="I41" s="39"/>
      <c r="J41" s="38"/>
      <c r="K41" s="35"/>
      <c r="L41" s="39"/>
      <c r="M41" s="39"/>
      <c r="N41" s="39"/>
      <c r="O41" s="39"/>
      <c r="P41" s="39"/>
      <c r="Q41" s="39"/>
      <c r="R41" s="39"/>
      <c r="S41" s="38"/>
      <c r="T41" s="40"/>
      <c r="U41" s="35"/>
      <c r="V41" s="35"/>
      <c r="W41" s="35"/>
      <c r="X41" s="35"/>
      <c r="Y41" s="35"/>
      <c r="Z41" s="35"/>
      <c r="AA41" s="35"/>
      <c r="AB41" s="36"/>
      <c r="AC41" s="39"/>
      <c r="AD41" s="35"/>
      <c r="AE41" s="35"/>
      <c r="AF41" s="35"/>
      <c r="AG41" s="35"/>
      <c r="AH41" s="35"/>
      <c r="AI41" s="35"/>
      <c r="AJ41" s="35"/>
    </row>
    <row r="42" spans="1:36" ht="15.75" x14ac:dyDescent="0.25">
      <c r="A42" s="26" t="s">
        <v>16</v>
      </c>
      <c r="C42" s="54">
        <f ca="1">DATE(Kalendriaasta,9,1)</f>
        <v>43709</v>
      </c>
      <c r="D42" s="54"/>
      <c r="E42" s="54"/>
      <c r="F42" s="54"/>
      <c r="G42" s="54"/>
      <c r="H42" s="54"/>
      <c r="I42" s="54"/>
      <c r="J42" s="32"/>
      <c r="K42" s="39"/>
      <c r="L42" s="54">
        <f ca="1">DATE(Kalendriaasta,10,1)</f>
        <v>43739</v>
      </c>
      <c r="M42" s="54"/>
      <c r="N42" s="54"/>
      <c r="O42" s="54"/>
      <c r="P42" s="54"/>
      <c r="Q42" s="54"/>
      <c r="R42" s="54"/>
      <c r="S42" s="32"/>
      <c r="T42" s="40"/>
      <c r="U42" s="54">
        <f ca="1">DATE(Kalendriaasta,11,1)</f>
        <v>43770</v>
      </c>
      <c r="V42" s="54"/>
      <c r="W42" s="54"/>
      <c r="X42" s="54"/>
      <c r="Y42" s="54"/>
      <c r="Z42" s="54"/>
      <c r="AA42" s="54"/>
      <c r="AB42" s="32"/>
      <c r="AC42" s="39"/>
      <c r="AD42" s="54">
        <f ca="1">DATE(Kalendriaasta,12,1)</f>
        <v>43800</v>
      </c>
      <c r="AE42" s="54"/>
      <c r="AF42" s="54"/>
      <c r="AG42" s="54"/>
      <c r="AH42" s="54"/>
      <c r="AI42" s="54"/>
      <c r="AJ42" s="54"/>
    </row>
    <row r="43" spans="1:36" ht="15" x14ac:dyDescent="0.25">
      <c r="A43" s="26" t="s">
        <v>17</v>
      </c>
      <c r="C43" s="21" t="s">
        <v>19</v>
      </c>
      <c r="D43" s="21" t="s">
        <v>22</v>
      </c>
      <c r="E43" s="21" t="s">
        <v>23</v>
      </c>
      <c r="F43" s="21" t="s">
        <v>24</v>
      </c>
      <c r="G43" s="21" t="s">
        <v>25</v>
      </c>
      <c r="H43" s="21" t="s">
        <v>28</v>
      </c>
      <c r="I43" s="21" t="s">
        <v>29</v>
      </c>
      <c r="J43" s="34"/>
      <c r="K43" s="39"/>
      <c r="L43" s="21" t="s">
        <v>19</v>
      </c>
      <c r="M43" s="21" t="s">
        <v>22</v>
      </c>
      <c r="N43" s="21" t="s">
        <v>23</v>
      </c>
      <c r="O43" s="21" t="s">
        <v>24</v>
      </c>
      <c r="P43" s="21" t="s">
        <v>25</v>
      </c>
      <c r="Q43" s="21" t="s">
        <v>28</v>
      </c>
      <c r="R43" s="21" t="s">
        <v>29</v>
      </c>
      <c r="S43" s="34"/>
      <c r="T43" s="40"/>
      <c r="U43" s="21" t="s">
        <v>19</v>
      </c>
      <c r="V43" s="21" t="s">
        <v>22</v>
      </c>
      <c r="W43" s="21" t="s">
        <v>23</v>
      </c>
      <c r="X43" s="21" t="s">
        <v>24</v>
      </c>
      <c r="Y43" s="21" t="s">
        <v>25</v>
      </c>
      <c r="Z43" s="21" t="s">
        <v>28</v>
      </c>
      <c r="AA43" s="21" t="s">
        <v>29</v>
      </c>
      <c r="AB43" s="34"/>
      <c r="AC43" s="42"/>
      <c r="AD43" s="21" t="s">
        <v>19</v>
      </c>
      <c r="AE43" s="21" t="s">
        <v>22</v>
      </c>
      <c r="AF43" s="21" t="s">
        <v>23</v>
      </c>
      <c r="AG43" s="21" t="s">
        <v>24</v>
      </c>
      <c r="AH43" s="21" t="s">
        <v>25</v>
      </c>
      <c r="AI43" s="21" t="s">
        <v>28</v>
      </c>
      <c r="AJ43" s="21" t="s">
        <v>29</v>
      </c>
    </row>
    <row r="44" spans="1:36" ht="15" x14ac:dyDescent="0.2">
      <c r="A44" s="26" t="s">
        <v>18</v>
      </c>
      <c r="C44" s="44" t="str">
        <f ca="1">IF(DAY(SeptP1)=1,"",IF(AND(YEAR(SeptP1+1)=Kalendriaasta,MONTH(SeptP1+1)=9),SeptP1+1,""))</f>
        <v/>
      </c>
      <c r="D44" s="44" t="str">
        <f ca="1">IF(DAY(SeptP1)=1,"",IF(AND(YEAR(SeptP1+2)=Kalendriaasta,MONTH(SeptP1+2)=9),SeptP1+2,""))</f>
        <v/>
      </c>
      <c r="E44" s="44" t="str">
        <f ca="1">IF(DAY(SeptP1)=1,"",IF(AND(YEAR(SeptP1+3)=Kalendriaasta,MONTH(SeptP1+3)=9),SeptP1+3,""))</f>
        <v/>
      </c>
      <c r="F44" s="44" t="str">
        <f ca="1">IF(DAY(SeptP1)=1,"",IF(AND(YEAR(SeptP1+4)=Kalendriaasta,MONTH(SeptP1+4)=9),SeptP1+4,""))</f>
        <v/>
      </c>
      <c r="G44" s="44" t="str">
        <f ca="1">IF(DAY(SeptP1)=1,"",IF(AND(YEAR(SeptP1+5)=Kalendriaasta,MONTH(SeptP1+5)=9),SeptP1+5,""))</f>
        <v/>
      </c>
      <c r="H44" s="44" t="str">
        <f ca="1">IF(DAY(SeptP1)=1,"",IF(AND(YEAR(SeptP1+6)=Kalendriaasta,MONTH(SeptP1+6)=9),SeptP1+6,""))</f>
        <v/>
      </c>
      <c r="I44" s="44">
        <f ca="1">IF(DAY(SeptP1)=1,IF(AND(YEAR(SeptP1)=Kalendriaasta,MONTH(SeptP1)=9),SeptP1,""),IF(AND(YEAR(SeptP1+7)=Kalendriaasta,MONTH(SeptP1+7)=9),SeptP1+7,""))</f>
        <v>43709</v>
      </c>
      <c r="J44" s="36"/>
      <c r="K44" s="39"/>
      <c r="L44" s="44" t="str">
        <f ca="1">IF(DAY(OktP1)=1,"",IF(AND(YEAR(OktP1+1)=Kalendriaasta,MONTH(OktP1+1)=10),OktP1+1,""))</f>
        <v/>
      </c>
      <c r="M44" s="44">
        <f ca="1">IF(DAY(OktP1)=1,"",IF(AND(YEAR(OktP1+2)=Kalendriaasta,MONTH(OktP1+2)=10),OktP1+2,""))</f>
        <v>43739</v>
      </c>
      <c r="N44" s="44">
        <f ca="1">IF(DAY(OktP1)=1,"",IF(AND(YEAR(OktP1+3)=Kalendriaasta,MONTH(OktP1+3)=10),OktP1+3,""))</f>
        <v>43740</v>
      </c>
      <c r="O44" s="44">
        <f ca="1">IF(DAY(OktP1)=1,"",IF(AND(YEAR(OktP1+4)=Kalendriaasta,MONTH(OktP1+4)=10),OktP1+4,""))</f>
        <v>43741</v>
      </c>
      <c r="P44" s="44">
        <f ca="1">IF(DAY(OktP1)=1,"",IF(AND(YEAR(OktP1+5)=Kalendriaasta,MONTH(OktP1+5)=10),OktP1+5,""))</f>
        <v>43742</v>
      </c>
      <c r="Q44" s="44">
        <f ca="1">IF(DAY(OktP1)=1,"",IF(AND(YEAR(OktP1+6)=Kalendriaasta,MONTH(OktP1+6)=10),OktP1+6,""))</f>
        <v>43743</v>
      </c>
      <c r="R44" s="44">
        <f ca="1">IF(DAY(OktP1)=1,IF(AND(YEAR(OktP1)=Kalendriaasta,MONTH(OktP1)=10),OktP1,""),IF(AND(YEAR(OktP1+7)=Kalendriaasta,MONTH(OktP1+7)=10),OktP1+7,""))</f>
        <v>43744</v>
      </c>
      <c r="S44" s="36"/>
      <c r="T44" s="40"/>
      <c r="U44" s="44" t="str">
        <f ca="1">IF(DAY(NovP1)=1,"",IF(AND(YEAR(NovP1+1)=Kalendriaasta,MONTH(NovP1+1)=11),NovP1+1,""))</f>
        <v/>
      </c>
      <c r="V44" s="44" t="str">
        <f ca="1">IF(DAY(NovP1)=1,"",IF(AND(YEAR(NovP1+2)=Kalendriaasta,MONTH(NovP1+2)=11),NovP1+2,""))</f>
        <v/>
      </c>
      <c r="W44" s="44" t="str">
        <f ca="1">IF(DAY(NovP1)=1,"",IF(AND(YEAR(NovP1+3)=Kalendriaasta,MONTH(NovP1+3)=11),NovP1+3,""))</f>
        <v/>
      </c>
      <c r="X44" s="44" t="str">
        <f ca="1">IF(DAY(NovP1)=1,"",IF(AND(YEAR(NovP1+4)=Kalendriaasta,MONTH(NovP1+4)=11),NovP1+4,""))</f>
        <v/>
      </c>
      <c r="Y44" s="44">
        <f ca="1">IF(DAY(NovP1)=1,"",IF(AND(YEAR(NovP1+5)=Kalendriaasta,MONTH(NovP1+5)=11),NovP1+5,""))</f>
        <v>43770</v>
      </c>
      <c r="Z44" s="44">
        <f ca="1">IF(DAY(NovP1)=1,"",IF(AND(YEAR(NovP1+6)=Kalendriaasta,MONTH(NovP1+6)=11),NovP1+6,""))</f>
        <v>43771</v>
      </c>
      <c r="AA44" s="44">
        <f ca="1">IF(DAY(NovP1)=1,IF(AND(YEAR(NovP1)=Kalendriaasta,MONTH(NovP1)=11),NovP1,""),IF(AND(YEAR(NovP1+7)=Kalendriaasta,MONTH(NovP1+7)=11),NovP1+7,""))</f>
        <v>43772</v>
      </c>
      <c r="AB44" s="36"/>
      <c r="AC44" s="39"/>
      <c r="AD44" s="44" t="str">
        <f ca="1">IF(DAY(DetsP1)=1,"",IF(AND(YEAR(DetsP1+1)=Kalendriaasta,MONTH(DetsP1+1)=12),DetsP1+1,""))</f>
        <v/>
      </c>
      <c r="AE44" s="44" t="str">
        <f ca="1">IF(DAY(DetsP1)=1,"",IF(AND(YEAR(DetsP1+2)=Kalendriaasta,MONTH(DetsP1+2)=12),DetsP1+2,""))</f>
        <v/>
      </c>
      <c r="AF44" s="44" t="str">
        <f ca="1">IF(DAY(DetsP1)=1,"",IF(AND(YEAR(DetsP1+3)=Kalendriaasta,MONTH(DetsP1+3)=12),DetsP1+3,""))</f>
        <v/>
      </c>
      <c r="AG44" s="44" t="str">
        <f ca="1">IF(DAY(DetsP1)=1,"",IF(AND(YEAR(DetsP1+4)=Kalendriaasta,MONTH(DetsP1+4)=12),DetsP1+4,""))</f>
        <v/>
      </c>
      <c r="AH44" s="44" t="str">
        <f ca="1">IF(DAY(DetsP1)=1,"",IF(AND(YEAR(DetsP1+5)=Kalendriaasta,MONTH(DetsP1+5)=12),DetsP1+5,""))</f>
        <v/>
      </c>
      <c r="AI44" s="44" t="str">
        <f ca="1">IF(DAY(DetsP1)=1,"",IF(AND(YEAR(DetsP1+6)=Kalendriaasta,MONTH(DetsP1+6)=12),DetsP1+6,""))</f>
        <v/>
      </c>
      <c r="AJ44" s="44">
        <f ca="1">IF(DAY(DetsP1)=1,IF(AND(YEAR(DetsP1)=Kalendriaasta,MONTH(DetsP1)=12),DetsP1,""),IF(AND(YEAR(DetsP1+7)=Kalendriaasta,MONTH(DetsP1+7)=12),DetsP1+7,""))</f>
        <v>43800</v>
      </c>
    </row>
    <row r="45" spans="1:36" x14ac:dyDescent="0.2">
      <c r="C45" s="44">
        <f ca="1">IF(DAY(SeptP1)=1,IF(AND(YEAR(SeptP1+1)=Kalendriaasta,MONTH(SeptP1+1)=9),SeptP1+1,""),IF(AND(YEAR(SeptP1+8)=Kalendriaasta,MONTH(SeptP1+8)=9),SeptP1+8,""))</f>
        <v>43710</v>
      </c>
      <c r="D45" s="44">
        <f ca="1">IF(DAY(SeptP1)=1,IF(AND(YEAR(SeptP1+2)=Kalendriaasta,MONTH(SeptP1+2)=9),SeptP1+2,""),IF(AND(YEAR(SeptP1+9)=Kalendriaasta,MONTH(SeptP1+9)=9),SeptP1+9,""))</f>
        <v>43711</v>
      </c>
      <c r="E45" s="44">
        <f ca="1">IF(DAY(SeptP1)=1,IF(AND(YEAR(SeptP1+3)=Kalendriaasta,MONTH(SeptP1+3)=9),SeptP1+3,""),IF(AND(YEAR(SeptP1+10)=Kalendriaasta,MONTH(SeptP1+10)=9),SeptP1+10,""))</f>
        <v>43712</v>
      </c>
      <c r="F45" s="44">
        <f ca="1">IF(DAY(SeptP1)=1,IF(AND(YEAR(SeptP1+4)=Kalendriaasta,MONTH(SeptP1+4)=9),SeptP1+4,""),IF(AND(YEAR(SeptP1+11)=Kalendriaasta,MONTH(SeptP1+11)=9),SeptP1+11,""))</f>
        <v>43713</v>
      </c>
      <c r="G45" s="44">
        <f ca="1">IF(DAY(SeptP1)=1,IF(AND(YEAR(SeptP1+5)=Kalendriaasta,MONTH(SeptP1+5)=9),SeptP1+5,""),IF(AND(YEAR(SeptP1+12)=Kalendriaasta,MONTH(SeptP1+12)=9),SeptP1+12,""))</f>
        <v>43714</v>
      </c>
      <c r="H45" s="44">
        <f ca="1">IF(DAY(SeptP1)=1,IF(AND(YEAR(SeptP1+6)=Kalendriaasta,MONTH(SeptP1+6)=9),SeptP1+6,""),IF(AND(YEAR(SeptP1+13)=Kalendriaasta,MONTH(SeptP1+13)=9),SeptP1+13,""))</f>
        <v>43715</v>
      </c>
      <c r="I45" s="44">
        <f ca="1">IF(DAY(SeptP1)=1,IF(AND(YEAR(SeptP1+7)=Kalendriaasta,MONTH(SeptP1+7)=9),SeptP1+7,""),IF(AND(YEAR(SeptP1+14)=Kalendriaasta,MONTH(SeptP1+14)=9),SeptP1+14,""))</f>
        <v>43716</v>
      </c>
      <c r="J45" s="36"/>
      <c r="K45" s="39"/>
      <c r="L45" s="44">
        <f ca="1">IF(DAY(OktP1)=1,IF(AND(YEAR(OktP1+1)=Kalendriaasta,MONTH(OktP1+1)=10),OktP1+1,""),IF(AND(YEAR(OktP1+8)=Kalendriaasta,MONTH(OktP1+8)=10),OktP1+8,""))</f>
        <v>43745</v>
      </c>
      <c r="M45" s="44">
        <f ca="1">IF(DAY(OktP1)=1,IF(AND(YEAR(OktP1+2)=Kalendriaasta,MONTH(OktP1+2)=10),OktP1+2,""),IF(AND(YEAR(OktP1+9)=Kalendriaasta,MONTH(OktP1+9)=10),OktP1+9,""))</f>
        <v>43746</v>
      </c>
      <c r="N45" s="44">
        <f ca="1">IF(DAY(OktP1)=1,IF(AND(YEAR(OktP1+3)=Kalendriaasta,MONTH(OktP1+3)=10),OktP1+3,""),IF(AND(YEAR(OktP1+10)=Kalendriaasta,MONTH(OktP1+10)=10),OktP1+10,""))</f>
        <v>43747</v>
      </c>
      <c r="O45" s="44">
        <f ca="1">IF(DAY(OktP1)=1,IF(AND(YEAR(OktP1+4)=Kalendriaasta,MONTH(OktP1+4)=10),OktP1+4,""),IF(AND(YEAR(OktP1+11)=Kalendriaasta,MONTH(OktP1+11)=10),OktP1+11,""))</f>
        <v>43748</v>
      </c>
      <c r="P45" s="44">
        <f ca="1">IF(DAY(OktP1)=1,IF(AND(YEAR(OktP1+5)=Kalendriaasta,MONTH(OktP1+5)=10),OktP1+5,""),IF(AND(YEAR(OktP1+12)=Kalendriaasta,MONTH(OktP1+12)=10),OktP1+12,""))</f>
        <v>43749</v>
      </c>
      <c r="Q45" s="44">
        <f ca="1">IF(DAY(OktP1)=1,IF(AND(YEAR(OktP1+6)=Kalendriaasta,MONTH(OktP1+6)=10),OktP1+6,""),IF(AND(YEAR(OktP1+13)=Kalendriaasta,MONTH(OktP1+13)=10),OktP1+13,""))</f>
        <v>43750</v>
      </c>
      <c r="R45" s="44">
        <f ca="1">IF(DAY(OktP1)=1,IF(AND(YEAR(OktP1+7)=Kalendriaasta,MONTH(OktP1+7)=10),OktP1+7,""),IF(AND(YEAR(OktP1+14)=Kalendriaasta,MONTH(OktP1+14)=10),OktP1+14,""))</f>
        <v>43751</v>
      </c>
      <c r="S45" s="36"/>
      <c r="T45" s="40"/>
      <c r="U45" s="44">
        <f ca="1">IF(DAY(NovP1)=1,IF(AND(YEAR(NovP1+1)=Kalendriaasta,MONTH(NovP1+1)=11),NovP1+1,""),IF(AND(YEAR(NovP1+8)=Kalendriaasta,MONTH(NovP1+8)=11),NovP1+8,""))</f>
        <v>43773</v>
      </c>
      <c r="V45" s="44">
        <f ca="1">IF(DAY(NovP1)=1,IF(AND(YEAR(NovP1+2)=Kalendriaasta,MONTH(NovP1+2)=11),NovP1+2,""),IF(AND(YEAR(NovP1+9)=Kalendriaasta,MONTH(NovP1+9)=11),NovP1+9,""))</f>
        <v>43774</v>
      </c>
      <c r="W45" s="44">
        <f ca="1">IF(DAY(NovP1)=1,IF(AND(YEAR(NovP1+3)=Kalendriaasta,MONTH(NovP1+3)=11),NovP1+3,""),IF(AND(YEAR(NovP1+10)=Kalendriaasta,MONTH(NovP1+10)=11),NovP1+10,""))</f>
        <v>43775</v>
      </c>
      <c r="X45" s="44">
        <f ca="1">IF(DAY(NovP1)=1,IF(AND(YEAR(NovP1+4)=Kalendriaasta,MONTH(NovP1+4)=11),NovP1+4,""),IF(AND(YEAR(NovP1+11)=Kalendriaasta,MONTH(NovP1+11)=11),NovP1+11,""))</f>
        <v>43776</v>
      </c>
      <c r="Y45" s="44">
        <f ca="1">IF(DAY(NovP1)=1,IF(AND(YEAR(NovP1+5)=Kalendriaasta,MONTH(NovP1+5)=11),NovP1+5,""),IF(AND(YEAR(NovP1+12)=Kalendriaasta,MONTH(NovP1+12)=11),NovP1+12,""))</f>
        <v>43777</v>
      </c>
      <c r="Z45" s="44">
        <f ca="1">IF(DAY(NovP1)=1,IF(AND(YEAR(NovP1+6)=Kalendriaasta,MONTH(NovP1+6)=11),NovP1+6,""),IF(AND(YEAR(NovP1+13)=Kalendriaasta,MONTH(NovP1+13)=11),NovP1+13,""))</f>
        <v>43778</v>
      </c>
      <c r="AA45" s="44">
        <f ca="1">IF(DAY(NovP1)=1,IF(AND(YEAR(NovP1+7)=Kalendriaasta,MONTH(NovP1+7)=11),NovP1+7,""),IF(AND(YEAR(NovP1+14)=Kalendriaasta,MONTH(NovP1+14)=11),NovP1+14,""))</f>
        <v>43779</v>
      </c>
      <c r="AB45" s="36"/>
      <c r="AC45" s="39"/>
      <c r="AD45" s="44">
        <f ca="1">IF(DAY(DetsP1)=1,IF(AND(YEAR(DetsP1+1)=Kalendriaasta,MONTH(DetsP1+1)=12),DetsP1+1,""),IF(AND(YEAR(DetsP1+8)=Kalendriaasta,MONTH(DetsP1+8)=12),DetsP1+8,""))</f>
        <v>43801</v>
      </c>
      <c r="AE45" s="44">
        <f ca="1">IF(DAY(DetsP1)=1,IF(AND(YEAR(DetsP1+2)=Kalendriaasta,MONTH(DetsP1+2)=12),DetsP1+2,""),IF(AND(YEAR(DetsP1+9)=Kalendriaasta,MONTH(DetsP1+9)=12),DetsP1+9,""))</f>
        <v>43802</v>
      </c>
      <c r="AF45" s="44">
        <f ca="1">IF(DAY(DetsP1)=1,IF(AND(YEAR(DetsP1+3)=Kalendriaasta,MONTH(DetsP1+3)=12),DetsP1+3,""),IF(AND(YEAR(DetsP1+10)=Kalendriaasta,MONTH(DetsP1+10)=12),DetsP1+10,""))</f>
        <v>43803</v>
      </c>
      <c r="AG45" s="44">
        <f ca="1">IF(DAY(DetsP1)=1,IF(AND(YEAR(DetsP1+4)=Kalendriaasta,MONTH(DetsP1+4)=12),DetsP1+4,""),IF(AND(YEAR(DetsP1+11)=Kalendriaasta,MONTH(DetsP1+11)=12),DetsP1+11,""))</f>
        <v>43804</v>
      </c>
      <c r="AH45" s="44">
        <f ca="1">IF(DAY(DetsP1)=1,IF(AND(YEAR(DetsP1+5)=Kalendriaasta,MONTH(DetsP1+5)=12),DetsP1+5,""),IF(AND(YEAR(DetsP1+12)=Kalendriaasta,MONTH(DetsP1+12)=12),DetsP1+12,""))</f>
        <v>43805</v>
      </c>
      <c r="AI45" s="44">
        <f ca="1">IF(DAY(DetsP1)=1,IF(AND(YEAR(DetsP1+6)=Kalendriaasta,MONTH(DetsP1+6)=12),DetsP1+6,""),IF(AND(YEAR(DetsP1+13)=Kalendriaasta,MONTH(DetsP1+13)=12),DetsP1+13,""))</f>
        <v>43806</v>
      </c>
      <c r="AJ45" s="44">
        <f ca="1">IF(DAY(DetsP1)=1,IF(AND(YEAR(DetsP1+7)=Kalendriaasta,MONTH(DetsP1+7)=12),DetsP1+7,""),IF(AND(YEAR(DetsP1+14)=Kalendriaasta,MONTH(DetsP1+14)=12),DetsP1+14,""))</f>
        <v>43807</v>
      </c>
    </row>
    <row r="46" spans="1:36" x14ac:dyDescent="0.2">
      <c r="C46" s="44">
        <f ca="1">IF(DAY(SeptP1)=1,IF(AND(YEAR(SeptP1+8)=Kalendriaasta,MONTH(SeptP1+8)=9),SeptP1+8,""),IF(AND(YEAR(SeptP1+15)=Kalendriaasta,MONTH(SeptP1+15)=9),SeptP1+15,""))</f>
        <v>43717</v>
      </c>
      <c r="D46" s="44">
        <f ca="1">IF(DAY(SeptP1)=1,IF(AND(YEAR(SeptP1+9)=Kalendriaasta,MONTH(SeptP1+9)=9),SeptP1+9,""),IF(AND(YEAR(SeptP1+16)=Kalendriaasta,MONTH(SeptP1+16)=9),SeptP1+16,""))</f>
        <v>43718</v>
      </c>
      <c r="E46" s="44">
        <f ca="1">IF(DAY(SeptP1)=1,IF(AND(YEAR(SeptP1+10)=Kalendriaasta,MONTH(SeptP1+10)=9),SeptP1+10,""),IF(AND(YEAR(SeptP1+17)=Kalendriaasta,MONTH(SeptP1+17)=9),SeptP1+17,""))</f>
        <v>43719</v>
      </c>
      <c r="F46" s="44">
        <f ca="1">IF(DAY(SeptP1)=1,IF(AND(YEAR(SeptP1+11)=Kalendriaasta,MONTH(SeptP1+11)=9),SeptP1+11,""),IF(AND(YEAR(SeptP1+18)=Kalendriaasta,MONTH(SeptP1+18)=9),SeptP1+18,""))</f>
        <v>43720</v>
      </c>
      <c r="G46" s="44">
        <f ca="1">IF(DAY(SeptP1)=1,IF(AND(YEAR(SeptP1+12)=Kalendriaasta,MONTH(SeptP1+12)=9),SeptP1+12,""),IF(AND(YEAR(SeptP1+19)=Kalendriaasta,MONTH(SeptP1+19)=9),SeptP1+19,""))</f>
        <v>43721</v>
      </c>
      <c r="H46" s="44">
        <f ca="1">IF(DAY(SeptP1)=1,IF(AND(YEAR(SeptP1+13)=Kalendriaasta,MONTH(SeptP1+13)=9),SeptP1+13,""),IF(AND(YEAR(SeptP1+20)=Kalendriaasta,MONTH(SeptP1+20)=9),SeptP1+20,""))</f>
        <v>43722</v>
      </c>
      <c r="I46" s="44">
        <f ca="1">IF(DAY(SeptP1)=1,IF(AND(YEAR(SeptP1+14)=Kalendriaasta,MONTH(SeptP1+14)=9),SeptP1+14,""),IF(AND(YEAR(SeptP1+21)=Kalendriaasta,MONTH(SeptP1+21)=9),SeptP1+21,""))</f>
        <v>43723</v>
      </c>
      <c r="J46" s="36"/>
      <c r="K46" s="39"/>
      <c r="L46" s="44">
        <f ca="1">IF(DAY(OktP1)=1,IF(AND(YEAR(OktP1+8)=Kalendriaasta,MONTH(OktP1+8)=10),OktP1+8,""),IF(AND(YEAR(OktP1+15)=Kalendriaasta,MONTH(OktP1+15)=10),OktP1+15,""))</f>
        <v>43752</v>
      </c>
      <c r="M46" s="44">
        <f ca="1">IF(DAY(OktP1)=1,IF(AND(YEAR(OktP1+9)=Kalendriaasta,MONTH(OktP1+9)=10),OktP1+9,""),IF(AND(YEAR(OktP1+16)=Kalendriaasta,MONTH(OktP1+16)=10),OktP1+16,""))</f>
        <v>43753</v>
      </c>
      <c r="N46" s="44">
        <f ca="1">IF(DAY(OktP1)=1,IF(AND(YEAR(OktP1+10)=Kalendriaasta,MONTH(OktP1+10)=10),OktP1+10,""),IF(AND(YEAR(OktP1+17)=Kalendriaasta,MONTH(OktP1+17)=10),OktP1+17,""))</f>
        <v>43754</v>
      </c>
      <c r="O46" s="44">
        <f ca="1">IF(DAY(OktP1)=1,IF(AND(YEAR(OktP1+11)=Kalendriaasta,MONTH(OktP1+11)=10),OktP1+11,""),IF(AND(YEAR(OktP1+18)=Kalendriaasta,MONTH(OktP1+18)=10),OktP1+18,""))</f>
        <v>43755</v>
      </c>
      <c r="P46" s="44">
        <f ca="1">IF(DAY(OktP1)=1,IF(AND(YEAR(OktP1+12)=Kalendriaasta,MONTH(OktP1+12)=10),OktP1+12,""),IF(AND(YEAR(OktP1+19)=Kalendriaasta,MONTH(OktP1+19)=10),OktP1+19,""))</f>
        <v>43756</v>
      </c>
      <c r="Q46" s="44">
        <f ca="1">IF(DAY(OktP1)=1,IF(AND(YEAR(OktP1+13)=Kalendriaasta,MONTH(OktP1+13)=10),OktP1+13,""),IF(AND(YEAR(OktP1+20)=Kalendriaasta,MONTH(OktP1+20)=10),OktP1+20,""))</f>
        <v>43757</v>
      </c>
      <c r="R46" s="44">
        <f ca="1">IF(DAY(OktP1)=1,IF(AND(YEAR(OktP1+14)=Kalendriaasta,MONTH(OktP1+14)=10),OktP1+14,""),IF(AND(YEAR(OktP1+21)=Kalendriaasta,MONTH(OktP1+21)=10),OktP1+21,""))</f>
        <v>43758</v>
      </c>
      <c r="S46" s="36"/>
      <c r="T46" s="40"/>
      <c r="U46" s="44">
        <f ca="1">IF(DAY(NovP1)=1,IF(AND(YEAR(NovP1+8)=Kalendriaasta,MONTH(NovP1+8)=11),NovP1+8,""),IF(AND(YEAR(NovP1+15)=Kalendriaasta,MONTH(NovP1+15)=11),NovP1+15,""))</f>
        <v>43780</v>
      </c>
      <c r="V46" s="44">
        <f ca="1">IF(DAY(NovP1)=1,IF(AND(YEAR(NovP1+9)=Kalendriaasta,MONTH(NovP1+9)=11),NovP1+9,""),IF(AND(YEAR(NovP1+16)=Kalendriaasta,MONTH(NovP1+16)=11),NovP1+16,""))</f>
        <v>43781</v>
      </c>
      <c r="W46" s="44">
        <f ca="1">IF(DAY(NovP1)=1,IF(AND(YEAR(NovP1+10)=Kalendriaasta,MONTH(NovP1+10)=11),NovP1+10,""),IF(AND(YEAR(NovP1+17)=Kalendriaasta,MONTH(NovP1+17)=11),NovP1+17,""))</f>
        <v>43782</v>
      </c>
      <c r="X46" s="44">
        <f ca="1">IF(DAY(NovP1)=1,IF(AND(YEAR(NovP1+11)=Kalendriaasta,MONTH(NovP1+11)=11),NovP1+11,""),IF(AND(YEAR(NovP1+18)=Kalendriaasta,MONTH(NovP1+18)=11),NovP1+18,""))</f>
        <v>43783</v>
      </c>
      <c r="Y46" s="44">
        <f ca="1">IF(DAY(NovP1)=1,IF(AND(YEAR(NovP1+12)=Kalendriaasta,MONTH(NovP1+12)=11),NovP1+12,""),IF(AND(YEAR(NovP1+19)=Kalendriaasta,MONTH(NovP1+19)=11),NovP1+19,""))</f>
        <v>43784</v>
      </c>
      <c r="Z46" s="44">
        <f ca="1">IF(DAY(NovP1)=1,IF(AND(YEAR(NovP1+13)=Kalendriaasta,MONTH(NovP1+13)=11),NovP1+13,""),IF(AND(YEAR(NovP1+20)=Kalendriaasta,MONTH(NovP1+20)=11),NovP1+20,""))</f>
        <v>43785</v>
      </c>
      <c r="AA46" s="44">
        <f ca="1">IF(DAY(NovP1)=1,IF(AND(YEAR(NovP1+14)=Kalendriaasta,MONTH(NovP1+14)=11),NovP1+14,""),IF(AND(YEAR(NovP1+21)=Kalendriaasta,MONTH(NovP1+21)=11),NovP1+21,""))</f>
        <v>43786</v>
      </c>
      <c r="AB46" s="36"/>
      <c r="AC46" s="39"/>
      <c r="AD46" s="44">
        <f ca="1">IF(DAY(DetsP1)=1,IF(AND(YEAR(DetsP1+8)=Kalendriaasta,MONTH(DetsP1+8)=12),DetsP1+8,""),IF(AND(YEAR(DetsP1+15)=Kalendriaasta,MONTH(DetsP1+15)=12),DetsP1+15,""))</f>
        <v>43808</v>
      </c>
      <c r="AE46" s="44">
        <f ca="1">IF(DAY(DetsP1)=1,IF(AND(YEAR(DetsP1+9)=Kalendriaasta,MONTH(DetsP1+9)=12),DetsP1+9,""),IF(AND(YEAR(DetsP1+16)=Kalendriaasta,MONTH(DetsP1+16)=12),DetsP1+16,""))</f>
        <v>43809</v>
      </c>
      <c r="AF46" s="44">
        <f ca="1">IF(DAY(DetsP1)=1,IF(AND(YEAR(DetsP1+10)=Kalendriaasta,MONTH(DetsP1+10)=12),DetsP1+10,""),IF(AND(YEAR(DetsP1+17)=Kalendriaasta,MONTH(DetsP1+17)=12),DetsP1+17,""))</f>
        <v>43810</v>
      </c>
      <c r="AG46" s="44">
        <f ca="1">IF(DAY(DetsP1)=1,IF(AND(YEAR(DetsP1+11)=Kalendriaasta,MONTH(DetsP1+11)=12),DetsP1+11,""),IF(AND(YEAR(DetsP1+18)=Kalendriaasta,MONTH(DetsP1+18)=12),DetsP1+18,""))</f>
        <v>43811</v>
      </c>
      <c r="AH46" s="44">
        <f ca="1">IF(DAY(DetsP1)=1,IF(AND(YEAR(DetsP1+12)=Kalendriaasta,MONTH(DetsP1+12)=12),DetsP1+12,""),IF(AND(YEAR(DetsP1+19)=Kalendriaasta,MONTH(DetsP1+19)=12),DetsP1+19,""))</f>
        <v>43812</v>
      </c>
      <c r="AI46" s="44">
        <f ca="1">IF(DAY(DetsP1)=1,IF(AND(YEAR(DetsP1+13)=Kalendriaasta,MONTH(DetsP1+13)=12),DetsP1+13,""),IF(AND(YEAR(DetsP1+20)=Kalendriaasta,MONTH(DetsP1+20)=12),DetsP1+20,""))</f>
        <v>43813</v>
      </c>
      <c r="AJ46" s="44">
        <f ca="1">IF(DAY(DetsP1)=1,IF(AND(YEAR(DetsP1+14)=Kalendriaasta,MONTH(DetsP1+14)=12),DetsP1+14,""),IF(AND(YEAR(DetsP1+21)=Kalendriaasta,MONTH(DetsP1+21)=12),DetsP1+21,""))</f>
        <v>43814</v>
      </c>
    </row>
    <row r="47" spans="1:36" x14ac:dyDescent="0.2">
      <c r="C47" s="44">
        <f ca="1">IF(DAY(SeptP1)=1,IF(AND(YEAR(SeptP1+15)=Kalendriaasta,MONTH(SeptP1+15)=9),SeptP1+15,""),IF(AND(YEAR(SeptP1+22)=Kalendriaasta,MONTH(SeptP1+22)=9),SeptP1+22,""))</f>
        <v>43724</v>
      </c>
      <c r="D47" s="44">
        <f ca="1">IF(DAY(SeptP1)=1,IF(AND(YEAR(SeptP1+16)=Kalendriaasta,MONTH(SeptP1+16)=9),SeptP1+16,""),IF(AND(YEAR(SeptP1+23)=Kalendriaasta,MONTH(SeptP1+23)=9),SeptP1+23,""))</f>
        <v>43725</v>
      </c>
      <c r="E47" s="44">
        <f ca="1">IF(DAY(SeptP1)=1,IF(AND(YEAR(SeptP1+17)=Kalendriaasta,MONTH(SeptP1+17)=9),SeptP1+17,""),IF(AND(YEAR(SeptP1+24)=Kalendriaasta,MONTH(SeptP1+24)=9),SeptP1+24,""))</f>
        <v>43726</v>
      </c>
      <c r="F47" s="44">
        <f ca="1">IF(DAY(SeptP1)=1,IF(AND(YEAR(SeptP1+18)=Kalendriaasta,MONTH(SeptP1+18)=9),SeptP1+18,""),IF(AND(YEAR(SeptP1+25)=Kalendriaasta,MONTH(SeptP1+25)=9),SeptP1+25,""))</f>
        <v>43727</v>
      </c>
      <c r="G47" s="44">
        <f ca="1">IF(DAY(SeptP1)=1,IF(AND(YEAR(SeptP1+19)=Kalendriaasta,MONTH(SeptP1+19)=9),SeptP1+19,""),IF(AND(YEAR(SeptP1+26)=Kalendriaasta,MONTH(SeptP1+26)=9),SeptP1+26,""))</f>
        <v>43728</v>
      </c>
      <c r="H47" s="44">
        <f ca="1">IF(DAY(SeptP1)=1,IF(AND(YEAR(SeptP1+20)=Kalendriaasta,MONTH(SeptP1+20)=9),SeptP1+20,""),IF(AND(YEAR(SeptP1+27)=Kalendriaasta,MONTH(SeptP1+27)=9),SeptP1+27,""))</f>
        <v>43729</v>
      </c>
      <c r="I47" s="44">
        <f ca="1">IF(DAY(SeptP1)=1,IF(AND(YEAR(SeptP1+21)=Kalendriaasta,MONTH(SeptP1+21)=9),SeptP1+21,""),IF(AND(YEAR(SeptP1+28)=Kalendriaasta,MONTH(SeptP1+28)=9),SeptP1+28,""))</f>
        <v>43730</v>
      </c>
      <c r="J47" s="36"/>
      <c r="K47" s="39"/>
      <c r="L47" s="44">
        <f ca="1">IF(DAY(OktP1)=1,IF(AND(YEAR(OktP1+15)=Kalendriaasta,MONTH(OktP1+15)=10),OktP1+15,""),IF(AND(YEAR(OktP1+22)=Kalendriaasta,MONTH(OktP1+22)=10),OktP1+22,""))</f>
        <v>43759</v>
      </c>
      <c r="M47" s="44">
        <f ca="1">IF(DAY(OktP1)=1,IF(AND(YEAR(OktP1+16)=Kalendriaasta,MONTH(OktP1+16)=10),OktP1+16,""),IF(AND(YEAR(OktP1+23)=Kalendriaasta,MONTH(OktP1+23)=10),OktP1+23,""))</f>
        <v>43760</v>
      </c>
      <c r="N47" s="44">
        <f ca="1">IF(DAY(OktP1)=1,IF(AND(YEAR(OktP1+17)=Kalendriaasta,MONTH(OktP1+17)=10),OktP1+17,""),IF(AND(YEAR(OktP1+24)=Kalendriaasta,MONTH(OktP1+24)=10),OktP1+24,""))</f>
        <v>43761</v>
      </c>
      <c r="O47" s="44">
        <f ca="1">IF(DAY(OktP1)=1,IF(AND(YEAR(OktP1+18)=Kalendriaasta,MONTH(OktP1+18)=10),OktP1+18,""),IF(AND(YEAR(OktP1+25)=Kalendriaasta,MONTH(OktP1+25)=10),OktP1+25,""))</f>
        <v>43762</v>
      </c>
      <c r="P47" s="44">
        <f ca="1">IF(DAY(OktP1)=1,IF(AND(YEAR(OktP1+19)=Kalendriaasta,MONTH(OktP1+19)=10),OktP1+19,""),IF(AND(YEAR(OktP1+26)=Kalendriaasta,MONTH(OktP1+26)=10),OktP1+26,""))</f>
        <v>43763</v>
      </c>
      <c r="Q47" s="44">
        <f ca="1">IF(DAY(OktP1)=1,IF(AND(YEAR(OktP1+20)=Kalendriaasta,MONTH(OktP1+20)=10),OktP1+20,""),IF(AND(YEAR(OktP1+27)=Kalendriaasta,MONTH(OktP1+27)=10),OktP1+27,""))</f>
        <v>43764</v>
      </c>
      <c r="R47" s="44">
        <f ca="1">IF(DAY(OktP1)=1,IF(AND(YEAR(OktP1+21)=Kalendriaasta,MONTH(OktP1+21)=10),OktP1+21,""),IF(AND(YEAR(OktP1+28)=Kalendriaasta,MONTH(OktP1+28)=10),OktP1+28,""))</f>
        <v>43765</v>
      </c>
      <c r="S47" s="36"/>
      <c r="T47" s="40"/>
      <c r="U47" s="44">
        <f ca="1">IF(DAY(NovP1)=1,IF(AND(YEAR(NovP1+15)=Kalendriaasta,MONTH(NovP1+15)=11),NovP1+15,""),IF(AND(YEAR(NovP1+22)=Kalendriaasta,MONTH(NovP1+22)=11),NovP1+22,""))</f>
        <v>43787</v>
      </c>
      <c r="V47" s="44">
        <f ca="1">IF(DAY(NovP1)=1,IF(AND(YEAR(NovP1+16)=Kalendriaasta,MONTH(NovP1+16)=11),NovP1+16,""),IF(AND(YEAR(NovP1+23)=Kalendriaasta,MONTH(NovP1+23)=11),NovP1+23,""))</f>
        <v>43788</v>
      </c>
      <c r="W47" s="44">
        <f ca="1">IF(DAY(NovP1)=1,IF(AND(YEAR(NovP1+17)=Kalendriaasta,MONTH(NovP1+17)=11),NovP1+17,""),IF(AND(YEAR(NovP1+24)=Kalendriaasta,MONTH(NovP1+24)=11),NovP1+24,""))</f>
        <v>43789</v>
      </c>
      <c r="X47" s="44">
        <f ca="1">IF(DAY(NovP1)=1,IF(AND(YEAR(NovP1+18)=Kalendriaasta,MONTH(NovP1+18)=11),NovP1+18,""),IF(AND(YEAR(NovP1+25)=Kalendriaasta,MONTH(NovP1+25)=11),NovP1+25,""))</f>
        <v>43790</v>
      </c>
      <c r="Y47" s="44">
        <f ca="1">IF(DAY(NovP1)=1,IF(AND(YEAR(NovP1+19)=Kalendriaasta,MONTH(NovP1+19)=11),NovP1+19,""),IF(AND(YEAR(NovP1+26)=Kalendriaasta,MONTH(NovP1+26)=11),NovP1+26,""))</f>
        <v>43791</v>
      </c>
      <c r="Z47" s="44">
        <f ca="1">IF(DAY(NovP1)=1,IF(AND(YEAR(NovP1+20)=Kalendriaasta,MONTH(NovP1+20)=11),NovP1+20,""),IF(AND(YEAR(NovP1+27)=Kalendriaasta,MONTH(NovP1+27)=11),NovP1+27,""))</f>
        <v>43792</v>
      </c>
      <c r="AA47" s="44">
        <f ca="1">IF(DAY(NovP1)=1,IF(AND(YEAR(NovP1+21)=Kalendriaasta,MONTH(NovP1+21)=11),NovP1+21,""),IF(AND(YEAR(NovP1+28)=Kalendriaasta,MONTH(NovP1+28)=11),NovP1+28,""))</f>
        <v>43793</v>
      </c>
      <c r="AB47" s="36"/>
      <c r="AC47" s="39"/>
      <c r="AD47" s="44">
        <f ca="1">IF(DAY(DetsP1)=1,IF(AND(YEAR(DetsP1+15)=Kalendriaasta,MONTH(DetsP1+15)=12),DetsP1+15,""),IF(AND(YEAR(DetsP1+22)=Kalendriaasta,MONTH(DetsP1+22)=12),DetsP1+22,""))</f>
        <v>43815</v>
      </c>
      <c r="AE47" s="44">
        <f ca="1">IF(DAY(DetsP1)=1,IF(AND(YEAR(DetsP1+16)=Kalendriaasta,MONTH(DetsP1+16)=12),DetsP1+16,""),IF(AND(YEAR(DetsP1+23)=Kalendriaasta,MONTH(DetsP1+23)=12),DetsP1+23,""))</f>
        <v>43816</v>
      </c>
      <c r="AF47" s="44">
        <f ca="1">IF(DAY(DetsP1)=1,IF(AND(YEAR(DetsP1+17)=Kalendriaasta,MONTH(DetsP1+17)=12),DetsP1+17,""),IF(AND(YEAR(DetsP1+24)=Kalendriaasta,MONTH(DetsP1+24)=12),DetsP1+24,""))</f>
        <v>43817</v>
      </c>
      <c r="AG47" s="44">
        <f ca="1">IF(DAY(DetsP1)=1,IF(AND(YEAR(DetsP1+18)=Kalendriaasta,MONTH(DetsP1+18)=12),DetsP1+18,""),IF(AND(YEAR(DetsP1+25)=Kalendriaasta,MONTH(DetsP1+25)=12),DetsP1+25,""))</f>
        <v>43818</v>
      </c>
      <c r="AH47" s="44">
        <f ca="1">IF(DAY(DetsP1)=1,IF(AND(YEAR(DetsP1+19)=Kalendriaasta,MONTH(DetsP1+19)=12),DetsP1+19,""),IF(AND(YEAR(DetsP1+26)=Kalendriaasta,MONTH(DetsP1+26)=12),DetsP1+26,""))</f>
        <v>43819</v>
      </c>
      <c r="AI47" s="44">
        <f ca="1">IF(DAY(DetsP1)=1,IF(AND(YEAR(DetsP1+20)=Kalendriaasta,MONTH(DetsP1+20)=12),DetsP1+20,""),IF(AND(YEAR(DetsP1+27)=Kalendriaasta,MONTH(DetsP1+27)=12),DetsP1+27,""))</f>
        <v>43820</v>
      </c>
      <c r="AJ47" s="44">
        <f ca="1">IF(DAY(DetsP1)=1,IF(AND(YEAR(DetsP1+21)=Kalendriaasta,MONTH(DetsP1+21)=12),DetsP1+21,""),IF(AND(YEAR(DetsP1+28)=Kalendriaasta,MONTH(DetsP1+28)=12),DetsP1+28,""))</f>
        <v>43821</v>
      </c>
    </row>
    <row r="48" spans="1:36" x14ac:dyDescent="0.2">
      <c r="C48" s="44">
        <f ca="1">IF(DAY(SeptP1)=1,IF(AND(YEAR(SeptP1+22)=Kalendriaasta,MONTH(SeptP1+22)=9),SeptP1+22,""),IF(AND(YEAR(SeptP1+29)=Kalendriaasta,MONTH(SeptP1+29)=9),SeptP1+29,""))</f>
        <v>43731</v>
      </c>
      <c r="D48" s="44">
        <f ca="1">IF(DAY(SeptP1)=1,IF(AND(YEAR(SeptP1+23)=Kalendriaasta,MONTH(SeptP1+23)=9),SeptP1+23,""),IF(AND(YEAR(SeptP1+30)=Kalendriaasta,MONTH(SeptP1+30)=9),SeptP1+30,""))</f>
        <v>43732</v>
      </c>
      <c r="E48" s="44">
        <f ca="1">IF(DAY(SeptP1)=1,IF(AND(YEAR(SeptP1+24)=Kalendriaasta,MONTH(SeptP1+24)=9),SeptP1+24,""),IF(AND(YEAR(SeptP1+31)=Kalendriaasta,MONTH(SeptP1+31)=9),SeptP1+31,""))</f>
        <v>43733</v>
      </c>
      <c r="F48" s="44">
        <f ca="1">IF(DAY(SeptP1)=1,IF(AND(YEAR(SeptP1+25)=Kalendriaasta,MONTH(SeptP1+25)=9),SeptP1+25,""),IF(AND(YEAR(SeptP1+32)=Kalendriaasta,MONTH(SeptP1+32)=9),SeptP1+32,""))</f>
        <v>43734</v>
      </c>
      <c r="G48" s="44">
        <f ca="1">IF(DAY(SeptP1)=1,IF(AND(YEAR(SeptP1+26)=Kalendriaasta,MONTH(SeptP1+26)=9),SeptP1+26,""),IF(AND(YEAR(SeptP1+33)=Kalendriaasta,MONTH(SeptP1+33)=9),SeptP1+33,""))</f>
        <v>43735</v>
      </c>
      <c r="H48" s="44">
        <f ca="1">IF(DAY(SeptP1)=1,IF(AND(YEAR(SeptP1+27)=Kalendriaasta,MONTH(SeptP1+27)=9),SeptP1+27,""),IF(AND(YEAR(SeptP1+34)=Kalendriaasta,MONTH(SeptP1+34)=9),SeptP1+34,""))</f>
        <v>43736</v>
      </c>
      <c r="I48" s="44">
        <f ca="1">IF(DAY(SeptP1)=1,IF(AND(YEAR(SeptP1+28)=Kalendriaasta,MONTH(SeptP1+28)=9),SeptP1+28,""),IF(AND(YEAR(SeptP1+35)=Kalendriaasta,MONTH(SeptP1+35)=9),SeptP1+35,""))</f>
        <v>43737</v>
      </c>
      <c r="J48" s="36"/>
      <c r="K48" s="39"/>
      <c r="L48" s="44">
        <f ca="1">IF(DAY(OktP1)=1,IF(AND(YEAR(OktP1+22)=Kalendriaasta,MONTH(OktP1+22)=10),OktP1+22,""),IF(AND(YEAR(OktP1+29)=Kalendriaasta,MONTH(OktP1+29)=10),OktP1+29,""))</f>
        <v>43766</v>
      </c>
      <c r="M48" s="44">
        <f ca="1">IF(DAY(OktP1)=1,IF(AND(YEAR(OktP1+23)=Kalendriaasta,MONTH(OktP1+23)=10),OktP1+23,""),IF(AND(YEAR(OktP1+30)=Kalendriaasta,MONTH(OktP1+30)=10),OktP1+30,""))</f>
        <v>43767</v>
      </c>
      <c r="N48" s="44">
        <f ca="1">IF(DAY(OktP1)=1,IF(AND(YEAR(OktP1+24)=Kalendriaasta,MONTH(OktP1+24)=10),OktP1+24,""),IF(AND(YEAR(OktP1+31)=Kalendriaasta,MONTH(OktP1+31)=10),OktP1+31,""))</f>
        <v>43768</v>
      </c>
      <c r="O48" s="44">
        <f ca="1">IF(DAY(OktP1)=1,IF(AND(YEAR(OktP1+25)=Kalendriaasta,MONTH(OktP1+25)=10),OktP1+25,""),IF(AND(YEAR(OktP1+32)=Kalendriaasta,MONTH(OktP1+32)=10),OktP1+32,""))</f>
        <v>43769</v>
      </c>
      <c r="P48" s="44" t="str">
        <f ca="1">IF(DAY(OktP1)=1,IF(AND(YEAR(OktP1+26)=Kalendriaasta,MONTH(OktP1+26)=10),OktP1+26,""),IF(AND(YEAR(OktP1+33)=Kalendriaasta,MONTH(OktP1+33)=10),OktP1+33,""))</f>
        <v/>
      </c>
      <c r="Q48" s="44" t="str">
        <f ca="1">IF(DAY(OktP1)=1,IF(AND(YEAR(OktP1+27)=Kalendriaasta,MONTH(OktP1+27)=10),OktP1+27,""),IF(AND(YEAR(OktP1+34)=Kalendriaasta,MONTH(OktP1+34)=10),OktP1+34,""))</f>
        <v/>
      </c>
      <c r="R48" s="44" t="str">
        <f ca="1">IF(DAY(OktP1)=1,IF(AND(YEAR(OktP1+28)=Kalendriaasta,MONTH(OktP1+28)=10),OktP1+28,""),IF(AND(YEAR(OktP1+35)=Kalendriaasta,MONTH(OktP1+35)=10),OktP1+35,""))</f>
        <v/>
      </c>
      <c r="S48" s="36"/>
      <c r="T48" s="40"/>
      <c r="U48" s="44">
        <f ca="1">IF(DAY(NovP1)=1,IF(AND(YEAR(NovP1+22)=Kalendriaasta,MONTH(NovP1+22)=11),NovP1+22,""),IF(AND(YEAR(NovP1+29)=Kalendriaasta,MONTH(NovP1+29)=11),NovP1+29,""))</f>
        <v>43794</v>
      </c>
      <c r="V48" s="44">
        <f ca="1">IF(DAY(NovP1)=1,IF(AND(YEAR(NovP1+23)=Kalendriaasta,MONTH(NovP1+23)=11),NovP1+23,""),IF(AND(YEAR(NovP1+30)=Kalendriaasta,MONTH(NovP1+30)=11),NovP1+30,""))</f>
        <v>43795</v>
      </c>
      <c r="W48" s="44">
        <f ca="1">IF(DAY(NovP1)=1,IF(AND(YEAR(NovP1+24)=Kalendriaasta,MONTH(NovP1+24)=11),NovP1+24,""),IF(AND(YEAR(NovP1+31)=Kalendriaasta,MONTH(NovP1+31)=11),NovP1+31,""))</f>
        <v>43796</v>
      </c>
      <c r="X48" s="44">
        <f ca="1">IF(DAY(NovP1)=1,IF(AND(YEAR(NovP1+25)=Kalendriaasta,MONTH(NovP1+25)=11),NovP1+25,""),IF(AND(YEAR(NovP1+32)=Kalendriaasta,MONTH(NovP1+32)=11),NovP1+32,""))</f>
        <v>43797</v>
      </c>
      <c r="Y48" s="44">
        <f ca="1">IF(DAY(NovP1)=1,IF(AND(YEAR(NovP1+26)=Kalendriaasta,MONTH(NovP1+26)=11),NovP1+26,""),IF(AND(YEAR(NovP1+33)=Kalendriaasta,MONTH(NovP1+33)=11),NovP1+33,""))</f>
        <v>43798</v>
      </c>
      <c r="Z48" s="44">
        <f ca="1">IF(DAY(NovP1)=1,IF(AND(YEAR(NovP1+27)=Kalendriaasta,MONTH(NovP1+27)=11),NovP1+27,""),IF(AND(YEAR(NovP1+34)=Kalendriaasta,MONTH(NovP1+34)=11),NovP1+34,""))</f>
        <v>43799</v>
      </c>
      <c r="AA48" s="44" t="str">
        <f ca="1">IF(DAY(NovP1)=1,IF(AND(YEAR(NovP1+28)=Kalendriaasta,MONTH(NovP1+28)=11),NovP1+28,""),IF(AND(YEAR(NovP1+35)=Kalendriaasta,MONTH(NovP1+35)=11),NovP1+35,""))</f>
        <v/>
      </c>
      <c r="AB48" s="36"/>
      <c r="AC48" s="39"/>
      <c r="AD48" s="44">
        <f ca="1">IF(DAY(DetsP1)=1,IF(AND(YEAR(DetsP1+22)=Kalendriaasta,MONTH(DetsP1+22)=12),DetsP1+22,""),IF(AND(YEAR(DetsP1+29)=Kalendriaasta,MONTH(DetsP1+29)=12),DetsP1+29,""))</f>
        <v>43822</v>
      </c>
      <c r="AE48" s="44">
        <f ca="1">IF(DAY(DetsP1)=1,IF(AND(YEAR(DetsP1+23)=Kalendriaasta,MONTH(DetsP1+23)=12),DetsP1+23,""),IF(AND(YEAR(DetsP1+30)=Kalendriaasta,MONTH(DetsP1+30)=12),DetsP1+30,""))</f>
        <v>43823</v>
      </c>
      <c r="AF48" s="44">
        <f ca="1">IF(DAY(DetsP1)=1,IF(AND(YEAR(DetsP1+24)=Kalendriaasta,MONTH(DetsP1+24)=12),DetsP1+24,""),IF(AND(YEAR(DetsP1+31)=Kalendriaasta,MONTH(DetsP1+31)=12),DetsP1+31,""))</f>
        <v>43824</v>
      </c>
      <c r="AG48" s="44">
        <f ca="1">IF(DAY(DetsP1)=1,IF(AND(YEAR(DetsP1+25)=Kalendriaasta,MONTH(DetsP1+25)=12),DetsP1+25,""),IF(AND(YEAR(DetsP1+32)=Kalendriaasta,MONTH(DetsP1+32)=12),DetsP1+32,""))</f>
        <v>43825</v>
      </c>
      <c r="AH48" s="44">
        <f ca="1">IF(DAY(DetsP1)=1,IF(AND(YEAR(DetsP1+26)=Kalendriaasta,MONTH(DetsP1+26)=12),DetsP1+26,""),IF(AND(YEAR(DetsP1+33)=Kalendriaasta,MONTH(DetsP1+33)=12),DetsP1+33,""))</f>
        <v>43826</v>
      </c>
      <c r="AI48" s="44">
        <f ca="1">IF(DAY(DetsP1)=1,IF(AND(YEAR(DetsP1+27)=Kalendriaasta,MONTH(DetsP1+27)=12),DetsP1+27,""),IF(AND(YEAR(DetsP1+34)=Kalendriaasta,MONTH(DetsP1+34)=12),DetsP1+34,""))</f>
        <v>43827</v>
      </c>
      <c r="AJ48" s="44">
        <f ca="1">IF(DAY(DetsP1)=1,IF(AND(YEAR(DetsP1+28)=Kalendriaasta,MONTH(DetsP1+28)=12),DetsP1+28,""),IF(AND(YEAR(DetsP1+35)=Kalendriaasta,MONTH(DetsP1+35)=12),DetsP1+35,""))</f>
        <v>43828</v>
      </c>
    </row>
    <row r="49" spans="3:36" x14ac:dyDescent="0.2">
      <c r="C49" s="44">
        <f ca="1">IF(DAY(SeptP1)=1,IF(AND(YEAR(SeptP1+29)=Kalendriaasta,MONTH(SeptP1+29)=9),SeptP1+29,""),IF(AND(YEAR(SeptP1+36)=Kalendriaasta,MONTH(SeptP1+36)=9),SeptP1+36,""))</f>
        <v>43738</v>
      </c>
      <c r="D49" s="44" t="str">
        <f ca="1">IF(DAY(SeptP1)=1,IF(AND(YEAR(SeptP1+30)=Kalendriaasta,MONTH(SeptP1+30)=9),SeptP1+30,""),IF(AND(YEAR(SeptP1+37)=Kalendriaasta,MONTH(SeptP1+37)=9),SeptP1+37,""))</f>
        <v/>
      </c>
      <c r="E49" s="44" t="str">
        <f ca="1">IF(DAY(SeptP1)=1,IF(AND(YEAR(SeptP1+31)=Kalendriaasta,MONTH(SeptP1+31)=9),SeptP1+31,""),IF(AND(YEAR(SeptP1+38)=Kalendriaasta,MONTH(SeptP1+38)=9),SeptP1+38,""))</f>
        <v/>
      </c>
      <c r="F49" s="44" t="str">
        <f ca="1">IF(DAY(SeptP1)=1,IF(AND(YEAR(SeptP1+32)=Kalendriaasta,MONTH(SeptP1+32)=9),SeptP1+32,""),IF(AND(YEAR(SeptP1+39)=Kalendriaasta,MONTH(SeptP1+39)=9),SeptP1+39,""))</f>
        <v/>
      </c>
      <c r="G49" s="44" t="str">
        <f ca="1">IF(DAY(SeptP1)=1,IF(AND(YEAR(SeptP1+33)=Kalendriaasta,MONTH(SeptP1+33)=9),SeptP1+33,""),IF(AND(YEAR(SeptP1+40)=Kalendriaasta,MONTH(SeptP1+40)=9),SeptP1+40,""))</f>
        <v/>
      </c>
      <c r="H49" s="44" t="str">
        <f ca="1">IF(DAY(SeptP1)=1,IF(AND(YEAR(SeptP1+34)=Kalendriaasta,MONTH(SeptP1+34)=9),SeptP1+34,""),IF(AND(YEAR(SeptP1+41)=Kalendriaasta,MONTH(SeptP1+41)=9),SeptP1+41,""))</f>
        <v/>
      </c>
      <c r="I49" s="44" t="str">
        <f ca="1">IF(DAY(SeptP1)=1,IF(AND(YEAR(SeptP1+35)=Kalendriaasta,MONTH(SeptP1+35)=9),SeptP1+35,""),IF(AND(YEAR(SeptP1+42)=Kalendriaasta,MONTH(SeptP1+42)=9),SeptP1+42,""))</f>
        <v/>
      </c>
      <c r="J49" s="36"/>
      <c r="K49" s="39"/>
      <c r="L49" s="44" t="str">
        <f ca="1">IF(DAY(OktP1)=1,IF(AND(YEAR(OktP1+29)=Kalendriaasta,MONTH(OktP1+29)=10),OktP1+29,""),IF(AND(YEAR(OktP1+36)=Kalendriaasta,MONTH(OktP1+36)=10),OktP1+36,""))</f>
        <v/>
      </c>
      <c r="M49" s="44" t="str">
        <f ca="1">IF(DAY(OktP1)=1,IF(AND(YEAR(OktP1+30)=Kalendriaasta,MONTH(OktP1+30)=10),OktP1+30,""),IF(AND(YEAR(OktP1+37)=Kalendriaasta,MONTH(OktP1+37)=10),OktP1+37,""))</f>
        <v/>
      </c>
      <c r="N49" s="44" t="str">
        <f ca="1">IF(DAY(OktP1)=1,IF(AND(YEAR(OktP1+31)=Kalendriaasta,MONTH(OktP1+31)=10),OktP1+31,""),IF(AND(YEAR(OktP1+38)=Kalendriaasta,MONTH(OktP1+38)=10),OktP1+38,""))</f>
        <v/>
      </c>
      <c r="O49" s="44" t="str">
        <f ca="1">IF(DAY(OktP1)=1,IF(AND(YEAR(OktP1+32)=Kalendriaasta,MONTH(OktP1+32)=10),OktP1+32,""),IF(AND(YEAR(OktP1+39)=Kalendriaasta,MONTH(OktP1+39)=10),OktP1+39,""))</f>
        <v/>
      </c>
      <c r="P49" s="44" t="str">
        <f ca="1">IF(DAY(OktP1)=1,IF(AND(YEAR(OktP1+33)=Kalendriaasta,MONTH(OktP1+33)=10),OktP1+33,""),IF(AND(YEAR(OktP1+40)=Kalendriaasta,MONTH(OktP1+40)=10),OktP1+40,""))</f>
        <v/>
      </c>
      <c r="Q49" s="44" t="str">
        <f ca="1">IF(DAY(OktP1)=1,IF(AND(YEAR(OktP1+34)=Kalendriaasta,MONTH(OktP1+34)=10),OktP1+34,""),IF(AND(YEAR(OktP1+41)=Kalendriaasta,MONTH(OktP1+41)=10),OktP1+41,""))</f>
        <v/>
      </c>
      <c r="R49" s="44" t="str">
        <f ca="1">IF(DAY(OktP1)=1,IF(AND(YEAR(OktP1+35)=Kalendriaasta,MONTH(OktP1+35)=10),OktP1+35,""),IF(AND(YEAR(OktP1+42)=Kalendriaasta,MONTH(OktP1+42)=10),OktP1+42,""))</f>
        <v/>
      </c>
      <c r="S49" s="36"/>
      <c r="T49" s="40"/>
      <c r="U49" s="44" t="str">
        <f ca="1">IF(DAY(NovP1)=1,IF(AND(YEAR(NovP1+29)=Kalendriaasta,MONTH(NovP1+29)=11),NovP1+29,""),IF(AND(YEAR(NovP1+36)=Kalendriaasta,MONTH(NovP1+36)=11),NovP1+36,""))</f>
        <v/>
      </c>
      <c r="V49" s="44" t="str">
        <f ca="1">IF(DAY(NovP1)=1,IF(AND(YEAR(NovP1+30)=Kalendriaasta,MONTH(NovP1+30)=11),NovP1+30,""),IF(AND(YEAR(NovP1+37)=Kalendriaasta,MONTH(NovP1+37)=11),NovP1+37,""))</f>
        <v/>
      </c>
      <c r="W49" s="44" t="str">
        <f ca="1">IF(DAY(NovP1)=1,IF(AND(YEAR(NovP1+31)=Kalendriaasta,MONTH(NovP1+31)=11),NovP1+31,""),IF(AND(YEAR(NovP1+38)=Kalendriaasta,MONTH(NovP1+38)=11),NovP1+38,""))</f>
        <v/>
      </c>
      <c r="X49" s="44" t="str">
        <f ca="1">IF(DAY(NovP1)=1,IF(AND(YEAR(NovP1+32)=Kalendriaasta,MONTH(NovP1+32)=11),NovP1+32,""),IF(AND(YEAR(NovP1+39)=Kalendriaasta,MONTH(NovP1+39)=11),NovP1+39,""))</f>
        <v/>
      </c>
      <c r="Y49" s="44" t="str">
        <f ca="1">IF(DAY(NovP1)=1,IF(AND(YEAR(NovP1+33)=Kalendriaasta,MONTH(NovP1+33)=11),NovP1+33,""),IF(AND(YEAR(NovP1+40)=Kalendriaasta,MONTH(NovP1+40)=11),NovP1+40,""))</f>
        <v/>
      </c>
      <c r="Z49" s="44" t="str">
        <f ca="1">IF(DAY(NovP1)=1,IF(AND(YEAR(NovP1+34)=Kalendriaasta,MONTH(NovP1+34)=11),NovP1+34,""),IF(AND(YEAR(NovP1+41)=Kalendriaasta,MONTH(NovP1+41)=11),NovP1+41,""))</f>
        <v/>
      </c>
      <c r="AA49" s="44" t="str">
        <f ca="1">IF(DAY(NovP1)=1,IF(AND(YEAR(NovP1+35)=Kalendriaasta,MONTH(NovP1+35)=11),NovP1+35,""),IF(AND(YEAR(NovP1+42)=Kalendriaasta,MONTH(NovP1+42)=11),NovP1+42,""))</f>
        <v/>
      </c>
      <c r="AB49" s="36"/>
      <c r="AC49" s="39"/>
      <c r="AD49" s="44">
        <f ca="1">IF(DAY(DetsP1)=1,IF(AND(YEAR(DetsP1+29)=Kalendriaasta,MONTH(DetsP1+29)=12),DetsP1+29,""),IF(AND(YEAR(DetsP1+36)=Kalendriaasta,MONTH(DetsP1+36)=12),DetsP1+36,""))</f>
        <v>43829</v>
      </c>
      <c r="AE49" s="44">
        <f ca="1">IF(DAY(DetsP1)=1,IF(AND(YEAR(DetsP1+30)=Kalendriaasta,MONTH(DetsP1+30)=12),DetsP1+30,""),IF(AND(YEAR(DetsP1+37)=Kalendriaasta,MONTH(DetsP1+37)=12),DetsP1+37,""))</f>
        <v>43830</v>
      </c>
      <c r="AF49" s="44" t="str">
        <f ca="1">IF(DAY(DetsP1)=1,IF(AND(YEAR(DetsP1+31)=Kalendriaasta,MONTH(DetsP1+31)=12),DetsP1+31,""),IF(AND(YEAR(DetsP1+38)=Kalendriaasta,MONTH(DetsP1+38)=12),DetsP1+38,""))</f>
        <v/>
      </c>
      <c r="AG49" s="44" t="str">
        <f ca="1">IF(DAY(DetsP1)=1,IF(AND(YEAR(DetsP1+32)=Kalendriaasta,MONTH(DetsP1+32)=12),DetsP1+32,""),IF(AND(YEAR(DetsP1+39)=Kalendriaasta,MONTH(DetsP1+39)=12),DetsP1+39,""))</f>
        <v/>
      </c>
      <c r="AH49" s="44" t="str">
        <f ca="1">IF(DAY(DetsP1)=1,IF(AND(YEAR(DetsP1+33)=Kalendriaasta,MONTH(DetsP1+33)=12),DetsP1+33,""),IF(AND(YEAR(DetsP1+40)=Kalendriaasta,MONTH(DetsP1+40)=12),DetsP1+40,""))</f>
        <v/>
      </c>
      <c r="AI49" s="44" t="str">
        <f ca="1">IF(DAY(DetsP1)=1,IF(AND(YEAR(DetsP1+34)=Kalendriaasta,MONTH(DetsP1+34)=12),DetsP1+34,""),IF(AND(YEAR(DetsP1+41)=Kalendriaasta,MONTH(DetsP1+41)=12),DetsP1+41,""))</f>
        <v/>
      </c>
      <c r="AJ49" s="44" t="str">
        <f ca="1">IF(DAY(DetsP1)=1,IF(AND(YEAR(DetsP1+35)=Kalendriaasta,MONTH(DetsP1+35)=12),DetsP1+35,""),IF(AND(YEAR(DetsP1+42)=Kalendriaasta,MONTH(DetsP1+42)=12),DetsP1+42,""))</f>
        <v/>
      </c>
    </row>
    <row r="50" spans="3:36" x14ac:dyDescent="0.2">
      <c r="C50" s="2"/>
      <c r="D50" s="2"/>
      <c r="E50" s="2"/>
      <c r="F50" s="2"/>
      <c r="G50" s="2"/>
      <c r="H50" s="2"/>
      <c r="I50" s="2"/>
      <c r="J50" s="2"/>
      <c r="K50" s="1"/>
      <c r="L50" s="1"/>
      <c r="M50" s="1"/>
      <c r="N50" s="1"/>
      <c r="O50" s="1"/>
      <c r="P50" s="1"/>
      <c r="Q50" s="1"/>
      <c r="R50" s="1"/>
      <c r="S50" s="1"/>
    </row>
  </sheetData>
  <mergeCells count="62">
    <mergeCell ref="C42:I42"/>
    <mergeCell ref="L42:R42"/>
    <mergeCell ref="U42:AA42"/>
    <mergeCell ref="AD42:AJ42"/>
    <mergeCell ref="C24:I24"/>
    <mergeCell ref="L24:R24"/>
    <mergeCell ref="U24:AA24"/>
    <mergeCell ref="AD24:AJ24"/>
    <mergeCell ref="C33:I33"/>
    <mergeCell ref="L33:R33"/>
    <mergeCell ref="U33:AA33"/>
    <mergeCell ref="AD33:AJ33"/>
    <mergeCell ref="D22:E22"/>
    <mergeCell ref="D21:E21"/>
    <mergeCell ref="H10:Q10"/>
    <mergeCell ref="H11:Q11"/>
    <mergeCell ref="H12:Q12"/>
    <mergeCell ref="H13:Q13"/>
    <mergeCell ref="H14:Q14"/>
    <mergeCell ref="D11:G11"/>
    <mergeCell ref="D12:G12"/>
    <mergeCell ref="D13:G13"/>
    <mergeCell ref="D14:G14"/>
    <mergeCell ref="D15:G15"/>
    <mergeCell ref="H15:Q15"/>
    <mergeCell ref="H16:Q16"/>
    <mergeCell ref="D16:G16"/>
    <mergeCell ref="D17:G17"/>
    <mergeCell ref="D6:G6"/>
    <mergeCell ref="D7:G7"/>
    <mergeCell ref="D8:G8"/>
    <mergeCell ref="D9:G9"/>
    <mergeCell ref="D10:G10"/>
    <mergeCell ref="H6:Q6"/>
    <mergeCell ref="H7:Q7"/>
    <mergeCell ref="H8:Q8"/>
    <mergeCell ref="H9:Q9"/>
    <mergeCell ref="U18:AI18"/>
    <mergeCell ref="D18:G18"/>
    <mergeCell ref="D19:G19"/>
    <mergeCell ref="D20:G20"/>
    <mergeCell ref="U13:AI13"/>
    <mergeCell ref="U14:AI14"/>
    <mergeCell ref="U15:AI15"/>
    <mergeCell ref="U16:AI16"/>
    <mergeCell ref="U17:AI17"/>
    <mergeCell ref="AL3:AN3"/>
    <mergeCell ref="D3:AD3"/>
    <mergeCell ref="AE3:AI3"/>
    <mergeCell ref="U19:AI19"/>
    <mergeCell ref="U20:AI20"/>
    <mergeCell ref="H17:Q17"/>
    <mergeCell ref="H18:Q18"/>
    <mergeCell ref="H19:Q19"/>
    <mergeCell ref="H20:Q20"/>
    <mergeCell ref="U6:AI6"/>
    <mergeCell ref="U7:AI7"/>
    <mergeCell ref="U8:AI8"/>
    <mergeCell ref="U9:AI9"/>
    <mergeCell ref="U10:AI10"/>
    <mergeCell ref="U11:AI11"/>
    <mergeCell ref="U12:AI12"/>
  </mergeCells>
  <conditionalFormatting sqref="C26:I31 L26:R31 U26:AA31 AD26:AJ31 C35:I40 L35:R40 U35:AA40 AD35:AJ40 C44:I49 L44:R49 U44:AA49 AD44:AJ49">
    <cfRule type="expression" dxfId="108" priority="1">
      <formula>VLOOKUP(C26,OlulisedKuupäevad,1,FALSE)=C26</formula>
    </cfRule>
  </conditionalFormatting>
  <printOptions horizontalCentered="1"/>
  <pageMargins left="0.5" right="0.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controlPr defaultSize="0" print="0" autoPict="0" altText="Kalendriaasta muutmiseks kasutage spinneri nuppu või tippige soovitud aasta lahtrisse AE3.">
                <anchor moveWithCells="1">
                  <from>
                    <xdr:col>35</xdr:col>
                    <xdr:colOff>0</xdr:colOff>
                    <xdr:row>2</xdr:row>
                    <xdr:rowOff>85725</xdr:rowOff>
                  </from>
                  <to>
                    <xdr:col>35</xdr:col>
                    <xdr:colOff>152400</xdr:colOff>
                    <xdr:row>2</xdr:row>
                    <xdr:rowOff>390525</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Algus</vt:lpstr>
      <vt:lpstr>Perekalender</vt:lpstr>
      <vt:lpstr>Kalendriaasta</vt:lpstr>
      <vt:lpstr>OlulisedKuupäevad</vt:lpstr>
      <vt:lpstr>Perekalender!Print_Area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Sherry Li (RWS Moravia)</cp:lastModifiedBy>
  <dcterms:created xsi:type="dcterms:W3CDTF">2018-05-25T12:05:00Z</dcterms:created>
  <dcterms:modified xsi:type="dcterms:W3CDTF">2019-06-26T07:36:11Z</dcterms:modified>
</cp:coreProperties>
</file>

<file path=docProps/custom.xml><?xml version="1.0" encoding="utf-8"?>
<Properties xmlns="http://schemas.openxmlformats.org/officeDocument/2006/custom-properties" xmlns:vt="http://schemas.openxmlformats.org/officeDocument/2006/docPropsVTypes"/>
</file>