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B:\Office_Online\technicians\PBarborik\test\"/>
    </mc:Choice>
  </mc:AlternateContent>
  <bookViews>
    <workbookView xWindow="0" yWindow="0" windowWidth="19200" windowHeight="11490" tabRatio="1000"/>
  </bookViews>
  <sheets>
    <sheet name="Način korištenja ovog predloška" sheetId="9" r:id="rId1"/>
    <sheet name="Popis učenika" sheetId="5" r:id="rId2"/>
    <sheet name="Kolovoz" sheetId="4" r:id="rId3"/>
    <sheet name="Rujan" sheetId="14" r:id="rId4"/>
    <sheet name="Listopad" sheetId="15" r:id="rId5"/>
    <sheet name="Studeni" sheetId="16" r:id="rId6"/>
    <sheet name="Prosinac" sheetId="17" r:id="rId7"/>
    <sheet name="Siječanj" sheetId="18" r:id="rId8"/>
    <sheet name="Veljača" sheetId="8" r:id="rId9"/>
    <sheet name="Ožujak" sheetId="19" r:id="rId10"/>
    <sheet name="Travanj" sheetId="20" r:id="rId11"/>
    <sheet name="Svibanj" sheetId="21" r:id="rId12"/>
    <sheet name="Lipanj" sheetId="22" r:id="rId13"/>
    <sheet name="Srpanj" sheetId="23" r:id="rId14"/>
    <sheet name="Izvješće o nazočnosti učenika" sheetId="6" r:id="rId15"/>
  </sheets>
  <definedNames>
    <definedName name="IDučenika">PopisUčenika[Identifikacijski broj učenika]</definedName>
    <definedName name="ImeIPrezimeUčenika">PopisUčenika[Ime učenika]</definedName>
    <definedName name="KalendarskaGodina">Kolovoz!$AM$1</definedName>
    <definedName name="_xlnm.Print_Titles" localSheetId="1">'Popis učenika'!$A:$C,'Popis učenika'!$3:$3</definedName>
    <definedName name="Šifra1">Kolovoz!$D$3</definedName>
    <definedName name="Šifra2">Kolovoz!$H$3</definedName>
    <definedName name="Šifra3">Kolovoz!$L$3</definedName>
    <definedName name="Šifra4">Kolovoz!$P$3</definedName>
    <definedName name="Šifra5">Kolovoz!$T$3</definedName>
    <definedName name="TekstOpisaBoja">Kolovoz!$C$3</definedName>
    <definedName name="TekstŠifre1">Kolovoz!$E$3</definedName>
    <definedName name="TekstŠifre2">Kolovoz!$I$3</definedName>
    <definedName name="TekstŠifre3">Kolovoz!$M$3</definedName>
    <definedName name="TekstŠifre4">Kolovoz!$Q$3</definedName>
    <definedName name="TekstŠifre5">Kolovoz!$U$3</definedName>
    <definedName name="TraženjeUčenika">'Izvješće o nazočnosti učenika'!$B$4</definedName>
  </definedNames>
  <calcPr calcId="152511"/>
</workbook>
</file>

<file path=xl/calcChain.xml><?xml version="1.0" encoding="utf-8"?>
<calcChain xmlns="http://schemas.openxmlformats.org/spreadsheetml/2006/main">
  <c r="L3" i="14" l="1"/>
  <c r="S4" i="5"/>
  <c r="S5" i="5"/>
  <c r="S6" i="5"/>
  <c r="S7" i="5"/>
  <c r="S8" i="5"/>
  <c r="C8" i="23" l="1"/>
  <c r="C9" i="23"/>
  <c r="C10" i="23"/>
  <c r="C11" i="23"/>
  <c r="C7" i="23"/>
  <c r="C8" i="22"/>
  <c r="C9" i="22"/>
  <c r="C10" i="22"/>
  <c r="C11" i="22"/>
  <c r="C7" i="22"/>
  <c r="C8" i="21"/>
  <c r="C9" i="21"/>
  <c r="C10" i="21"/>
  <c r="C11" i="21"/>
  <c r="C7" i="21"/>
  <c r="C8" i="20"/>
  <c r="C9" i="20"/>
  <c r="C10" i="20"/>
  <c r="C11" i="20"/>
  <c r="C7" i="20"/>
  <c r="C8" i="19"/>
  <c r="C9" i="19"/>
  <c r="C10" i="19"/>
  <c r="C11" i="19"/>
  <c r="C7" i="19"/>
  <c r="C8" i="8"/>
  <c r="C9" i="8"/>
  <c r="C10" i="8"/>
  <c r="C11" i="8"/>
  <c r="C7" i="8"/>
  <c r="C8" i="18"/>
  <c r="C9" i="18"/>
  <c r="C10" i="18"/>
  <c r="C11" i="18"/>
  <c r="C7" i="18"/>
  <c r="C8" i="17"/>
  <c r="C9" i="17"/>
  <c r="C10" i="17"/>
  <c r="C11" i="17"/>
  <c r="C7" i="17"/>
  <c r="C8" i="16"/>
  <c r="C9" i="16"/>
  <c r="C10" i="16"/>
  <c r="C11" i="16"/>
  <c r="C7" i="16"/>
  <c r="C8" i="15"/>
  <c r="C9" i="15"/>
  <c r="C10" i="15"/>
  <c r="C11" i="15"/>
  <c r="C7" i="15"/>
  <c r="C8" i="14"/>
  <c r="C9" i="14"/>
  <c r="C10" i="14"/>
  <c r="C11" i="14"/>
  <c r="C7" i="14"/>
  <c r="A1" i="6" l="1"/>
  <c r="B12" i="6"/>
  <c r="V12" i="6"/>
  <c r="U12" i="6"/>
  <c r="R12" i="6"/>
  <c r="Q12" i="6"/>
  <c r="M12" i="6"/>
  <c r="L12" i="6"/>
  <c r="H12" i="6"/>
  <c r="G12" i="6"/>
  <c r="D12" i="6"/>
  <c r="C12" i="6"/>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D12" i="23"/>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D12" i="22"/>
  <c r="E12" i="21"/>
  <c r="F12" i="2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AF12" i="21"/>
  <c r="AG12" i="21"/>
  <c r="AH12" i="21"/>
  <c r="D12" i="21"/>
  <c r="AH12" i="20"/>
  <c r="E12" i="20"/>
  <c r="F12" i="20"/>
  <c r="G12"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AG12" i="20"/>
  <c r="D12" i="20"/>
  <c r="E12" i="19"/>
  <c r="F12" i="19"/>
  <c r="G12" i="19"/>
  <c r="H12" i="19"/>
  <c r="I12" i="19"/>
  <c r="J12" i="19"/>
  <c r="K12" i="19"/>
  <c r="L12" i="19"/>
  <c r="M12" i="19"/>
  <c r="N12" i="19"/>
  <c r="O12" i="19"/>
  <c r="P12" i="19"/>
  <c r="Q12" i="19"/>
  <c r="R12" i="19"/>
  <c r="S12" i="19"/>
  <c r="T12" i="19"/>
  <c r="U12" i="19"/>
  <c r="V12" i="19"/>
  <c r="W12" i="19"/>
  <c r="X12" i="19"/>
  <c r="Y12" i="19"/>
  <c r="Z12" i="19"/>
  <c r="AA12" i="19"/>
  <c r="AB12" i="19"/>
  <c r="AC12" i="19"/>
  <c r="AD12" i="19"/>
  <c r="AE12" i="19"/>
  <c r="AF12" i="19"/>
  <c r="AG12" i="19"/>
  <c r="AH12" i="19"/>
  <c r="D12" i="19"/>
  <c r="P12" i="1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D12" i="8"/>
  <c r="E12" i="18"/>
  <c r="F12" i="18"/>
  <c r="G12" i="18"/>
  <c r="H12" i="18"/>
  <c r="I12" i="18"/>
  <c r="J12" i="18"/>
  <c r="K12" i="18"/>
  <c r="L12" i="18"/>
  <c r="M12" i="18"/>
  <c r="N12" i="18"/>
  <c r="O12" i="18"/>
  <c r="Q12" i="18"/>
  <c r="R12" i="18"/>
  <c r="S12" i="18"/>
  <c r="T12" i="18"/>
  <c r="U12" i="18"/>
  <c r="V12" i="18"/>
  <c r="W12" i="18"/>
  <c r="X12" i="18"/>
  <c r="Y12" i="18"/>
  <c r="Z12" i="18"/>
  <c r="AA12" i="18"/>
  <c r="AB12" i="18"/>
  <c r="AC12" i="18"/>
  <c r="AD12" i="18"/>
  <c r="AE12" i="18"/>
  <c r="AF12" i="18"/>
  <c r="AG12" i="18"/>
  <c r="AH12" i="18"/>
  <c r="D12" i="18"/>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D12" i="17"/>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D12" i="16"/>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F12" i="15"/>
  <c r="AG12" i="15"/>
  <c r="AH12" i="15"/>
  <c r="D12" i="15"/>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AG12" i="14"/>
  <c r="AH12" i="14"/>
  <c r="D12" i="1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D12" i="4"/>
  <c r="C8" i="4" l="1"/>
  <c r="C9" i="4"/>
  <c r="C10" i="4"/>
  <c r="C11" i="4"/>
  <c r="C7" i="4"/>
  <c r="AG39" i="6" l="1"/>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B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B5" i="22"/>
  <c r="AL11" i="23"/>
  <c r="AK11" i="23"/>
  <c r="AJ11" i="23"/>
  <c r="AI11" i="23"/>
  <c r="AL10" i="23"/>
  <c r="AK10" i="23"/>
  <c r="AJ10" i="23"/>
  <c r="AI10" i="23"/>
  <c r="AL9" i="23"/>
  <c r="AK9" i="23"/>
  <c r="AJ9" i="23"/>
  <c r="AI9" i="23"/>
  <c r="AL8" i="23"/>
  <c r="AK8" i="23"/>
  <c r="AJ8" i="23"/>
  <c r="AI8" i="23"/>
  <c r="AL7" i="23"/>
  <c r="AK7" i="23"/>
  <c r="AK12" i="23" s="1"/>
  <c r="AJ7" i="23"/>
  <c r="AJ12" i="23" s="1"/>
  <c r="AI7" i="23"/>
  <c r="AI12" i="23" s="1"/>
  <c r="U3" i="23"/>
  <c r="T3" i="23"/>
  <c r="Q3" i="23"/>
  <c r="P3" i="23"/>
  <c r="M3" i="23"/>
  <c r="L3" i="23"/>
  <c r="I3" i="23"/>
  <c r="H3" i="23"/>
  <c r="E3" i="23"/>
  <c r="D3" i="23"/>
  <c r="C3" i="23"/>
  <c r="AM1" i="23"/>
  <c r="AL11" i="22"/>
  <c r="AK11" i="22"/>
  <c r="AJ11" i="22"/>
  <c r="AI11" i="22"/>
  <c r="AL10" i="22"/>
  <c r="AK10" i="22"/>
  <c r="AJ10" i="22"/>
  <c r="AI10" i="22"/>
  <c r="AL9" i="22"/>
  <c r="AK9" i="22"/>
  <c r="AJ9" i="22"/>
  <c r="AI9" i="22"/>
  <c r="AL8" i="22"/>
  <c r="AK8" i="22"/>
  <c r="AJ8" i="22"/>
  <c r="AI8" i="22"/>
  <c r="AL7" i="22"/>
  <c r="AL12" i="22" s="1"/>
  <c r="AK7" i="22"/>
  <c r="AK12" i="22" s="1"/>
  <c r="AJ7" i="22"/>
  <c r="AJ12" i="22" s="1"/>
  <c r="AI7" i="22"/>
  <c r="AI12" i="22" s="1"/>
  <c r="U3" i="22"/>
  <c r="T3" i="22"/>
  <c r="Q3" i="22"/>
  <c r="P3" i="22"/>
  <c r="M3" i="22"/>
  <c r="L3" i="22"/>
  <c r="I3" i="22"/>
  <c r="H3" i="22"/>
  <c r="E3" i="22"/>
  <c r="D3" i="22"/>
  <c r="C3" i="22"/>
  <c r="AM1" i="22"/>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B5" i="21"/>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B5" i="20"/>
  <c r="AL11" i="21"/>
  <c r="AK11" i="21"/>
  <c r="AJ11" i="21"/>
  <c r="AI11" i="21"/>
  <c r="AL10" i="21"/>
  <c r="AK10" i="21"/>
  <c r="AJ10" i="21"/>
  <c r="AI10" i="21"/>
  <c r="AL9" i="21"/>
  <c r="AK9" i="21"/>
  <c r="AJ9" i="21"/>
  <c r="AI9" i="21"/>
  <c r="AL8" i="21"/>
  <c r="AK8" i="21"/>
  <c r="AJ8" i="21"/>
  <c r="AI8" i="21"/>
  <c r="AL7" i="21"/>
  <c r="AL12" i="21" s="1"/>
  <c r="AK7" i="21"/>
  <c r="AK12" i="21" s="1"/>
  <c r="AJ7" i="21"/>
  <c r="AJ12" i="21" s="1"/>
  <c r="AI7" i="21"/>
  <c r="AI12" i="21" s="1"/>
  <c r="U3" i="21"/>
  <c r="T3" i="21"/>
  <c r="Q3" i="21"/>
  <c r="P3" i="21"/>
  <c r="M3" i="21"/>
  <c r="L3" i="21"/>
  <c r="I3" i="21"/>
  <c r="H3" i="21"/>
  <c r="E3" i="21"/>
  <c r="D3" i="21"/>
  <c r="C3" i="21"/>
  <c r="AM1" i="21"/>
  <c r="AL11" i="20"/>
  <c r="AK11" i="20"/>
  <c r="AJ11" i="20"/>
  <c r="AI11" i="20"/>
  <c r="AL10" i="20"/>
  <c r="AK10" i="20"/>
  <c r="AJ10" i="20"/>
  <c r="AI10" i="20"/>
  <c r="AL9" i="20"/>
  <c r="AK9" i="20"/>
  <c r="AJ9" i="20"/>
  <c r="AI9" i="20"/>
  <c r="AL8" i="20"/>
  <c r="AK8" i="20"/>
  <c r="AJ8" i="20"/>
  <c r="AI8" i="20"/>
  <c r="AL7" i="20"/>
  <c r="AL12" i="20" s="1"/>
  <c r="AK7" i="20"/>
  <c r="AK12" i="20" s="1"/>
  <c r="AJ7" i="20"/>
  <c r="AJ12" i="20" s="1"/>
  <c r="AI7" i="20"/>
  <c r="AI12" i="20" s="1"/>
  <c r="U3" i="20"/>
  <c r="T3" i="20"/>
  <c r="Q3" i="20"/>
  <c r="P3" i="20"/>
  <c r="M3" i="20"/>
  <c r="L3" i="20"/>
  <c r="I3" i="20"/>
  <c r="H3" i="20"/>
  <c r="E3" i="20"/>
  <c r="D3" i="20"/>
  <c r="C3" i="20"/>
  <c r="AM1" i="20"/>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B5" i="19"/>
  <c r="AL11" i="19"/>
  <c r="AK11" i="19"/>
  <c r="AJ11" i="19"/>
  <c r="AI11" i="19"/>
  <c r="AL10" i="19"/>
  <c r="AK10" i="19"/>
  <c r="AJ10" i="19"/>
  <c r="AI10" i="19"/>
  <c r="AL9" i="19"/>
  <c r="AK9" i="19"/>
  <c r="AJ9" i="19"/>
  <c r="AI9" i="19"/>
  <c r="AL8" i="19"/>
  <c r="AK8" i="19"/>
  <c r="AJ8" i="19"/>
  <c r="AI8" i="19"/>
  <c r="AL7" i="19"/>
  <c r="AL12" i="19" s="1"/>
  <c r="AK7" i="19"/>
  <c r="AK12" i="19" s="1"/>
  <c r="AJ7" i="19"/>
  <c r="AJ12" i="19" s="1"/>
  <c r="AI7" i="19"/>
  <c r="AI12" i="19" s="1"/>
  <c r="U3" i="19"/>
  <c r="T3" i="19"/>
  <c r="Q3" i="19"/>
  <c r="P3" i="19"/>
  <c r="M3" i="19"/>
  <c r="L3" i="19"/>
  <c r="I3" i="19"/>
  <c r="H3" i="19"/>
  <c r="E3" i="19"/>
  <c r="D3" i="19"/>
  <c r="C3" i="19"/>
  <c r="AM1" i="19"/>
  <c r="B5" i="17"/>
  <c r="B5" i="16"/>
  <c r="B5" i="15"/>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B5" i="18"/>
  <c r="AL11" i="18"/>
  <c r="AK11" i="18"/>
  <c r="AJ11" i="18"/>
  <c r="AI11" i="18"/>
  <c r="AL10" i="18"/>
  <c r="AK10" i="18"/>
  <c r="AJ10" i="18"/>
  <c r="AI10" i="18"/>
  <c r="AL9" i="18"/>
  <c r="AK9" i="18"/>
  <c r="AJ9" i="18"/>
  <c r="AI9" i="18"/>
  <c r="AL8" i="18"/>
  <c r="AK8" i="18"/>
  <c r="AJ8" i="18"/>
  <c r="AI8" i="18"/>
  <c r="AL7" i="18"/>
  <c r="AK7" i="18"/>
  <c r="AK12" i="18" s="1"/>
  <c r="AJ7" i="18"/>
  <c r="AJ12" i="18" s="1"/>
  <c r="AI7" i="18"/>
  <c r="AI12" i="18" s="1"/>
  <c r="U3" i="18"/>
  <c r="T3" i="18"/>
  <c r="Q3" i="18"/>
  <c r="P3" i="18"/>
  <c r="M3" i="18"/>
  <c r="L3" i="18"/>
  <c r="I3" i="18"/>
  <c r="H3" i="18"/>
  <c r="E3" i="18"/>
  <c r="D3" i="18"/>
  <c r="C3" i="18"/>
  <c r="AM1" i="18"/>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AL11" i="17"/>
  <c r="AK11" i="17"/>
  <c r="AJ11" i="17"/>
  <c r="AI11" i="17"/>
  <c r="AL10" i="17"/>
  <c r="AK10" i="17"/>
  <c r="AJ10" i="17"/>
  <c r="AI10" i="17"/>
  <c r="AL9" i="17"/>
  <c r="AK9" i="17"/>
  <c r="AJ9" i="17"/>
  <c r="AI9" i="17"/>
  <c r="AL8" i="17"/>
  <c r="AK8" i="17"/>
  <c r="AJ8" i="17"/>
  <c r="AI8" i="17"/>
  <c r="AL7" i="17"/>
  <c r="AL12" i="17" s="1"/>
  <c r="AK7" i="17"/>
  <c r="AK12" i="17" s="1"/>
  <c r="AJ7" i="17"/>
  <c r="AJ12" i="17" s="1"/>
  <c r="AI7" i="17"/>
  <c r="AI12" i="17" s="1"/>
  <c r="U3" i="17"/>
  <c r="T3" i="17"/>
  <c r="Q3" i="17"/>
  <c r="P3" i="17"/>
  <c r="M3" i="17"/>
  <c r="L3" i="17"/>
  <c r="I3" i="17"/>
  <c r="H3" i="17"/>
  <c r="E3" i="17"/>
  <c r="D3" i="17"/>
  <c r="C3" i="17"/>
  <c r="AM1" i="17"/>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L11" i="16"/>
  <c r="AK11" i="16"/>
  <c r="AJ11" i="16"/>
  <c r="AI11" i="16"/>
  <c r="AL10" i="16"/>
  <c r="AK10" i="16"/>
  <c r="AJ10" i="16"/>
  <c r="AI10" i="16"/>
  <c r="AL9" i="16"/>
  <c r="AK9" i="16"/>
  <c r="AJ9" i="16"/>
  <c r="AI9" i="16"/>
  <c r="AL8" i="16"/>
  <c r="AK8" i="16"/>
  <c r="AJ8" i="16"/>
  <c r="AI8" i="16"/>
  <c r="AL7" i="16"/>
  <c r="AK7" i="16"/>
  <c r="AK12" i="16" s="1"/>
  <c r="AJ7" i="16"/>
  <c r="AJ12" i="16" s="1"/>
  <c r="AI7" i="16"/>
  <c r="U3" i="16"/>
  <c r="T3" i="16"/>
  <c r="Q3" i="16"/>
  <c r="P3" i="16"/>
  <c r="M3" i="16"/>
  <c r="L3" i="16"/>
  <c r="I3" i="16"/>
  <c r="H3" i="16"/>
  <c r="E3" i="16"/>
  <c r="D3" i="16"/>
  <c r="C3" i="16"/>
  <c r="AM1" i="16"/>
  <c r="AL11" i="15"/>
  <c r="AK11" i="15"/>
  <c r="AJ11" i="15"/>
  <c r="AI11" i="15"/>
  <c r="AL10" i="15"/>
  <c r="AK10" i="15"/>
  <c r="AJ10" i="15"/>
  <c r="AI10" i="15"/>
  <c r="AL9" i="15"/>
  <c r="AK9" i="15"/>
  <c r="AJ9" i="15"/>
  <c r="AI9" i="15"/>
  <c r="AL8" i="15"/>
  <c r="AK8" i="15"/>
  <c r="AJ8" i="15"/>
  <c r="AI8" i="15"/>
  <c r="AL7" i="15"/>
  <c r="AK7" i="15"/>
  <c r="AK12" i="15" s="1"/>
  <c r="AJ7" i="15"/>
  <c r="AJ12" i="15" s="1"/>
  <c r="AI7" i="15"/>
  <c r="U3" i="15"/>
  <c r="T3" i="15"/>
  <c r="Q3" i="15"/>
  <c r="P3" i="15"/>
  <c r="M3" i="15"/>
  <c r="L3" i="15"/>
  <c r="I3" i="15"/>
  <c r="H3" i="15"/>
  <c r="E3" i="15"/>
  <c r="D3" i="15"/>
  <c r="C3" i="15"/>
  <c r="AM1" i="15"/>
  <c r="AH36" i="6" l="1"/>
  <c r="AL12" i="18"/>
  <c r="AH38" i="6"/>
  <c r="AL12" i="16"/>
  <c r="AK38" i="6"/>
  <c r="AI38" i="6"/>
  <c r="AK36" i="6"/>
  <c r="AI36" i="6"/>
  <c r="AJ38" i="6"/>
  <c r="AJ36" i="6"/>
  <c r="AL12" i="23"/>
  <c r="AL12" i="15"/>
  <c r="AI12" i="16"/>
  <c r="AI12" i="15"/>
  <c r="AF19" i="6" l="1"/>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U3" i="14"/>
  <c r="T3" i="14"/>
  <c r="Q3" i="14"/>
  <c r="P3" i="14"/>
  <c r="M3" i="14"/>
  <c r="I3" i="14"/>
  <c r="H3" i="14"/>
  <c r="E3" i="14"/>
  <c r="D3" i="14"/>
  <c r="C3" i="14"/>
  <c r="AM1" i="14"/>
  <c r="G5" i="14"/>
  <c r="F5" i="14"/>
  <c r="E5" i="14"/>
  <c r="AG5" i="14"/>
  <c r="AF5" i="14"/>
  <c r="AE5" i="14"/>
  <c r="AD5" i="14"/>
  <c r="AC5" i="14"/>
  <c r="AB5" i="14"/>
  <c r="AA5" i="14"/>
  <c r="Z5" i="14"/>
  <c r="Y5" i="14"/>
  <c r="X5" i="14"/>
  <c r="W5" i="14"/>
  <c r="V5" i="14"/>
  <c r="U5" i="14"/>
  <c r="T5" i="14"/>
  <c r="S5" i="14"/>
  <c r="R5" i="14"/>
  <c r="Q5" i="14"/>
  <c r="P5" i="14"/>
  <c r="O5" i="14"/>
  <c r="N5" i="14"/>
  <c r="M5" i="14"/>
  <c r="L5" i="14"/>
  <c r="K5" i="14"/>
  <c r="J5" i="14"/>
  <c r="I5" i="14"/>
  <c r="H5" i="14"/>
  <c r="D5" i="14"/>
  <c r="B5" i="14"/>
  <c r="AL11" i="14"/>
  <c r="AK11" i="14"/>
  <c r="AJ11" i="14"/>
  <c r="AI11" i="14"/>
  <c r="AL10" i="14"/>
  <c r="AK10" i="14"/>
  <c r="AJ10" i="14"/>
  <c r="AI10" i="14"/>
  <c r="AL9" i="14"/>
  <c r="AK9" i="14"/>
  <c r="AJ9" i="14"/>
  <c r="AI9" i="14"/>
  <c r="AL8" i="14"/>
  <c r="AK8" i="14"/>
  <c r="AJ8" i="14"/>
  <c r="AI8" i="14"/>
  <c r="AL7" i="14"/>
  <c r="AL12" i="14" s="1"/>
  <c r="AK7" i="14"/>
  <c r="AK12" i="14" s="1"/>
  <c r="AJ7" i="14"/>
  <c r="AI7" i="14"/>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M8" i="14" l="1"/>
  <c r="AM8" i="23"/>
  <c r="AM8" i="22"/>
  <c r="AM8" i="21"/>
  <c r="AM8" i="20"/>
  <c r="AM8" i="19"/>
  <c r="AM8" i="8"/>
  <c r="AM8" i="18"/>
  <c r="AM8" i="17"/>
  <c r="AM8" i="16"/>
  <c r="AM8" i="15"/>
  <c r="AM9" i="14"/>
  <c r="AM9" i="23"/>
  <c r="AM9" i="22"/>
  <c r="AM9" i="21"/>
  <c r="AM9" i="20"/>
  <c r="AM9" i="19"/>
  <c r="AM9" i="8"/>
  <c r="AM9" i="18"/>
  <c r="AM9" i="17"/>
  <c r="AM9" i="16"/>
  <c r="AM9" i="15"/>
  <c r="AM10" i="14"/>
  <c r="AM10" i="23"/>
  <c r="AM10" i="22"/>
  <c r="AM10" i="21"/>
  <c r="AM10" i="20"/>
  <c r="AM10" i="19"/>
  <c r="AM10" i="8"/>
  <c r="AM10" i="18"/>
  <c r="AM10" i="17"/>
  <c r="AM10" i="16"/>
  <c r="AM10" i="15"/>
  <c r="AM11" i="14"/>
  <c r="AM11" i="23"/>
  <c r="AM11" i="22"/>
  <c r="AM11" i="21"/>
  <c r="AM11" i="20"/>
  <c r="AM11" i="19"/>
  <c r="AM11" i="8"/>
  <c r="AM11" i="18"/>
  <c r="AM11" i="17"/>
  <c r="AM11" i="16"/>
  <c r="AM11" i="15"/>
  <c r="AM7" i="23"/>
  <c r="AM7" i="22"/>
  <c r="AM7" i="21"/>
  <c r="AM7" i="20"/>
  <c r="AM7" i="19"/>
  <c r="AM7" i="8"/>
  <c r="AM7" i="18"/>
  <c r="AM7" i="17"/>
  <c r="AM7" i="16"/>
  <c r="AM7" i="15"/>
  <c r="AJ12" i="14"/>
  <c r="AM7" i="14"/>
  <c r="AI12" i="14"/>
  <c r="U3" i="8"/>
  <c r="T3" i="8"/>
  <c r="Q3" i="8"/>
  <c r="P3" i="8"/>
  <c r="M3" i="8"/>
  <c r="L3" i="8"/>
  <c r="I3" i="8"/>
  <c r="H3" i="8"/>
  <c r="E3" i="8"/>
  <c r="D3" i="8"/>
  <c r="C3" i="8"/>
  <c r="AM12" i="15" l="1"/>
  <c r="AM12" i="17"/>
  <c r="AM12" i="8"/>
  <c r="AM12" i="20"/>
  <c r="AM12" i="22"/>
  <c r="AM12" i="16"/>
  <c r="AM12" i="18"/>
  <c r="AM12" i="19"/>
  <c r="AM12" i="21"/>
  <c r="AM12" i="23"/>
  <c r="AM1" i="8"/>
  <c r="AL11" i="8"/>
  <c r="AK11" i="8"/>
  <c r="AJ11" i="8"/>
  <c r="AI11" i="8"/>
  <c r="AL10" i="8"/>
  <c r="AK10" i="8"/>
  <c r="AJ10" i="8"/>
  <c r="AI10" i="8"/>
  <c r="AL9" i="8"/>
  <c r="AK9" i="8"/>
  <c r="AJ9" i="8"/>
  <c r="AI9" i="8"/>
  <c r="AL8" i="8"/>
  <c r="AK8" i="8"/>
  <c r="AJ8" i="8"/>
  <c r="AI8" i="8"/>
  <c r="AL7" i="8"/>
  <c r="AL12" i="8" s="1"/>
  <c r="AK7" i="8"/>
  <c r="AK12" i="8" s="1"/>
  <c r="AJ7" i="8"/>
  <c r="AJ12" i="8" s="1"/>
  <c r="AI7" i="8"/>
  <c r="AI12" i="8" s="1"/>
  <c r="AF5" i="8"/>
  <c r="AE5" i="8"/>
  <c r="AD5" i="8"/>
  <c r="AC5" i="8"/>
  <c r="AB5" i="8"/>
  <c r="AA5" i="8"/>
  <c r="Z5" i="8"/>
  <c r="Y5" i="8"/>
  <c r="X5" i="8"/>
  <c r="W5" i="8"/>
  <c r="V5" i="8"/>
  <c r="U5" i="8"/>
  <c r="T5" i="8"/>
  <c r="S5" i="8"/>
  <c r="R5" i="8"/>
  <c r="Q5" i="8"/>
  <c r="P5" i="8"/>
  <c r="O5" i="8"/>
  <c r="N5" i="8"/>
  <c r="M5" i="8"/>
  <c r="L5" i="8"/>
  <c r="K5" i="8"/>
  <c r="J5" i="8"/>
  <c r="I5" i="8"/>
  <c r="H5" i="8"/>
  <c r="G5" i="8"/>
  <c r="F5" i="8"/>
  <c r="E5" i="8"/>
  <c r="D5" i="8"/>
  <c r="B5" i="8"/>
  <c r="AI11" i="4" l="1"/>
  <c r="AJ11" i="4"/>
  <c r="AK11" i="4"/>
  <c r="AL11" i="4"/>
  <c r="AL7" i="4"/>
  <c r="AL8" i="4"/>
  <c r="AL9" i="4"/>
  <c r="AL10" i="4"/>
  <c r="AK7" i="4"/>
  <c r="AK8" i="4"/>
  <c r="AK9" i="4"/>
  <c r="AK10" i="4"/>
  <c r="AJ7" i="4"/>
  <c r="AJ8" i="4"/>
  <c r="AM8" i="4" s="1"/>
  <c r="AJ9" i="4"/>
  <c r="AM9" i="4" s="1"/>
  <c r="AJ10" i="4"/>
  <c r="AM10" i="4" s="1"/>
  <c r="AK12" i="4" l="1"/>
  <c r="AM11" i="4"/>
  <c r="AM7" i="4"/>
  <c r="AJ12" i="4"/>
  <c r="AI7" i="4"/>
  <c r="AI8" i="4"/>
  <c r="AI9" i="4"/>
  <c r="AI10" i="4"/>
  <c r="AM12" i="4" l="1"/>
  <c r="AI12" i="4"/>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K16" i="6" l="1"/>
  <c r="AJ16" i="6"/>
  <c r="AI16" i="6"/>
  <c r="AH16" i="6"/>
  <c r="K6" i="6"/>
  <c r="B6" i="6"/>
  <c r="B10" i="6"/>
  <c r="AE10" i="6"/>
  <c r="W10" i="6"/>
  <c r="K10" i="6"/>
  <c r="AE8" i="6"/>
  <c r="W8" i="6"/>
  <c r="K8" i="6"/>
  <c r="B8" i="6"/>
  <c r="AK28" i="6" l="1"/>
  <c r="AJ28" i="6"/>
  <c r="AI28" i="6"/>
  <c r="AH28" i="6"/>
  <c r="AI22" i="6" l="1"/>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AH5" i="4" l="1"/>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B5" i="4"/>
  <c r="AE6" i="6"/>
  <c r="W6" i="6"/>
  <c r="S4" i="6"/>
  <c r="P4" i="6"/>
  <c r="AH40" i="6" l="1"/>
  <c r="AI40" i="6"/>
  <c r="AJ40" i="6"/>
  <c r="AK40" i="6"/>
  <c r="D4" i="6" l="1"/>
  <c r="K1" i="6" s="1"/>
  <c r="AL12" i="4"/>
  <c r="AM12" i="14"/>
</calcChain>
</file>

<file path=xl/sharedStrings.xml><?xml version="1.0" encoding="utf-8"?>
<sst xmlns="http://schemas.openxmlformats.org/spreadsheetml/2006/main" count="784" uniqueCount="132">
  <si>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</si>
  <si>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</si>
  <si>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</si>
  <si>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</si>
  <si>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</si>
  <si>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</si>
  <si>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</si>
  <si>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</si>
  <si>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</si>
  <si>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</si>
  <si>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</si>
  <si>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</si>
  <si>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</si>
  <si>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</si>
  <si>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</si>
  <si>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</si>
  <si>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</si>
  <si>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</si>
  <si>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</si>
  <si>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</si>
  <si>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</si>
  <si>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</si>
  <si>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</si>
  <si>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</si>
  <si>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</si>
  <si>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</si>
  <si>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</si>
  <si>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</si>
  <si>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</si>
  <si>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</si>
  <si>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</si>
  <si>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t>
  </si>
  <si>
    <t>Ime učenika</t>
  </si>
  <si>
    <t>Prezime učenika</t>
  </si>
  <si>
    <t>Identifikacijski broj učenika</t>
  </si>
  <si>
    <t>Učenik</t>
  </si>
  <si>
    <t>Ime učenika</t>
  </si>
  <si>
    <t>Dani izostanaka</t>
  </si>
  <si>
    <t>Ukupno</t>
  </si>
  <si>
    <t>Spol</t>
  </si>
  <si>
    <t>Datum rođenja</t>
  </si>
  <si>
    <t>Škola</t>
  </si>
  <si>
    <t>Razred</t>
  </si>
  <si>
    <t>Učitelj</t>
  </si>
  <si>
    <t>Soba</t>
  </si>
  <si>
    <t>Odnos</t>
  </si>
  <si>
    <t>Službeni broj</t>
  </si>
  <si>
    <t>Kućni broj</t>
  </si>
  <si>
    <t>Kontakt za hitne slučajeve</t>
  </si>
  <si>
    <t>M</t>
  </si>
  <si>
    <t>Srodstvo s kontaktom za hitne slučajeve</t>
  </si>
  <si>
    <t>Službeni broj kontakta za hitne slučajeve</t>
  </si>
  <si>
    <t>Kućni broj kontakta za hitne slučajeve</t>
  </si>
  <si>
    <t>Ime i prezime učenika</t>
  </si>
  <si>
    <t>Djed</t>
  </si>
  <si>
    <t>Ukupna nazočnost</t>
  </si>
  <si>
    <t>Kolovoz</t>
  </si>
  <si>
    <t>Rujan</t>
  </si>
  <si>
    <t>Listopad</t>
  </si>
  <si>
    <t>Studeni</t>
  </si>
  <si>
    <t>Prosinac</t>
  </si>
  <si>
    <t>Siječanj</t>
  </si>
  <si>
    <t>Veljača</t>
  </si>
  <si>
    <t>Ožujak</t>
  </si>
  <si>
    <t>Travanj</t>
  </si>
  <si>
    <t>Svi.</t>
  </si>
  <si>
    <t>Lipanj</t>
  </si>
  <si>
    <t>Srpanj</t>
  </si>
  <si>
    <t>N</t>
  </si>
  <si>
    <t>Početak školske godine:</t>
  </si>
  <si>
    <t>Otac</t>
  </si>
  <si>
    <t>Roditelj ili skrbnik 1</t>
  </si>
  <si>
    <t>Odnos s roditeljem/skrbnikom 1</t>
  </si>
  <si>
    <t>Kućni broj roditelja/skrbnika 1</t>
  </si>
  <si>
    <t>Odnos s roditeljem/skrbnikom 2</t>
  </si>
  <si>
    <t>Službeni broj roditelja/skrbnika 2</t>
  </si>
  <si>
    <t>Kućni broj roditelja/skrbnika 2</t>
  </si>
  <si>
    <t>Roditelj/skrbnik 2</t>
  </si>
  <si>
    <t>Ime roditelja ili skrbnika 1</t>
  </si>
  <si>
    <t>Ime roditelja ili skrbnika 2</t>
  </si>
  <si>
    <t>Kašnjenje</t>
  </si>
  <si>
    <t>Opravdani</t>
  </si>
  <si>
    <t>Neopravdani</t>
  </si>
  <si>
    <t>Prisutan</t>
  </si>
  <si>
    <t>Nema škole</t>
  </si>
  <si>
    <t>Nazočnost</t>
  </si>
  <si>
    <t>EVIDENCIJA NAZOČNOSTI UČENIKA</t>
  </si>
  <si>
    <t>Neven</t>
  </si>
  <si>
    <t>Tomić</t>
  </si>
  <si>
    <t>S001</t>
  </si>
  <si>
    <t>Dragan</t>
  </si>
  <si>
    <t>Dragan Tomić</t>
  </si>
  <si>
    <t>S002</t>
  </si>
  <si>
    <t>S003</t>
  </si>
  <si>
    <t>S004</t>
  </si>
  <si>
    <t>S005</t>
  </si>
  <si>
    <t xml:space="preserve">School of Fine Art </t>
  </si>
  <si>
    <t>Luka Abrus</t>
  </si>
  <si>
    <t>Tihomir Sasić</t>
  </si>
  <si>
    <t xml:space="preserve">● </t>
  </si>
  <si>
    <t>1.</t>
  </si>
  <si>
    <t>2.</t>
  </si>
  <si>
    <t>3.</t>
  </si>
  <si>
    <t>Nakon unosa učenika na list Popis učenika možete početi evidentirati njihovu nazočnost za školsku godinu slijedeći ove korake:</t>
  </si>
  <si>
    <t>GDJE POČETI?</t>
  </si>
  <si>
    <t>DODAO SAM UČENIKE. ŠTO SAD?</t>
  </si>
  <si>
    <t>KAKO DODATI JOŠ UČENIKA U MJESEČNU EVIDENCIJU NAZOČNOSTI?</t>
  </si>
  <si>
    <t>MOGU LI POGLEDATI PODATKE O UČENIKOVOJ NAZOČNOSTI ZA CIJELU ŠKOLSKU GODINU?</t>
  </si>
  <si>
    <t>Prije no što počnete evidentirati nazočnost učenika morate učiniti nekoliko koraka:</t>
  </si>
  <si>
    <t xml:space="preserve">OPIS BOJA </t>
  </si>
  <si>
    <t>Ako tablica nema redak s ukupnim zbrojem, počnite upisivati ispod tablice i ona će se automatski proširiti kada pritisnete tipku Enter ili Tab.</t>
  </si>
  <si>
    <t>Postavite pokazivač ćelije u posljednju ćeliju iznad retka s ukupnim zbrojem, primjerice u ćeliju Dani izostanka za posljednjeg učenika, a zatim pritisnite tipku Tab.</t>
  </si>
  <si>
    <t>U donjem desnom kutu tablice postavite pokazivač miša na ručicu za promjenu veličine tablice i povucite prema dolje da biste povećali broj dostupnih redaka tablice</t>
  </si>
  <si>
    <t>Zatim unesite podatke o njihovoj nazočnosti za svaki dan u mjesecu pomoću vrsta nazočnosti navedenih u opisu boja. Nazočnost učenika automatski se izračunava prema vrsti nazočnosti za svakog učenika u stupcu s ukupnim zbrojem. Ukupan broj izostanaka za svaki dan automatski se izračunava na dnu tablice u retku s ukupnim zbrojem.</t>
  </si>
  <si>
    <t>Listovi mjesečne evidencija nazočnosti i popis učenika tablice su programa Excel. Da biste dodali nove retke u bilo koju tablicu programa Excel, učinite nešto od ovog:</t>
  </si>
  <si>
    <t>Službeni broj roditelja/skrbnika 1</t>
  </si>
  <si>
    <t xml:space="preserve"> </t>
  </si>
  <si>
    <t>Ukupan broj dana izostanaka</t>
  </si>
  <si>
    <t>POPIS UČENIKA</t>
  </si>
  <si>
    <t>NAČIN KORIŠTENJA OVOG PREDLOŠKA</t>
  </si>
  <si>
    <t>Prilagodite temu dokumenta.</t>
  </si>
  <si>
    <r>
      <t xml:space="preserve">Da biste u evidenciju nazočnosti dodali studente, kliknite unutar ćelije ispod stupca </t>
    </r>
    <r>
      <rPr>
        <b/>
        <sz val="10"/>
        <color theme="1"/>
        <rFont val="Century Gothic"/>
        <family val="2"/>
        <scheme val="minor"/>
      </rPr>
      <t>Identifikacijski broj učenika</t>
    </r>
    <r>
      <rPr>
        <sz val="10"/>
        <color theme="1"/>
        <rFont val="Century Gothic"/>
        <family val="2"/>
        <scheme val="minor"/>
      </rPr>
      <t xml:space="preserve"> i odaberite identifikacijski broj s popisa. Kada odaberete identifikacijski broj, automatski će se prikazati ime učenika. </t>
    </r>
  </si>
  <si>
    <r>
      <t xml:space="preserve">Desnom tipkom miša kliknite unutar tablice i na skočnom izborniku pokažite na </t>
    </r>
    <r>
      <rPr>
        <b/>
        <sz val="10"/>
        <color theme="1"/>
        <rFont val="Century Gothic"/>
        <family val="2"/>
        <scheme val="minor"/>
      </rPr>
      <t>Umetni</t>
    </r>
    <r>
      <rPr>
        <sz val="10"/>
        <color theme="1"/>
        <rFont val="Century Gothic"/>
        <family val="2"/>
        <scheme val="minor"/>
      </rPr>
      <t xml:space="preserve">, a zatim kliknite </t>
    </r>
    <r>
      <rPr>
        <b/>
        <sz val="10"/>
        <color theme="1"/>
        <rFont val="Century Gothic"/>
        <family val="2"/>
        <scheme val="minor"/>
      </rPr>
      <t>Reci tablice iznad</t>
    </r>
    <r>
      <rPr>
        <sz val="10"/>
        <color theme="1"/>
        <rFont val="Century Gothic"/>
        <family val="2"/>
        <scheme val="minor"/>
      </rPr>
      <t xml:space="preserve"> ili </t>
    </r>
    <r>
      <rPr>
        <b/>
        <sz val="10"/>
        <color theme="1"/>
        <rFont val="Century Gothic"/>
        <family val="2"/>
        <scheme val="minor"/>
      </rPr>
      <t>Reci tablice ispod</t>
    </r>
    <r>
      <rPr>
        <sz val="10"/>
        <color theme="1"/>
        <rFont val="Century Gothic"/>
        <family val="2"/>
        <scheme val="minor"/>
      </rPr>
      <t xml:space="preserve">. </t>
    </r>
  </si>
  <si>
    <r>
      <t xml:space="preserve">Posljednji list u ovoj radnoj knjizi, Izvješće o nazočnosti učenika, prati godišnju nazočnost do trenutnog datuma. Da biste pogledali izvješće za određenog učenika, kliknite ćeliju ispod ćelije </t>
    </r>
    <r>
      <rPr>
        <b/>
        <sz val="10"/>
        <color theme="1"/>
        <rFont val="Century Gothic"/>
        <family val="2"/>
        <scheme val="minor"/>
      </rPr>
      <t>Identifikacijski broj učenika</t>
    </r>
    <r>
      <rPr>
        <sz val="10"/>
        <color theme="1"/>
        <rFont val="Century Gothic"/>
        <family val="2"/>
        <scheme val="minor"/>
      </rPr>
      <t xml:space="preserve">, a zatim odaberite identifikacijski broj s padajućeg popisa. Podaci koje ste za odabranog učenika prethodno unijeli na list Popis učenika automatski će se prikazati. Imajte na umu da prilikom prvog korištenja izvješća o nazočnosti učenika morate unijeti školu, učitelja i sobu. Ti se podaci neće promijeniti ako odaberete nekog drugog učenika. </t>
    </r>
  </si>
  <si>
    <r>
      <rPr>
        <b/>
        <sz val="10"/>
        <color theme="4" tint="-0.499984740745262"/>
        <rFont val="Century Gothic"/>
        <family val="2"/>
        <scheme val="minor"/>
      </rPr>
      <t>Dodavanje učenika</t>
    </r>
    <r>
      <rPr>
        <b/>
        <sz val="10"/>
        <color theme="1"/>
        <rFont val="Century Gothic"/>
        <family val="2"/>
        <scheme val="minor"/>
      </rPr>
      <t>:</t>
    </r>
    <r>
      <rPr>
        <sz val="10"/>
        <color theme="1"/>
        <rFont val="Century Gothic"/>
        <family val="2"/>
        <scheme val="minor"/>
      </rPr>
      <t xml:space="preserve"> na listu </t>
    </r>
    <r>
      <rPr>
        <b/>
        <sz val="10"/>
        <color theme="1"/>
        <rFont val="Century Gothic"/>
        <family val="2"/>
        <scheme val="minor"/>
      </rPr>
      <t>Popis učenika</t>
    </r>
    <r>
      <rPr>
        <sz val="10"/>
        <color theme="1"/>
        <rFont val="Century Gothic"/>
        <family val="2"/>
        <scheme val="minor"/>
      </rPr>
      <t xml:space="preserve"> unesite podatke o svakom učeniku, primjerice nazive skrbnika i podatke za kontakt. Identifikacijski broj učenika važna je stavka jer predstavlja jedinstveni identifikator za svakog učenika i koristi se u cijeloj radnoj knjizi za razne padajuće popise s identifikacijskim brojem učenika da bi se pojednostavnio unos podataka. Podaci uneseni na popis studenata koriste se i na drugim listovima, primjerice u izvješću o nazočnosti učenika i u mjesečnim evidencijama nazočnosti.</t>
    </r>
  </si>
  <si>
    <r>
      <rPr>
        <b/>
        <sz val="10"/>
        <color theme="4" tint="-0.499984740745262"/>
        <rFont val="Century Gothic"/>
        <family val="2"/>
        <scheme val="minor"/>
      </rPr>
      <t>Promjena školske kalendarske godine:</t>
    </r>
    <r>
      <rPr>
        <sz val="10"/>
        <color theme="4" tint="-0.499984740745262"/>
        <rFont val="Century Gothic"/>
        <family val="2"/>
        <scheme val="minor"/>
      </rPr>
      <t xml:space="preserve"> </t>
    </r>
    <r>
      <rPr>
        <sz val="10"/>
        <color theme="1"/>
        <rFont val="Century Gothic"/>
        <family val="2"/>
        <scheme val="minor"/>
      </rPr>
      <t xml:space="preserve">na listu </t>
    </r>
    <r>
      <rPr>
        <b/>
        <sz val="10"/>
        <color theme="1"/>
        <rFont val="Century Gothic"/>
        <family val="2"/>
        <scheme val="minor"/>
      </rPr>
      <t>Kolovoz</t>
    </r>
    <r>
      <rPr>
        <sz val="10"/>
        <color theme="1"/>
        <rFont val="Century Gothic"/>
        <family val="2"/>
        <scheme val="minor"/>
      </rPr>
      <t xml:space="preserve"> za nazočnost kliknite kontrolu strelice za pomicanje na gornjem desnom rubu zaglavlja da biste ažurirali školsku kalendarsku godinu. Tom će se promjenom ažurirati zaglavlje na svim mjesečnim zapisima o nazočnosti u cijeloj radnoj knjizi. (Imajte na umu da se gumb strelice za pomicanje neće ispisati.)</t>
    </r>
  </si>
  <si>
    <r>
      <rPr>
        <b/>
        <sz val="10"/>
        <color theme="1"/>
        <rFont val="Century Gothic"/>
        <family val="2"/>
        <scheme val="minor"/>
      </rPr>
      <t xml:space="preserve">Savjet: </t>
    </r>
    <r>
      <rPr>
        <sz val="10"/>
        <color theme="1"/>
        <rFont val="Century Gothic"/>
        <family val="2"/>
        <scheme val="minor"/>
      </rPr>
      <t xml:space="preserve">spremite korake unosa podataka! Kada dodate učenike za jedan mjesec, odaberite unesene identifikacijske brojeve učenika, kopirajte ih, a zatim ih zalijepite u stupac </t>
    </r>
    <r>
      <rPr>
        <b/>
        <sz val="10"/>
        <color theme="1"/>
        <rFont val="Century Gothic"/>
        <family val="2"/>
        <scheme val="minor"/>
      </rPr>
      <t>Identifikacijski broj učenika</t>
    </r>
    <r>
      <rPr>
        <sz val="10"/>
        <color theme="1"/>
        <rFont val="Century Gothic"/>
        <family val="2"/>
        <scheme val="minor"/>
      </rPr>
      <t xml:space="preserve"> za preostale mjesece. </t>
    </r>
  </si>
  <si>
    <t>K</t>
  </si>
  <si>
    <t>O</t>
  </si>
  <si>
    <t>Ne</t>
  </si>
  <si>
    <r>
      <rPr>
        <b/>
        <i/>
        <sz val="10"/>
        <color theme="4" tint="-0.499984740745262"/>
        <rFont val="Century Gothic"/>
        <family val="2"/>
        <scheme val="minor"/>
      </rPr>
      <t>(Neobavezno)</t>
    </r>
    <r>
      <rPr>
        <b/>
        <sz val="10"/>
        <color theme="4" tint="-0.499984740745262"/>
        <rFont val="Century Gothic"/>
        <family val="2"/>
        <scheme val="minor"/>
      </rPr>
      <t xml:space="preserve"> Izmjena boja u cijeloj radnoj knjizi:</t>
    </r>
    <r>
      <rPr>
        <sz val="10"/>
        <color theme="1"/>
        <rFont val="Century Gothic"/>
        <family val="2"/>
        <scheme val="minor"/>
      </rPr>
      <t xml:space="preserve"> najprije dođite na posljednji list, </t>
    </r>
    <r>
      <rPr>
        <b/>
        <sz val="10"/>
        <color theme="1"/>
        <rFont val="Century Gothic"/>
        <family val="2"/>
        <scheme val="minor"/>
      </rPr>
      <t>Izvješće o nazočnosti učenika</t>
    </r>
    <r>
      <rPr>
        <sz val="10"/>
        <color theme="1"/>
        <rFont val="Century Gothic"/>
        <family val="2"/>
        <scheme val="minor"/>
      </rPr>
      <t xml:space="preserve">, a zatim na kartici </t>
    </r>
    <r>
      <rPr>
        <b/>
        <sz val="10"/>
        <color theme="1"/>
        <rFont val="Century Gothic"/>
        <family val="2"/>
        <scheme val="minor"/>
      </rPr>
      <t>Pregled</t>
    </r>
    <r>
      <rPr>
        <sz val="10"/>
        <color theme="1"/>
        <rFont val="Century Gothic"/>
        <family val="2"/>
        <scheme val="minor"/>
      </rPr>
      <t xml:space="preserve"> u grupi </t>
    </r>
    <r>
      <rPr>
        <b/>
        <sz val="10"/>
        <color theme="1"/>
        <rFont val="Century Gothic"/>
        <family val="2"/>
        <scheme val="minor"/>
      </rPr>
      <t>Promjene</t>
    </r>
    <r>
      <rPr>
        <sz val="10"/>
        <color theme="1"/>
        <rFont val="Century Gothic"/>
        <family val="2"/>
        <scheme val="minor"/>
      </rPr>
      <t xml:space="preserve"> kliknite </t>
    </r>
    <r>
      <rPr>
        <b/>
        <sz val="10"/>
        <color theme="1"/>
        <rFont val="Century Gothic"/>
        <family val="2"/>
        <scheme val="minor"/>
      </rPr>
      <t>Ukloni zaštitu lista</t>
    </r>
    <r>
      <rPr>
        <sz val="10"/>
        <color theme="1"/>
        <rFont val="Century Gothic"/>
        <family val="2"/>
        <scheme val="minor"/>
      </rPr>
      <t xml:space="preserve">. Zatim na kartici </t>
    </r>
    <r>
      <rPr>
        <b/>
        <sz val="10"/>
        <color theme="1"/>
        <rFont val="Century Gothic"/>
        <family val="2"/>
        <scheme val="minor"/>
      </rPr>
      <t>Izgled stranice</t>
    </r>
    <r>
      <rPr>
        <sz val="10"/>
        <color theme="1"/>
        <rFont val="Century Gothic"/>
        <family val="2"/>
        <scheme val="minor"/>
      </rPr>
      <t xml:space="preserve"> u grupi </t>
    </r>
    <r>
      <rPr>
        <b/>
        <sz val="10"/>
        <color theme="1"/>
        <rFont val="Century Gothic"/>
        <family val="2"/>
        <scheme val="minor"/>
      </rPr>
      <t>Teme</t>
    </r>
    <r>
      <rPr>
        <sz val="10"/>
        <color theme="1"/>
        <rFont val="Century Gothic"/>
        <family val="2"/>
        <scheme val="minor"/>
      </rPr>
      <t xml:space="preserve"> kliknite </t>
    </r>
    <r>
      <rPr>
        <b/>
        <sz val="10"/>
        <color theme="1"/>
        <rFont val="Century Gothic"/>
        <family val="2"/>
        <scheme val="minor"/>
      </rPr>
      <t>Boje</t>
    </r>
    <r>
      <rPr>
        <sz val="10"/>
        <color theme="1"/>
        <rFont val="Century Gothic"/>
        <family val="2"/>
        <scheme val="minor"/>
      </rPr>
      <t xml:space="preserve"> i iz galerije boja odaberite neki drugi skup boja teme. Kada promijenite boje i druge aspekte teme, vratite se na list </t>
    </r>
    <r>
      <rPr>
        <b/>
        <sz val="10"/>
        <color theme="1"/>
        <rFont val="Century Gothic"/>
        <family val="2"/>
        <scheme val="minor"/>
      </rPr>
      <t>Izvješće o nazočnosti učenika</t>
    </r>
    <r>
      <rPr>
        <sz val="10"/>
        <color theme="1"/>
        <rFont val="Century Gothic"/>
        <family val="2"/>
        <scheme val="minor"/>
      </rPr>
      <t xml:space="preserve"> i na kartici </t>
    </r>
    <r>
      <rPr>
        <b/>
        <sz val="10"/>
        <color theme="1"/>
        <rFont val="Century Gothic"/>
        <family val="2"/>
        <scheme val="minor"/>
      </rPr>
      <t>Pregled</t>
    </r>
    <r>
      <rPr>
        <sz val="10"/>
        <color theme="1"/>
        <rFont val="Century Gothic"/>
        <family val="2"/>
        <scheme val="minor"/>
      </rPr>
      <t xml:space="preserve"> u grupi </t>
    </r>
    <r>
      <rPr>
        <b/>
        <sz val="10"/>
        <color theme="1"/>
        <rFont val="Century Gothic"/>
        <family val="2"/>
        <scheme val="minor"/>
      </rPr>
      <t>Promjene</t>
    </r>
    <r>
      <rPr>
        <sz val="10"/>
        <color theme="1"/>
        <rFont val="Century Gothic"/>
        <family val="2"/>
        <scheme val="minor"/>
      </rPr>
      <t xml:space="preserve"> kliknite</t>
    </r>
    <r>
      <rPr>
        <b/>
        <sz val="10"/>
        <color theme="1"/>
        <rFont val="Century Gothic"/>
        <family val="2"/>
        <scheme val="minor"/>
      </rPr>
      <t xml:space="preserve"> Zaštiti list</t>
    </r>
    <r>
      <rPr>
        <sz val="10"/>
        <color theme="1"/>
        <rFont val="Century Gothic"/>
        <family val="2"/>
        <scheme val="minor"/>
      </rPr>
      <t xml:space="preserve">, a zatim kliknite </t>
    </r>
    <r>
      <rPr>
        <b/>
        <sz val="10"/>
        <color theme="1"/>
        <rFont val="Century Gothic"/>
        <family val="2"/>
        <scheme val="minor"/>
      </rPr>
      <t>U redu.</t>
    </r>
  </si>
  <si>
    <r>
      <rPr>
        <b/>
        <sz val="10"/>
        <color theme="1"/>
        <rFont val="Century Gothic"/>
        <family val="2"/>
        <scheme val="minor"/>
      </rPr>
      <t>Savjet:</t>
    </r>
    <r>
      <rPr>
        <sz val="10"/>
        <color theme="1"/>
        <rFont val="Century Gothic"/>
        <family val="2"/>
        <scheme val="minor"/>
      </rPr>
      <t xml:space="preserve"> Stvorite prilagođeni skup boja teme u skladu s bojama vaše škole! Da biste to učinili, na kartici </t>
    </r>
    <r>
      <rPr>
        <b/>
        <sz val="10"/>
        <color theme="1"/>
        <rFont val="Century Gothic"/>
        <family val="2"/>
        <scheme val="minor"/>
      </rPr>
      <t>Izgled stranice</t>
    </r>
    <r>
      <rPr>
        <sz val="10"/>
        <color theme="1"/>
        <rFont val="Century Gothic"/>
        <family val="2"/>
        <scheme val="minor"/>
      </rPr>
      <t xml:space="preserve"> u grupi </t>
    </r>
    <r>
      <rPr>
        <b/>
        <sz val="10"/>
        <color theme="1"/>
        <rFont val="Century Gothic"/>
        <family val="2"/>
        <scheme val="minor"/>
      </rPr>
      <t>Teme</t>
    </r>
    <r>
      <rPr>
        <sz val="10"/>
        <color theme="1"/>
        <rFont val="Century Gothic"/>
        <family val="2"/>
        <scheme val="minor"/>
      </rPr>
      <t xml:space="preserve"> kliknite </t>
    </r>
    <r>
      <rPr>
        <b/>
        <sz val="10"/>
        <color theme="1"/>
        <rFont val="Century Gothic"/>
        <family val="2"/>
        <scheme val="minor"/>
      </rPr>
      <t>Boje</t>
    </r>
    <r>
      <rPr>
        <sz val="10"/>
        <color theme="1"/>
        <rFont val="Century Gothic"/>
        <family val="2"/>
        <scheme val="minor"/>
      </rPr>
      <t xml:space="preserve"> , a zatim pri dnu galerije boja kliknite </t>
    </r>
    <r>
      <rPr>
        <b/>
        <sz val="10"/>
        <color theme="1"/>
        <rFont val="Century Gothic"/>
        <family val="2"/>
        <scheme val="minor"/>
      </rPr>
      <t>Stvori nove boje teme</t>
    </r>
    <r>
      <rPr>
        <sz val="10"/>
        <color theme="1"/>
        <rFont val="Century Gothic"/>
        <family val="2"/>
        <scheme val="minor"/>
      </rPr>
      <t xml:space="preserve">. Dodatne informacije o stvaranju prilagođenog skupa boja potražite u sljedećoj temi pomoći: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</si>
</sst>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lt;=9999999]###\-####;\(###\)\ ###\-####"/>
    <numFmt numFmtId="167" formatCode="0;0;;@"/>
    <numFmt numFmtId="168" formatCode="_)@"/>
  </numFmts>
  <fonts count="48" x14ac:knownFonts="1">
    <font>
      <sz val="10"/>
      <color theme="1"/>
      <name val="Century Gothic"/>
      <family val="2"/>
      <scheme val="minor"/>
    </font>
    <font>
      <sz val="11"/>
      <color theme="1"/>
      <name val="Century Gothic"/>
      <family val="2"/>
      <scheme val="minor"/>
    </font>
    <font>
      <sz val="10"/>
      <name val="Century Gothic"/>
      <family val="2"/>
    </font>
    <font>
      <b/>
      <sz val="12"/>
      <name val="Arial"/>
      <family val="2"/>
    </font>
    <font>
      <sz val="9"/>
      <name val="Century Gothic"/>
      <family val="2"/>
    </font>
    <font>
      <b/>
      <sz val="20"/>
      <name val="Century Gothic"/>
      <family val="1"/>
      <scheme val="major"/>
    </font>
    <font>
      <sz val="16"/>
      <name val="Century Gothic"/>
      <family val="1"/>
      <scheme val="maj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sz val="9"/>
      <name val="Century Gothic"/>
      <family val="1"/>
      <scheme val="major"/>
    </font>
    <font>
      <b/>
      <sz val="8"/>
      <color theme="0"/>
      <name val="Century Gothic"/>
      <family val="1"/>
      <scheme val="major"/>
    </font>
    <font>
      <sz val="9"/>
      <color theme="0"/>
      <name val="Century Gothic"/>
      <family val="1"/>
      <scheme val="major"/>
    </font>
    <font>
      <sz val="10"/>
      <color theme="1"/>
      <name val="Century Gothic"/>
      <family val="1"/>
      <scheme val="major"/>
    </font>
    <font>
      <b/>
      <sz val="9"/>
      <color theme="0"/>
      <name val="Century Gothic"/>
      <family val="1"/>
      <scheme val="major"/>
    </font>
    <font>
      <sz val="10"/>
      <name val="Century Gothic"/>
      <family val="2"/>
      <scheme val="minor"/>
    </font>
    <font>
      <b/>
      <sz val="12"/>
      <name val="Century Gothic"/>
      <family val="2"/>
      <scheme val="minor"/>
    </font>
    <font>
      <sz val="10"/>
      <name val="Century Gothic"/>
      <family val="1"/>
      <scheme val="major"/>
    </font>
    <font>
      <b/>
      <sz val="22"/>
      <color theme="0"/>
      <name val="Century Gothic"/>
      <family val="2"/>
      <scheme val="major"/>
    </font>
    <font>
      <b/>
      <sz val="16"/>
      <color theme="0"/>
      <name val="Century Gothic"/>
      <family val="2"/>
      <scheme val="minor"/>
    </font>
    <font>
      <sz val="9"/>
      <name val="Century Gothic"/>
      <family val="2"/>
      <scheme val="minor"/>
    </font>
    <font>
      <b/>
      <sz val="10"/>
      <color theme="1"/>
      <name val="Century Gothic"/>
      <family val="2"/>
      <scheme val="minor"/>
    </font>
    <font>
      <sz val="10"/>
      <color theme="1"/>
      <name val="Century Gothic"/>
      <family val="2"/>
      <scheme val="major"/>
    </font>
    <font>
      <b/>
      <sz val="11"/>
      <color indexed="9"/>
      <name val="Century Gothic"/>
      <family val="1"/>
      <scheme val="major"/>
    </font>
    <font>
      <sz val="9"/>
      <color theme="1"/>
      <name val="Century Gothic"/>
      <family val="2"/>
      <scheme val="minor"/>
    </font>
    <font>
      <b/>
      <sz val="18"/>
      <color theme="0"/>
      <name val="Century Gothic"/>
      <family val="2"/>
      <scheme val="minor"/>
    </font>
    <font>
      <b/>
      <sz val="16"/>
      <color theme="0"/>
      <name val="Century Gothic"/>
      <family val="1"/>
      <scheme val="major"/>
    </font>
    <font>
      <sz val="8"/>
      <color theme="1"/>
      <name val="Century Gothic"/>
      <family val="2"/>
      <scheme val="minor"/>
    </font>
    <font>
      <b/>
      <sz val="16"/>
      <color theme="0"/>
      <name val="Century Gothic"/>
      <family val="2"/>
      <scheme val="major"/>
    </font>
    <font>
      <b/>
      <i/>
      <sz val="14"/>
      <color theme="0"/>
      <name val="Century Gothic"/>
      <family val="2"/>
      <scheme val="major"/>
    </font>
    <font>
      <sz val="12"/>
      <color theme="3"/>
      <name val="Century Gothic"/>
      <family val="2"/>
      <scheme val="minor"/>
    </font>
    <font>
      <sz val="10"/>
      <color theme="4" tint="-0.499984740745262"/>
      <name val="Century Gothic"/>
      <family val="2"/>
      <scheme val="minor"/>
    </font>
    <font>
      <u/>
      <sz val="10"/>
      <color theme="10"/>
      <name val="Arial"/>
      <family val="2"/>
    </font>
    <font>
      <b/>
      <sz val="10"/>
      <color theme="4" tint="-0.499984740745262"/>
      <name val="Century Gothic"/>
      <family val="2"/>
      <scheme val="minor"/>
    </font>
    <font>
      <b/>
      <i/>
      <sz val="10"/>
      <color theme="4" tint="-0.499984740745262"/>
      <name val="Century Gothic"/>
      <family val="2"/>
      <scheme val="minor"/>
    </font>
    <font>
      <b/>
      <sz val="9"/>
      <color theme="4" tint="-0.499984740745262"/>
      <name val="Century Gothic"/>
      <family val="1"/>
      <scheme val="major"/>
    </font>
    <font>
      <sz val="9"/>
      <name val="Century Gothic"/>
      <family val="1"/>
      <scheme val="minor"/>
    </font>
    <font>
      <b/>
      <sz val="9"/>
      <color theme="1" tint="0.14996795556505021"/>
      <name val="Century Gothic"/>
      <family val="1"/>
      <scheme val="major"/>
    </font>
    <font>
      <sz val="9"/>
      <color theme="3" tint="-0.249977111117893"/>
      <name val="Century Gothic"/>
      <family val="1"/>
      <scheme val="major"/>
    </font>
    <font>
      <b/>
      <sz val="9"/>
      <color theme="3" tint="-0.249977111117893"/>
      <name val="Century Gothic"/>
      <family val="1"/>
      <scheme val="major"/>
    </font>
    <font>
      <sz val="9"/>
      <color theme="3" tint="-0.249977111117893"/>
      <name val="Century Gothic"/>
      <family val="1"/>
      <scheme val="minor"/>
    </font>
    <font>
      <sz val="9"/>
      <color theme="1"/>
      <name val="Century Gothic"/>
      <family val="1"/>
      <scheme val="minor"/>
    </font>
    <font>
      <b/>
      <sz val="9"/>
      <color theme="1" tint="0.14996795556505021"/>
      <name val="Century Gothic"/>
      <family val="1"/>
      <scheme val="minor"/>
    </font>
    <font>
      <b/>
      <sz val="8"/>
      <name val="Century Gothic"/>
      <family val="2"/>
      <scheme val="major"/>
    </font>
    <font>
      <b/>
      <sz val="10"/>
      <color theme="0"/>
      <name val="Century Gothic"/>
      <family val="2"/>
      <scheme val="minor"/>
    </font>
    <font>
      <sz val="10"/>
      <color theme="3" tint="-0.24994659260841701"/>
      <name val="Century Gothic"/>
      <family val="2"/>
      <scheme val="minor"/>
    </font>
    <font>
      <sz val="10"/>
      <color theme="1"/>
      <name val="Century Gothic"/>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7">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
      <left style="thin">
        <color theme="3"/>
      </left>
      <right style="thin">
        <color theme="3"/>
      </right>
      <top style="thin">
        <color theme="4" tint="-0.499984740745262"/>
      </top>
      <bottom style="medium">
        <color theme="4" tint="-0.499984740745262"/>
      </bottom>
      <diagonal/>
    </border>
  </borders>
  <cellStyleXfs count="13">
    <xf numFmtId="0" fontId="0" fillId="0" borderId="0"/>
    <xf numFmtId="0" fontId="19" fillId="0" borderId="0" applyNumberFormat="0" applyFill="0" applyBorder="0" applyAlignment="0" applyProtection="0"/>
    <xf numFmtId="0" fontId="7" fillId="3" borderId="2">
      <alignment vertical="center"/>
    </xf>
    <xf numFmtId="0" fontId="8" fillId="0" borderId="2">
      <alignment horizontal="left" vertical="center" wrapText="1"/>
      <protection locked="0"/>
    </xf>
    <xf numFmtId="165" fontId="8" fillId="0" borderId="2">
      <alignment horizontal="left" vertical="center" wrapText="1"/>
      <protection locked="0"/>
    </xf>
    <xf numFmtId="166" fontId="8" fillId="0" borderId="2">
      <alignment horizontal="left" vertical="center" wrapText="1"/>
      <protection locked="0"/>
    </xf>
    <xf numFmtId="0" fontId="9" fillId="4" borderId="3" applyBorder="0">
      <alignment horizontal="center" vertical="center"/>
    </xf>
    <xf numFmtId="1" fontId="9" fillId="4" borderId="2">
      <alignment horizontal="center" vertical="center"/>
    </xf>
    <xf numFmtId="0" fontId="10" fillId="5" borderId="2">
      <alignment horizontal="center" vertical="center"/>
      <protection locked="0"/>
    </xf>
    <xf numFmtId="0" fontId="10" fillId="6" borderId="2">
      <alignment horizontal="center" vertical="center"/>
    </xf>
    <xf numFmtId="0" fontId="20"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cellStyleXfs>
  <cellXfs count="148">
    <xf numFmtId="0" fontId="0" fillId="0" borderId="0" xfId="0"/>
    <xf numFmtId="0" fontId="2" fillId="0" borderId="0" xfId="0" applyFont="1" applyFill="1" applyAlignment="1">
      <alignment vertical="center"/>
    </xf>
    <xf numFmtId="0" fontId="4" fillId="0" borderId="0" xfId="0" applyFont="1"/>
    <xf numFmtId="0" fontId="0"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applyAlignment="1">
      <alignment horizontal="left"/>
    </xf>
    <xf numFmtId="0" fontId="0" fillId="0" borderId="0" xfId="0" applyAlignment="1">
      <alignment horizontal="center" wrapText="1"/>
    </xf>
    <xf numFmtId="14" fontId="0" fillId="0" borderId="0" xfId="0" applyNumberFormat="1" applyAlignment="1">
      <alignment horizontal="center"/>
    </xf>
    <xf numFmtId="166" fontId="0" fillId="0" borderId="0" xfId="0" applyNumberFormat="1" applyAlignment="1">
      <alignment horizontal="left"/>
    </xf>
    <xf numFmtId="0" fontId="0" fillId="0" borderId="0" xfId="0" applyProtection="1"/>
    <xf numFmtId="166" fontId="0" fillId="0" borderId="0" xfId="0" applyNumberFormat="1" applyAlignment="1">
      <alignment horizontal="center"/>
    </xf>
    <xf numFmtId="167" fontId="0" fillId="0" borderId="0" xfId="0" applyNumberFormat="1"/>
    <xf numFmtId="164" fontId="0" fillId="0" borderId="0" xfId="0" applyNumberFormat="1" applyFont="1" applyFill="1" applyBorder="1" applyAlignment="1" applyProtection="1">
      <alignment horizontal="center" vertical="center"/>
      <protection locked="0"/>
    </xf>
    <xf numFmtId="167"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Protection="1">
      <protection locked="0"/>
    </xf>
    <xf numFmtId="49"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Border="1" applyAlignment="1">
      <alignment vertical="center"/>
    </xf>
    <xf numFmtId="0" fontId="16" fillId="0"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16" fillId="0" borderId="0" xfId="0" applyFont="1" applyFill="1" applyAlignment="1">
      <alignment horizontal="center" vertical="center"/>
    </xf>
    <xf numFmtId="164" fontId="0" fillId="0" borderId="0" xfId="0" applyNumberFormat="1" applyAlignment="1">
      <alignment horizontal="center"/>
    </xf>
    <xf numFmtId="49" fontId="19" fillId="7" borderId="0" xfId="1" applyNumberFormat="1" applyFill="1" applyBorder="1" applyAlignment="1">
      <alignment vertical="center"/>
    </xf>
    <xf numFmtId="0" fontId="2" fillId="7" borderId="0" xfId="0" applyFont="1" applyFill="1" applyAlignment="1">
      <alignment vertical="center"/>
    </xf>
    <xf numFmtId="0" fontId="0" fillId="7" borderId="0" xfId="0" applyFill="1" applyBorder="1" applyAlignment="1">
      <alignment vertical="center"/>
    </xf>
    <xf numFmtId="0" fontId="3" fillId="7" borderId="0" xfId="0" applyFont="1" applyFill="1" applyBorder="1" applyAlignment="1">
      <alignment vertical="center"/>
    </xf>
    <xf numFmtId="0" fontId="2" fillId="7" borderId="0" xfId="0" applyFont="1" applyFill="1" applyAlignment="1">
      <alignment horizontal="center" vertical="center"/>
    </xf>
    <xf numFmtId="0" fontId="13" fillId="7" borderId="1" xfId="0" applyFont="1" applyFill="1" applyBorder="1" applyAlignment="1">
      <alignment horizontal="center"/>
    </xf>
    <xf numFmtId="0" fontId="0" fillId="7" borderId="0" xfId="0" applyFill="1"/>
    <xf numFmtId="0" fontId="21" fillId="0" borderId="0" xfId="0" applyFont="1" applyFill="1" applyAlignment="1">
      <alignment horizontal="right" vertical="center"/>
    </xf>
    <xf numFmtId="49" fontId="0" fillId="0" borderId="0" xfId="0" applyNumberFormat="1" applyFont="1" applyFill="1" applyBorder="1" applyAlignment="1">
      <alignment horizontal="left" vertical="center"/>
    </xf>
    <xf numFmtId="0" fontId="0" fillId="0" borderId="0" xfId="0" applyFont="1" applyFill="1" applyBorder="1" applyProtection="1">
      <protection locked="0"/>
    </xf>
    <xf numFmtId="164" fontId="0" fillId="0" borderId="0" xfId="0" applyNumberFormat="1" applyFont="1" applyFill="1" applyBorder="1"/>
    <xf numFmtId="164" fontId="0" fillId="0" borderId="0" xfId="0" applyNumberFormat="1" applyFont="1" applyFill="1" applyBorder="1" applyAlignment="1">
      <alignment horizontal="center"/>
    </xf>
    <xf numFmtId="0" fontId="23" fillId="0" borderId="0" xfId="0" applyFont="1" applyFill="1" applyBorder="1" applyAlignment="1">
      <alignment horizontal="left" vertical="center"/>
    </xf>
    <xf numFmtId="0" fontId="25" fillId="11" borderId="0" xfId="0" applyFont="1" applyFill="1" applyBorder="1" applyAlignment="1">
      <alignment horizontal="center" vertical="center"/>
    </xf>
    <xf numFmtId="0" fontId="25" fillId="9"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0" borderId="0" xfId="0" applyFont="1" applyFill="1" applyBorder="1" applyAlignment="1">
      <alignment horizontal="center" vertical="center"/>
    </xf>
    <xf numFmtId="0" fontId="25" fillId="12" borderId="0" xfId="0" applyFont="1" applyFill="1" applyBorder="1" applyAlignment="1">
      <alignment horizontal="center" vertical="center"/>
    </xf>
    <xf numFmtId="0" fontId="25" fillId="0" borderId="0" xfId="0" applyFont="1" applyBorder="1" applyAlignment="1">
      <alignment vertical="center"/>
    </xf>
    <xf numFmtId="0" fontId="26" fillId="7" borderId="0" xfId="0" applyFont="1" applyFill="1" applyBorder="1" applyAlignment="1">
      <alignment horizontal="right" vertical="center"/>
    </xf>
    <xf numFmtId="0" fontId="26" fillId="7" borderId="0" xfId="0" applyFont="1" applyFill="1" applyBorder="1" applyAlignment="1">
      <alignment horizontal="center" vertical="center"/>
    </xf>
    <xf numFmtId="0" fontId="25" fillId="0" borderId="0" xfId="0" applyFont="1" applyAlignment="1">
      <alignment vertical="center"/>
    </xf>
    <xf numFmtId="0" fontId="11" fillId="7" borderId="7" xfId="0" applyFont="1" applyFill="1" applyBorder="1"/>
    <xf numFmtId="17" fontId="24" fillId="7" borderId="4" xfId="0" applyNumberFormat="1" applyFont="1" applyFill="1" applyBorder="1" applyAlignment="1">
      <alignment horizontal="left" vertical="center"/>
    </xf>
    <xf numFmtId="0" fontId="5" fillId="7" borderId="0" xfId="0" applyFont="1" applyFill="1" applyBorder="1" applyAlignment="1" applyProtection="1">
      <alignment vertical="center"/>
    </xf>
    <xf numFmtId="0" fontId="6" fillId="7" borderId="0" xfId="0" applyFont="1" applyFill="1" applyBorder="1" applyAlignment="1" applyProtection="1">
      <alignment horizontal="right" vertical="center"/>
    </xf>
    <xf numFmtId="0" fontId="0" fillId="7" borderId="0" xfId="0" applyFill="1" applyProtection="1"/>
    <xf numFmtId="0" fontId="19" fillId="7" borderId="0" xfId="1" applyFill="1" applyBorder="1" applyAlignment="1" applyProtection="1">
      <alignment vertical="center"/>
    </xf>
    <xf numFmtId="167" fontId="8" fillId="0" borderId="0" xfId="3" applyNumberFormat="1" applyBorder="1" applyAlignment="1" applyProtection="1">
      <alignment horizontal="left" vertical="center" wrapText="1" indent="1"/>
    </xf>
    <xf numFmtId="166" fontId="8" fillId="0" borderId="0" xfId="5" applyBorder="1" applyAlignment="1" applyProtection="1">
      <alignment horizontal="left" vertical="center" wrapText="1" indent="1"/>
    </xf>
    <xf numFmtId="0" fontId="25" fillId="0" borderId="0" xfId="0" applyFont="1" applyAlignment="1">
      <alignment horizontal="left" vertical="center"/>
    </xf>
    <xf numFmtId="0" fontId="28" fillId="0" borderId="0" xfId="0" applyFont="1"/>
    <xf numFmtId="0" fontId="28" fillId="11" borderId="0" xfId="0" applyFont="1" applyFill="1" applyAlignment="1">
      <alignment horizontal="center"/>
    </xf>
    <xf numFmtId="0" fontId="28" fillId="9" borderId="0" xfId="0" applyFont="1" applyFill="1" applyAlignment="1">
      <alignment horizontal="center"/>
    </xf>
    <xf numFmtId="0" fontId="28" fillId="8" borderId="0" xfId="0" applyFont="1" applyFill="1" applyAlignment="1">
      <alignment horizontal="center"/>
    </xf>
    <xf numFmtId="0" fontId="28" fillId="0" borderId="0" xfId="0" applyFont="1" applyProtection="1"/>
    <xf numFmtId="0" fontId="28" fillId="10" borderId="0" xfId="0" applyFont="1" applyFill="1" applyAlignment="1">
      <alignment horizontal="center"/>
    </xf>
    <xf numFmtId="0" fontId="28" fillId="12" borderId="0" xfId="0" applyFont="1" applyFill="1" applyAlignment="1">
      <alignment horizontal="center"/>
    </xf>
    <xf numFmtId="167" fontId="10" fillId="0" borderId="0" xfId="3" applyNumberFormat="1" applyFont="1" applyBorder="1" applyAlignment="1" applyProtection="1">
      <alignment horizontal="left"/>
    </xf>
    <xf numFmtId="167" fontId="10" fillId="0" borderId="0" xfId="3" applyNumberFormat="1" applyFont="1" applyBorder="1" applyAlignment="1" applyProtection="1">
      <alignment horizontal="left" vertical="center" wrapText="1" indent="1"/>
    </xf>
    <xf numFmtId="166" fontId="10" fillId="0" borderId="0" xfId="5" applyFont="1" applyBorder="1" applyAlignment="1" applyProtection="1">
      <alignment horizontal="left" vertical="center" wrapText="1" indent="1"/>
    </xf>
    <xf numFmtId="167" fontId="29" fillId="7" borderId="0" xfId="1" applyNumberFormat="1" applyFont="1" applyFill="1" applyBorder="1" applyAlignment="1" applyProtection="1">
      <alignment vertical="center"/>
    </xf>
    <xf numFmtId="0" fontId="30" fillId="7" borderId="0" xfId="1" applyFont="1" applyFill="1" applyBorder="1" applyAlignment="1" applyProtection="1">
      <alignment horizontal="left" vertical="center" indent="1"/>
    </xf>
    <xf numFmtId="0" fontId="1" fillId="7" borderId="0" xfId="0" applyFont="1" applyFill="1"/>
    <xf numFmtId="0" fontId="0" fillId="0" borderId="0" xfId="0" applyAlignment="1">
      <alignment horizontal="center" vertical="center" wrapText="1"/>
    </xf>
    <xf numFmtId="0" fontId="0" fillId="0" borderId="0" xfId="0" applyAlignment="1">
      <alignment horizontal="left" vertical="center" wrapText="1"/>
    </xf>
    <xf numFmtId="0" fontId="19" fillId="7" borderId="0" xfId="1" applyFill="1" applyAlignment="1">
      <alignment horizontal="left" vertical="center" indent="1"/>
    </xf>
    <xf numFmtId="0" fontId="31"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xf>
    <xf numFmtId="0" fontId="0" fillId="0" borderId="0" xfId="0" applyFill="1"/>
    <xf numFmtId="0" fontId="0" fillId="0" borderId="0" xfId="0" applyAlignment="1">
      <alignment vertical="center" wrapText="1"/>
    </xf>
    <xf numFmtId="0" fontId="31" fillId="0" borderId="0" xfId="11" applyAlignment="1">
      <alignment vertical="top"/>
    </xf>
    <xf numFmtId="0" fontId="19" fillId="7" borderId="0" xfId="1" applyFont="1" applyFill="1" applyAlignment="1">
      <alignment horizontal="left" vertical="center" indent="1"/>
    </xf>
    <xf numFmtId="0" fontId="0" fillId="0" borderId="0" xfId="0" applyAlignment="1">
      <alignment wrapText="1"/>
    </xf>
    <xf numFmtId="168" fontId="36" fillId="2" borderId="9" xfId="2" applyNumberFormat="1" applyFont="1" applyFill="1" applyBorder="1" applyAlignment="1" applyProtection="1">
      <alignment vertical="center"/>
    </xf>
    <xf numFmtId="168" fontId="36" fillId="2" borderId="10" xfId="2" applyNumberFormat="1" applyFont="1" applyFill="1" applyBorder="1" applyAlignment="1" applyProtection="1">
      <alignment vertical="center"/>
    </xf>
    <xf numFmtId="0" fontId="37" fillId="0" borderId="8" xfId="3" applyFont="1" applyBorder="1" applyAlignment="1" applyProtection="1">
      <alignment horizontal="center" vertical="center" wrapText="1"/>
      <protection locked="0"/>
    </xf>
    <xf numFmtId="0" fontId="39" fillId="2" borderId="12" xfId="0" applyFont="1" applyFill="1" applyBorder="1" applyAlignment="1" applyProtection="1">
      <alignment horizontal="center" vertical="center"/>
    </xf>
    <xf numFmtId="164" fontId="41" fillId="0" borderId="8" xfId="8" applyNumberFormat="1" applyFont="1" applyFill="1" applyBorder="1" applyProtection="1">
      <alignment horizontal="center" vertical="center"/>
    </xf>
    <xf numFmtId="164" fontId="39" fillId="2" borderId="8" xfId="0" applyNumberFormat="1" applyFont="1" applyFill="1" applyBorder="1" applyAlignment="1" applyProtection="1">
      <alignment horizontal="center" vertical="center"/>
    </xf>
    <xf numFmtId="0" fontId="42" fillId="0" borderId="0" xfId="0" applyFont="1" applyProtection="1"/>
    <xf numFmtId="0" fontId="37" fillId="0" borderId="0" xfId="0" applyFont="1" applyFill="1" applyBorder="1" applyProtection="1"/>
    <xf numFmtId="164" fontId="40" fillId="0" borderId="8" xfId="7" applyNumberFormat="1" applyFont="1" applyFill="1" applyBorder="1" applyProtection="1">
      <alignment horizontal="center" vertical="center"/>
    </xf>
    <xf numFmtId="0" fontId="36" fillId="2" borderId="8" xfId="2" applyNumberFormat="1" applyFont="1" applyFill="1" applyBorder="1" applyAlignment="1" applyProtection="1">
      <alignment vertical="center"/>
    </xf>
    <xf numFmtId="0" fontId="44" fillId="11" borderId="13" xfId="0" applyFont="1" applyFill="1" applyBorder="1" applyAlignment="1" applyProtection="1">
      <alignment horizontal="center" vertical="center"/>
    </xf>
    <xf numFmtId="0" fontId="44" fillId="9" borderId="14" xfId="0" applyFont="1" applyFill="1" applyBorder="1" applyAlignment="1" applyProtection="1">
      <alignment horizontal="center" vertical="center"/>
    </xf>
    <xf numFmtId="0" fontId="44" fillId="8" borderId="14" xfId="0" applyFont="1" applyFill="1" applyBorder="1" applyAlignment="1" applyProtection="1">
      <alignment horizontal="center" vertical="center"/>
    </xf>
    <xf numFmtId="0" fontId="44" fillId="10" borderId="14" xfId="0" applyFont="1" applyFill="1" applyBorder="1" applyAlignment="1" applyProtection="1">
      <alignment horizontal="center" vertical="center"/>
    </xf>
    <xf numFmtId="0" fontId="19" fillId="7" borderId="0" xfId="1" applyNumberFormat="1" applyFill="1" applyBorder="1" applyAlignment="1">
      <alignment vertical="center"/>
    </xf>
    <xf numFmtId="0" fontId="0" fillId="0" borderId="0" xfId="0" applyFont="1" applyFill="1" applyBorder="1" applyAlignment="1">
      <alignment vertical="center" wrapText="1"/>
    </xf>
    <xf numFmtId="0" fontId="14" fillId="0" borderId="0" xfId="0" applyFont="1" applyFill="1" applyBorder="1" applyAlignment="1">
      <alignment vertical="center" wrapText="1"/>
    </xf>
    <xf numFmtId="0" fontId="45" fillId="7" borderId="16" xfId="0" applyFont="1" applyFill="1" applyBorder="1" applyAlignment="1">
      <alignment horizontal="center" vertical="center" wrapText="1"/>
    </xf>
    <xf numFmtId="0" fontId="45" fillId="7" borderId="16" xfId="0" applyFont="1" applyFill="1" applyBorder="1" applyAlignment="1">
      <alignment horizontal="left" vertical="center" wrapText="1"/>
    </xf>
    <xf numFmtId="0" fontId="46" fillId="0" borderId="8" xfId="0" applyFont="1" applyFill="1" applyBorder="1" applyAlignment="1">
      <alignment horizontal="left"/>
    </xf>
    <xf numFmtId="0" fontId="46" fillId="0" borderId="8" xfId="0" applyFont="1" applyFill="1" applyBorder="1"/>
    <xf numFmtId="0" fontId="46" fillId="0" borderId="8" xfId="0" applyFont="1" applyFill="1" applyBorder="1" applyAlignment="1">
      <alignment horizontal="center"/>
    </xf>
    <xf numFmtId="0" fontId="46" fillId="2" borderId="8" xfId="0" applyFont="1" applyFill="1" applyBorder="1" applyAlignment="1">
      <alignment horizontal="left"/>
    </xf>
    <xf numFmtId="0" fontId="46" fillId="2" borderId="8" xfId="0" applyFont="1" applyFill="1" applyBorder="1"/>
    <xf numFmtId="0" fontId="46" fillId="2" borderId="8" xfId="0" applyFont="1" applyFill="1" applyBorder="1" applyAlignment="1">
      <alignment horizontal="center"/>
    </xf>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33" fillId="0" borderId="0" xfId="12" quotePrefix="1" applyAlignment="1">
      <alignment vertical="top" wrapText="1"/>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1" xfId="0" applyFont="1" applyFill="1" applyBorder="1" applyAlignment="1">
      <alignment horizontal="center"/>
    </xf>
    <xf numFmtId="168" fontId="36" fillId="2" borderId="8" xfId="2" applyNumberFormat="1" applyFont="1" applyFill="1" applyBorder="1" applyProtection="1">
      <alignment vertical="center"/>
    </xf>
    <xf numFmtId="167" fontId="37" fillId="0" borderId="8" xfId="3" applyNumberFormat="1" applyFont="1" applyBorder="1" applyAlignment="1" applyProtection="1">
      <alignment horizontal="left" vertical="center" wrapText="1" indent="1"/>
    </xf>
    <xf numFmtId="166" fontId="37" fillId="0" borderId="8" xfId="5" applyFont="1" applyBorder="1" applyAlignment="1" applyProtection="1">
      <alignment horizontal="left" vertical="center" wrapText="1" indent="1"/>
    </xf>
    <xf numFmtId="167" fontId="37" fillId="0" borderId="8" xfId="3" applyNumberFormat="1" applyFont="1" applyBorder="1" applyAlignment="1" applyProtection="1">
      <alignment horizontal="center" vertical="center" wrapText="1"/>
    </xf>
    <xf numFmtId="14" fontId="37" fillId="0" borderId="8" xfId="4" applyNumberFormat="1" applyFont="1" applyBorder="1" applyAlignment="1" applyProtection="1">
      <alignment horizontal="center" vertical="center" wrapText="1"/>
    </xf>
    <xf numFmtId="0" fontId="37" fillId="0" borderId="8" xfId="3" applyFont="1" applyBorder="1" applyAlignment="1" applyProtection="1">
      <alignment horizontal="left" vertical="center" wrapText="1" indent="1"/>
      <protection locked="0"/>
    </xf>
    <xf numFmtId="168" fontId="36" fillId="2" borderId="8" xfId="2" applyNumberFormat="1" applyFont="1" applyFill="1" applyBorder="1" applyAlignment="1" applyProtection="1">
      <alignment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36" fillId="2" borderId="8" xfId="2" applyNumberFormat="1" applyFont="1" applyFill="1" applyBorder="1" applyProtection="1">
      <alignment vertical="center"/>
    </xf>
    <xf numFmtId="0" fontId="37" fillId="0" borderId="8" xfId="3" applyFont="1" applyBorder="1" applyAlignment="1" applyProtection="1">
      <alignment horizontal="center" vertical="center" wrapText="1"/>
      <protection locked="0"/>
    </xf>
    <xf numFmtId="0" fontId="12" fillId="7" borderId="0" xfId="0" applyFont="1" applyFill="1" applyBorder="1" applyAlignment="1" applyProtection="1">
      <alignment horizontal="center" vertical="center"/>
    </xf>
    <xf numFmtId="0" fontId="38" fillId="2" borderId="12" xfId="6" applyFont="1" applyFill="1" applyBorder="1" applyProtection="1">
      <alignment horizontal="center" vertical="center"/>
    </xf>
    <xf numFmtId="0" fontId="38" fillId="2" borderId="8" xfId="6" applyFont="1" applyFill="1" applyBorder="1" applyProtection="1">
      <alignment horizontal="center" vertical="center"/>
    </xf>
    <xf numFmtId="164" fontId="40" fillId="0" borderId="12" xfId="7" applyNumberFormat="1" applyFont="1" applyFill="1" applyBorder="1" applyProtection="1">
      <alignment horizontal="center" vertical="center"/>
    </xf>
    <xf numFmtId="164" fontId="40" fillId="0" borderId="8" xfId="7" applyNumberFormat="1" applyFont="1" applyFill="1" applyBorder="1" applyProtection="1">
      <alignment horizontal="center" vertical="center"/>
    </xf>
    <xf numFmtId="164" fontId="40" fillId="0" borderId="15" xfId="7" applyNumberFormat="1" applyFont="1" applyFill="1" applyBorder="1" applyProtection="1">
      <alignment horizontal="center" vertical="center"/>
    </xf>
    <xf numFmtId="0" fontId="43" fillId="0" borderId="0" xfId="0" applyFont="1" applyFill="1" applyBorder="1" applyAlignment="1" applyProtection="1">
      <alignment horizontal="right" vertical="center"/>
    </xf>
    <xf numFmtId="0" fontId="38" fillId="2" borderId="15" xfId="6" applyFont="1" applyFill="1" applyBorder="1" applyProtection="1">
      <alignment horizontal="center" vertical="center"/>
    </xf>
    <xf numFmtId="0" fontId="47" fillId="0" borderId="0" xfId="0" applyFont="1" applyFill="1" applyBorder="1" applyAlignment="1">
      <alignment horizontal="center" vertical="center"/>
    </xf>
    <xf numFmtId="0" fontId="47" fillId="0" borderId="0" xfId="0" applyFont="1" applyFill="1" applyBorder="1" applyAlignment="1">
      <alignment horizontal="left" vertical="center"/>
    </xf>
    <xf numFmtId="164" fontId="47" fillId="0" borderId="0" xfId="0" applyNumberFormat="1" applyFont="1" applyFill="1" applyBorder="1" applyAlignment="1">
      <alignment horizontal="center" vertical="center"/>
    </xf>
    <xf numFmtId="49" fontId="0" fillId="11" borderId="0" xfId="0" applyNumberFormat="1" applyFont="1" applyFill="1" applyBorder="1" applyAlignment="1">
      <alignment horizontal="center" vertical="center"/>
    </xf>
    <xf numFmtId="0" fontId="0" fillId="10" borderId="0" xfId="0" applyFont="1" applyFill="1" applyBorder="1" applyAlignment="1">
      <alignment horizontal="center" vertical="center"/>
    </xf>
    <xf numFmtId="0" fontId="18" fillId="10" borderId="0" xfId="0" applyFont="1" applyFill="1" applyBorder="1" applyAlignment="1">
      <alignment horizontal="center" vertical="center"/>
    </xf>
  </cellXfs>
  <cellStyles count="13">
    <cellStyle name="Attendance Totals" xfId="7"/>
    <cellStyle name="Birthdate" xfId="4"/>
    <cellStyle name="Heading 1" xfId="10" builtinId="16" customBuiltin="1"/>
    <cellStyle name="Heading 2" xfId="11" builtinId="17" customBuiltin="1"/>
    <cellStyle name="Hyperlink" xfId="12" builtinId="8"/>
    <cellStyle name="Month" xfId="6"/>
    <cellStyle name="Normal" xfId="0" builtinId="0" customBuiltin="1"/>
    <cellStyle name="Phone Number" xfId="5"/>
    <cellStyle name="Student Information" xfId="2"/>
    <cellStyle name="Student Information - user entered" xfId="3"/>
    <cellStyle name="Title" xfId="1" builtinId="15" customBuiltin="1"/>
    <cellStyle name="Weekday" xfId="8"/>
    <cellStyle name="Weekend" xfId="9"/>
  </cellStyles>
  <dxfs count="999">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0" formatCode="General"/>
      <alignment horizontal="left" vertical="bottom" textRotation="0" wrapText="0" indent="0" justifyLastLine="0" shrinkToFit="0" readingOrder="0"/>
    </dxf>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alignment horizontal="center" vertical="center"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alignment horizontal="center" vertical="center" textRotation="0" wrapText="0" indent="0" justifyLastLine="0" shrinkToFit="0" readingOrder="0"/>
      <protection locked="0" hidden="0"/>
    </dxf>
    <dxf>
      <numFmt numFmtId="167" formatCode="0;0;;@"/>
    </dxf>
    <dxf>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numFmt numFmtId="164" formatCode="0;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numFmt numFmtId="164" formatCode="0;0;"/>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center" vertical="center" textRotation="0" wrapText="0" indent="0" justifyLastLine="0" shrinkToFit="0" readingOrder="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9" formatCode="d/m/yyyy"/>
      <alignment horizontal="center" vertical="bottom" textRotation="0" wrapText="0" indent="0" justifyLastLine="0" shrinkToFit="0" readingOrder="0"/>
    </dxf>
    <dxf>
      <font>
        <color theme="3" tint="-0.24994659260841701"/>
      </font>
      <fill>
        <patternFill patternType="none">
          <fgColor indexed="64"/>
          <bgColor indexed="65"/>
        </patternFill>
      </fill>
      <alignment horizontal="center" vertical="bottom" textRotation="0" wrapText="0" indent="0" justifyLastLine="0" shrinkToFit="0" readingOrder="0"/>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font>
        <color theme="3" tint="-0.24994659260841701"/>
      </font>
      <fill>
        <patternFill patternType="none">
          <fgColor indexed="64"/>
          <bgColor indexed="65"/>
        </patternFill>
      </fill>
      <alignment horizontal="left" vertical="bottom" textRotation="0" wrapText="0" indent="0" justifyLastLine="0" shrinkToFit="0" readingOrder="0"/>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font>
        <b val="0"/>
        <i val="0"/>
        <strike val="0"/>
        <condense val="0"/>
        <extend val="0"/>
        <outline val="0"/>
        <shadow val="0"/>
        <u val="none"/>
        <vertAlign val="baseline"/>
        <sz val="10"/>
        <color theme="3" tint="-0.24994659260841701"/>
        <name val="Century Gothic"/>
        <scheme val="minor"/>
      </font>
      <fill>
        <patternFill patternType="none">
          <fgColor indexed="64"/>
          <bgColor indexed="65"/>
        </patternFill>
      </fill>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font>
        <color theme="3" tint="-0.24994659260841701"/>
      </font>
      <fill>
        <patternFill patternType="none">
          <fgColor indexed="64"/>
          <bgColor indexed="65"/>
        </patternFill>
      </fill>
      <alignment horizontal="left" vertical="bottom" textRotation="0" wrapText="0" indent="0" justifyLastLine="0" shrinkToFit="0" readingOrder="0"/>
      <border diagonalUp="0" diagonalDown="0">
        <left style="thin">
          <color theme="3" tint="0.59996337778862885"/>
        </left>
        <right style="thin">
          <color theme="3" tint="0.59996337778862885"/>
        </right>
        <top style="thin">
          <color theme="3" tint="0.59996337778862885"/>
        </top>
        <bottom style="thin">
          <color theme="3" tint="0.59996337778862885"/>
        </bottom>
        <vertical/>
        <horizontal/>
      </border>
    </dxf>
    <dxf>
      <alignment horizontal="center" vertical="center" textRotation="0" wrapText="1" indent="0" justifyLastLine="0" shrinkToFit="0" readingOrder="0"/>
    </dxf>
    <dxf>
      <fill>
        <patternFill>
          <bgColor theme="4" tint="0.79998168889431442"/>
        </patternFill>
      </fill>
    </dxf>
    <dxf>
      <fill>
        <patternFill patternType="none">
          <fgColor indexed="64"/>
          <bgColor auto="1"/>
        </patternFill>
      </fill>
    </dxf>
    <dxf>
      <font>
        <b val="0"/>
        <i val="0"/>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98"/>
      <tableStyleElement type="headerRow" dxfId="997"/>
      <tableStyleElement type="totalRow" dxfId="996"/>
      <tableStyleElement type="firstRowStripe" dxfId="995"/>
      <tableStyleElement type="secondRowStripe" dxfId="994"/>
    </tableStyle>
    <tableStyle name="Student List" pivot="0" count="5">
      <tableStyleElement type="wholeTable" dxfId="993"/>
      <tableStyleElement type="headerRow" dxfId="992"/>
      <tableStyleElement type="totalRow" dxfId="991"/>
      <tableStyleElement type="firstRowStripe" dxfId="990"/>
      <tableStyleElement type="secondRowStripe" dxfId="989"/>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Spin" dx="16" fmlaLink="KalendarskaGodina" max="3000" min="2010" page="10" val="201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49" name="Strelica za pomicanje 1" descr="Calendar Year Spinner. Click the spinner to change the school calendar year or type the year in cell AM."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id="1" name="PopisUčenika" displayName="PopisUčenika" ref="B3:S8" totalsRowShown="0" headerRowDxfId="988">
  <autoFilter ref="B3:S8"/>
  <tableColumns count="18">
    <tableColumn id="1" name="Identifikacijski broj učenika" dataDxfId="987"/>
    <tableColumn id="2" name="Ime učenika" dataDxfId="986"/>
    <tableColumn id="3" name="Prezime učenika" dataDxfId="985"/>
    <tableColumn id="5" name="Spol" dataDxfId="984"/>
    <tableColumn id="6" name="Datum rođenja" dataDxfId="983"/>
    <tableColumn id="7" name="Roditelj ili skrbnik 1" dataDxfId="982"/>
    <tableColumn id="10" name="Odnos s roditeljem/skrbnikom 1" dataDxfId="981"/>
    <tableColumn id="9" name="Službeni broj roditelja/skrbnika 1" dataDxfId="980"/>
    <tableColumn id="8" name="Kućni broj roditelja/skrbnika 1" dataDxfId="979"/>
    <tableColumn id="18" name="Roditelj/skrbnik 2" dataDxfId="978"/>
    <tableColumn id="15" name="Odnos s roditeljem/skrbnikom 2" dataDxfId="977"/>
    <tableColumn id="16" name="Službeni broj roditelja/skrbnika 2" dataDxfId="976"/>
    <tableColumn id="17" name="Kućni broj roditelja/skrbnika 2" dataDxfId="975"/>
    <tableColumn id="13" name="Kontakt za hitne slučajeve" dataDxfId="974"/>
    <tableColumn id="12" name="Srodstvo s kontaktom za hitne slučajeve" dataDxfId="973"/>
    <tableColumn id="11" name="Službeni broj kontakta za hitne slučajeve" dataDxfId="972"/>
    <tableColumn id="14" name="Kućni broj kontakta za hitne slučajeve" dataDxfId="971"/>
    <tableColumn id="4" name="Ime i prezime učenika" dataDxfId="456">
      <calculatedColumnFormula>PopisUčenika[[#This Row],[Ime učenika]]&amp;" " &amp;PopisUčenika[[#This Row],[Prezime učenika]]</calculatedColumnFormula>
    </tableColumn>
  </tableColumns>
  <tableStyleInfo name="Student List" showFirstColumn="0" showLastColumn="0" showRowStripes="1" showColumnStripes="0"/>
  <extLst>
    <ext xmlns:x14="http://schemas.microsoft.com/office/spreadsheetml/2009/9/main" uri="{504A1905-F514-4f6f-8877-14C23A59335A}">
      <x14:table altText="Popis studenata" altTextSummary="Sadrži imena učenika, podatke za kontakt sa skrbnikom i podatke za kontakt u hitnim slučajevima za svakog učenika."/>
    </ext>
  </extLst>
</table>
</file>

<file path=xl/tables/table10.xml><?xml version="1.0" encoding="utf-8"?>
<table xmlns="http://schemas.openxmlformats.org/spreadsheetml/2006/main" id="9" name="NazočnostZaTravanj" displayName="NazočnostZaTravanj" ref="B6:AM12" totalsRowCount="1" headerRowDxfId="637" totalsRowDxfId="636">
  <tableColumns count="38">
    <tableColumn id="38" name="Identifikacijski broj učenika" dataDxfId="635" totalsRowDxfId="151"/>
    <tableColumn id="1" name="Ime učenika" totalsRowLabel="Ukupan broj dana izostanaka" dataDxfId="634" totalsRowDxfId="150">
      <calculatedColumnFormula>IFERROR(VLOOKUP(NazočnostZaTravanj[[#This Row],[Identifikacijski broj učenika]],PopisUčenika[],18,FALSE),"")</calculatedColumnFormula>
    </tableColumn>
    <tableColumn id="2" name="1" totalsRowFunction="custom" dataDxfId="633" totalsRowDxfId="149">
      <totalsRowFormula>COUNTIF(NazočnostZaTravanj[1],"N")+COUNTIF(NazočnostZaTravanj[1],"O")</totalsRowFormula>
    </tableColumn>
    <tableColumn id="3" name="2" totalsRowFunction="custom" dataDxfId="632" totalsRowDxfId="148">
      <totalsRowFormula>COUNTIF(NazočnostZaTravanj[2],"N")+COUNTIF(NazočnostZaTravanj[2],"O")</totalsRowFormula>
    </tableColumn>
    <tableColumn id="4" name="3" totalsRowFunction="custom" dataDxfId="631" totalsRowDxfId="147">
      <totalsRowFormula>COUNTIF(NazočnostZaTravanj[3],"N")+COUNTIF(NazočnostZaTravanj[3],"O")</totalsRowFormula>
    </tableColumn>
    <tableColumn id="5" name="4" totalsRowFunction="custom" dataDxfId="630" totalsRowDxfId="146">
      <totalsRowFormula>COUNTIF(NazočnostZaTravanj[4],"N")+COUNTIF(NazočnostZaTravanj[4],"O")</totalsRowFormula>
    </tableColumn>
    <tableColumn id="6" name="5" totalsRowFunction="custom" dataDxfId="629" totalsRowDxfId="145">
      <totalsRowFormula>COUNTIF(NazočnostZaTravanj[5],"N")+COUNTIF(NazočnostZaTravanj[5],"O")</totalsRowFormula>
    </tableColumn>
    <tableColumn id="7" name="6" totalsRowFunction="custom" dataDxfId="628" totalsRowDxfId="144">
      <totalsRowFormula>COUNTIF(NazočnostZaTravanj[6],"N")+COUNTIF(NazočnostZaTravanj[6],"O")</totalsRowFormula>
    </tableColumn>
    <tableColumn id="8" name="7" totalsRowFunction="custom" dataDxfId="627" totalsRowDxfId="143">
      <totalsRowFormula>COUNTIF(NazočnostZaTravanj[7],"N")+COUNTIF(NazočnostZaTravanj[7],"O")</totalsRowFormula>
    </tableColumn>
    <tableColumn id="9" name="8" totalsRowFunction="custom" dataDxfId="626" totalsRowDxfId="142">
      <totalsRowFormula>COUNTIF(NazočnostZaTravanj[8],"N")+COUNTIF(NazočnostZaTravanj[8],"O")</totalsRowFormula>
    </tableColumn>
    <tableColumn id="10" name="9" totalsRowFunction="custom" dataDxfId="625" totalsRowDxfId="141">
      <totalsRowFormula>COUNTIF(NazočnostZaTravanj[9],"N")+COUNTIF(NazočnostZaTravanj[9],"O")</totalsRowFormula>
    </tableColumn>
    <tableColumn id="11" name="10" totalsRowFunction="custom" dataDxfId="624" totalsRowDxfId="140">
      <totalsRowFormula>COUNTIF(NazočnostZaTravanj[10],"N")+COUNTIF(NazočnostZaTravanj[10],"O")</totalsRowFormula>
    </tableColumn>
    <tableColumn id="12" name="11" totalsRowFunction="custom" dataDxfId="623" totalsRowDxfId="139">
      <totalsRowFormula>COUNTIF(NazočnostZaTravanj[11],"N")+COUNTIF(NazočnostZaTravanj[11],"O")</totalsRowFormula>
    </tableColumn>
    <tableColumn id="13" name="12" totalsRowFunction="custom" dataDxfId="622" totalsRowDxfId="138">
      <totalsRowFormula>COUNTIF(NazočnostZaTravanj[12],"N")+COUNTIF(NazočnostZaTravanj[12],"O")</totalsRowFormula>
    </tableColumn>
    <tableColumn id="14" name="13" totalsRowFunction="custom" dataDxfId="621" totalsRowDxfId="137">
      <totalsRowFormula>COUNTIF(NazočnostZaTravanj[13],"N")+COUNTIF(NazočnostZaTravanj[13],"O")</totalsRowFormula>
    </tableColumn>
    <tableColumn id="15" name="14" totalsRowFunction="custom" dataDxfId="620" totalsRowDxfId="136">
      <totalsRowFormula>COUNTIF(NazočnostZaTravanj[14],"N")+COUNTIF(NazočnostZaTravanj[14],"O")</totalsRowFormula>
    </tableColumn>
    <tableColumn id="16" name="15" totalsRowFunction="custom" dataDxfId="619" totalsRowDxfId="135">
      <totalsRowFormula>COUNTIF(NazočnostZaTravanj[15],"N")+COUNTIF(NazočnostZaTravanj[15],"O")</totalsRowFormula>
    </tableColumn>
    <tableColumn id="17" name="16" totalsRowFunction="custom" dataDxfId="618" totalsRowDxfId="134">
      <totalsRowFormula>COUNTIF(NazočnostZaTravanj[16],"N")+COUNTIF(NazočnostZaTravanj[16],"O")</totalsRowFormula>
    </tableColumn>
    <tableColumn id="18" name="17" totalsRowFunction="custom" dataDxfId="617" totalsRowDxfId="133">
      <totalsRowFormula>COUNTIF(NazočnostZaTravanj[17],"N")+COUNTIF(NazočnostZaTravanj[17],"O")</totalsRowFormula>
    </tableColumn>
    <tableColumn id="19" name="18" totalsRowFunction="custom" dataDxfId="616" totalsRowDxfId="132">
      <totalsRowFormula>COUNTIF(NazočnostZaTravanj[18],"N")+COUNTIF(NazočnostZaTravanj[18],"O")</totalsRowFormula>
    </tableColumn>
    <tableColumn id="20" name="19" totalsRowFunction="custom" dataDxfId="615" totalsRowDxfId="131">
      <totalsRowFormula>COUNTIF(NazočnostZaTravanj[19],"N")+COUNTIF(NazočnostZaTravanj[19],"O")</totalsRowFormula>
    </tableColumn>
    <tableColumn id="21" name="20" totalsRowFunction="custom" dataDxfId="614" totalsRowDxfId="130">
      <totalsRowFormula>COUNTIF(NazočnostZaTravanj[20],"N")+COUNTIF(NazočnostZaTravanj[20],"O")</totalsRowFormula>
    </tableColumn>
    <tableColumn id="22" name="21" totalsRowFunction="custom" dataDxfId="613" totalsRowDxfId="129">
      <totalsRowFormula>COUNTIF(NazočnostZaTravanj[21],"N")+COUNTIF(NazočnostZaTravanj[21],"O")</totalsRowFormula>
    </tableColumn>
    <tableColumn id="23" name="22" totalsRowFunction="custom" dataDxfId="612" totalsRowDxfId="128">
      <totalsRowFormula>COUNTIF(NazočnostZaTravanj[22],"N")+COUNTIF(NazočnostZaTravanj[22],"O")</totalsRowFormula>
    </tableColumn>
    <tableColumn id="24" name="23" totalsRowFunction="custom" dataDxfId="611" totalsRowDxfId="127">
      <totalsRowFormula>COUNTIF(NazočnostZaTravanj[23],"N")+COUNTIF(NazočnostZaTravanj[23],"O")</totalsRowFormula>
    </tableColumn>
    <tableColumn id="25" name="24" totalsRowFunction="custom" dataDxfId="610" totalsRowDxfId="126">
      <totalsRowFormula>COUNTIF(NazočnostZaTravanj[24],"N")+COUNTIF(NazočnostZaTravanj[24],"O")</totalsRowFormula>
    </tableColumn>
    <tableColumn id="26" name="25" totalsRowFunction="custom" dataDxfId="609" totalsRowDxfId="125">
      <totalsRowFormula>COUNTIF(NazočnostZaTravanj[25],"N")+COUNTIF(NazočnostZaTravanj[25],"O")</totalsRowFormula>
    </tableColumn>
    <tableColumn id="27" name="26" totalsRowFunction="custom" dataDxfId="608" totalsRowDxfId="124">
      <totalsRowFormula>COUNTIF(NazočnostZaTravanj[26],"N")+COUNTIF(NazočnostZaTravanj[26],"O")</totalsRowFormula>
    </tableColumn>
    <tableColumn id="28" name="27" totalsRowFunction="custom" dataDxfId="607" totalsRowDxfId="123">
      <totalsRowFormula>COUNTIF(NazočnostZaTravanj[27],"N")+COUNTIF(NazočnostZaTravanj[27],"O")</totalsRowFormula>
    </tableColumn>
    <tableColumn id="29" name="28" totalsRowFunction="custom" dataDxfId="606" totalsRowDxfId="122">
      <totalsRowFormula>COUNTIF(NazočnostZaTravanj[28],"N")+COUNTIF(NazočnostZaTravanj[28],"O")</totalsRowFormula>
    </tableColumn>
    <tableColumn id="30" name="29" totalsRowFunction="custom" dataDxfId="605" totalsRowDxfId="121">
      <totalsRowFormula>COUNTIF(NazočnostZaTravanj[29],"N")+COUNTIF(NazočnostZaTravanj[29],"O")</totalsRowFormula>
    </tableColumn>
    <tableColumn id="31" name="30" totalsRowFunction="custom" dataDxfId="604" totalsRowDxfId="120">
      <totalsRowFormula>COUNTIF(NazočnostZaTravanj[30],"N")+COUNTIF(NazočnostZaTravanj[30],"O")</totalsRowFormula>
    </tableColumn>
    <tableColumn id="32" name=" " totalsRowFunction="custom" dataDxfId="603" totalsRowDxfId="119">
      <totalsRowFormula>COUNTIF(NazočnostZaTravanj[[ ]],"N")+COUNTIF(NazočnostZaTravanj[[ ]],"O")</totalsRowFormula>
    </tableColumn>
    <tableColumn id="35" name="K" totalsRowFunction="sum" dataDxfId="602" totalsRowDxfId="118">
      <calculatedColumnFormula>COUNTIF(NazočnostZaTravanj[[#This Row],[1]:[ ]],Šifra1)</calculatedColumnFormula>
    </tableColumn>
    <tableColumn id="34" name="O" totalsRowFunction="sum" dataDxfId="601" totalsRowDxfId="117">
      <calculatedColumnFormula>COUNTIF(NazočnostZaTravanj[[#This Row],[1]:[ ]],Šifra2)</calculatedColumnFormula>
    </tableColumn>
    <tableColumn id="37" name="N" totalsRowFunction="sum" dataDxfId="600" totalsRowDxfId="116">
      <calculatedColumnFormula>COUNTIF(NazočnostZaTravanj[[#This Row],[1]:[ ]],Šifra3)</calculatedColumnFormula>
    </tableColumn>
    <tableColumn id="36" name="P" totalsRowFunction="sum" dataDxfId="599" totalsRowDxfId="115">
      <calculatedColumnFormula>COUNTIF(NazočnostZaTravanj[[#This Row],[1]:[ ]],Šifra4)</calculatedColumnFormula>
    </tableColumn>
    <tableColumn id="33" name="Dani izostanaka" totalsRowFunction="sum" dataDxfId="598" totalsRowDxfId="114">
      <calculatedColumnFormula>SUM(NazočnostZaRujan[[#This Row],[O]:[N]])</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Evidencija nazočnosti za veljaču" altTextSummary="Evidentira nazočnost učenika, primjerice K = kašnjenje, O = opravdani, N = neopravdani, P = prisutan, N = nema škole, za travanj."/>
    </ext>
  </extLst>
</table>
</file>

<file path=xl/tables/table11.xml><?xml version="1.0" encoding="utf-8"?>
<table xmlns="http://schemas.openxmlformats.org/spreadsheetml/2006/main" id="11" name="NazočnostZaSvibanj" displayName="NazočnostZaSvibanj" ref="B6:AM12" totalsRowCount="1" headerRowDxfId="592" totalsRowDxfId="591">
  <tableColumns count="38">
    <tableColumn id="38" name="Identifikacijski broj učenika" dataDxfId="590" totalsRowDxfId="113"/>
    <tableColumn id="1" name="Ime učenika" totalsRowLabel="Ukupan broj dana izostanaka" dataDxfId="589" totalsRowDxfId="112">
      <calculatedColumnFormula>IFERROR(VLOOKUP(NazočnostZaSvibanj[[#This Row],[Identifikacijski broj učenika]],PopisUčenika[],18,FALSE),"")</calculatedColumnFormula>
    </tableColumn>
    <tableColumn id="2" name="1" totalsRowFunction="custom" dataDxfId="588" totalsRowDxfId="111">
      <totalsRowFormula>COUNTIF(NazočnostZaSvibanj[1],"N")+COUNTIF(NazočnostZaSvibanj[1],"O")</totalsRowFormula>
    </tableColumn>
    <tableColumn id="3" name="2" totalsRowFunction="custom" dataDxfId="587" totalsRowDxfId="110">
      <totalsRowFormula>COUNTIF(NazočnostZaSvibanj[2],"N")+COUNTIF(NazočnostZaSvibanj[2],"O")</totalsRowFormula>
    </tableColumn>
    <tableColumn id="4" name="3" totalsRowFunction="custom" dataDxfId="586" totalsRowDxfId="109">
      <totalsRowFormula>COUNTIF(NazočnostZaSvibanj[3],"N")+COUNTIF(NazočnostZaSvibanj[3],"O")</totalsRowFormula>
    </tableColumn>
    <tableColumn id="5" name="4" totalsRowFunction="custom" dataDxfId="585" totalsRowDxfId="108">
      <totalsRowFormula>COUNTIF(NazočnostZaSvibanj[4],"N")+COUNTIF(NazočnostZaSvibanj[4],"O")</totalsRowFormula>
    </tableColumn>
    <tableColumn id="6" name="5" totalsRowFunction="custom" dataDxfId="584" totalsRowDxfId="107">
      <totalsRowFormula>COUNTIF(NazočnostZaSvibanj[5],"N")+COUNTIF(NazočnostZaSvibanj[5],"O")</totalsRowFormula>
    </tableColumn>
    <tableColumn id="7" name="6" totalsRowFunction="custom" dataDxfId="583" totalsRowDxfId="106">
      <totalsRowFormula>COUNTIF(NazočnostZaSvibanj[6],"N")+COUNTIF(NazočnostZaSvibanj[6],"O")</totalsRowFormula>
    </tableColumn>
    <tableColumn id="8" name="7" totalsRowFunction="custom" dataDxfId="582" totalsRowDxfId="105">
      <totalsRowFormula>COUNTIF(NazočnostZaSvibanj[7],"N")+COUNTIF(NazočnostZaSvibanj[7],"O")</totalsRowFormula>
    </tableColumn>
    <tableColumn id="9" name="8" totalsRowFunction="custom" dataDxfId="581" totalsRowDxfId="104">
      <totalsRowFormula>COUNTIF(NazočnostZaSvibanj[8],"N")+COUNTIF(NazočnostZaSvibanj[8],"O")</totalsRowFormula>
    </tableColumn>
    <tableColumn id="10" name="9" totalsRowFunction="custom" dataDxfId="580" totalsRowDxfId="103">
      <totalsRowFormula>COUNTIF(NazočnostZaSvibanj[9],"N")+COUNTIF(NazočnostZaSvibanj[9],"O")</totalsRowFormula>
    </tableColumn>
    <tableColumn id="11" name="10" totalsRowFunction="custom" dataDxfId="579" totalsRowDxfId="102">
      <totalsRowFormula>COUNTIF(NazočnostZaSvibanj[10],"N")+COUNTIF(NazočnostZaSvibanj[10],"O")</totalsRowFormula>
    </tableColumn>
    <tableColumn id="12" name="11" totalsRowFunction="custom" dataDxfId="578" totalsRowDxfId="101">
      <totalsRowFormula>COUNTIF(NazočnostZaSvibanj[11],"N")+COUNTIF(NazočnostZaSvibanj[11],"O")</totalsRowFormula>
    </tableColumn>
    <tableColumn id="13" name="12" totalsRowFunction="custom" dataDxfId="577" totalsRowDxfId="100">
      <totalsRowFormula>COUNTIF(NazočnostZaSvibanj[12],"N")+COUNTIF(NazočnostZaSvibanj[12],"O")</totalsRowFormula>
    </tableColumn>
    <tableColumn id="14" name="13" totalsRowFunction="custom" dataDxfId="576" totalsRowDxfId="99">
      <totalsRowFormula>COUNTIF(NazočnostZaSvibanj[13],"N")+COUNTIF(NazočnostZaSvibanj[13],"O")</totalsRowFormula>
    </tableColumn>
    <tableColumn id="15" name="14" totalsRowFunction="custom" dataDxfId="575" totalsRowDxfId="98">
      <totalsRowFormula>COUNTIF(NazočnostZaSvibanj[14],"N")+COUNTIF(NazočnostZaSvibanj[14],"O")</totalsRowFormula>
    </tableColumn>
    <tableColumn id="16" name="15" totalsRowFunction="custom" dataDxfId="574" totalsRowDxfId="97">
      <totalsRowFormula>COUNTIF(NazočnostZaSvibanj[15],"N")+COUNTIF(NazočnostZaSvibanj[15],"O")</totalsRowFormula>
    </tableColumn>
    <tableColumn id="17" name="16" totalsRowFunction="custom" dataDxfId="573" totalsRowDxfId="96">
      <totalsRowFormula>COUNTIF(NazočnostZaSvibanj[16],"N")+COUNTIF(NazočnostZaSvibanj[16],"O")</totalsRowFormula>
    </tableColumn>
    <tableColumn id="18" name="17" totalsRowFunction="custom" dataDxfId="572" totalsRowDxfId="95">
      <totalsRowFormula>COUNTIF(NazočnostZaSvibanj[17],"N")+COUNTIF(NazočnostZaSvibanj[17],"O")</totalsRowFormula>
    </tableColumn>
    <tableColumn id="19" name="18" totalsRowFunction="custom" dataDxfId="571" totalsRowDxfId="94">
      <totalsRowFormula>COUNTIF(NazočnostZaSvibanj[18],"N")+COUNTIF(NazočnostZaSvibanj[18],"O")</totalsRowFormula>
    </tableColumn>
    <tableColumn id="20" name="19" totalsRowFunction="custom" dataDxfId="570" totalsRowDxfId="93">
      <totalsRowFormula>COUNTIF(NazočnostZaSvibanj[19],"N")+COUNTIF(NazočnostZaSvibanj[19],"O")</totalsRowFormula>
    </tableColumn>
    <tableColumn id="21" name="20" totalsRowFunction="custom" dataDxfId="569" totalsRowDxfId="92">
      <totalsRowFormula>COUNTIF(NazočnostZaSvibanj[20],"N")+COUNTIF(NazočnostZaSvibanj[20],"O")</totalsRowFormula>
    </tableColumn>
    <tableColumn id="22" name="21" totalsRowFunction="custom" dataDxfId="568" totalsRowDxfId="91">
      <totalsRowFormula>COUNTIF(NazočnostZaSvibanj[21],"N")+COUNTIF(NazočnostZaSvibanj[21],"O")</totalsRowFormula>
    </tableColumn>
    <tableColumn id="23" name="22" totalsRowFunction="custom" dataDxfId="567" totalsRowDxfId="90">
      <totalsRowFormula>COUNTIF(NazočnostZaSvibanj[22],"N")+COUNTIF(NazočnostZaSvibanj[22],"O")</totalsRowFormula>
    </tableColumn>
    <tableColumn id="24" name="23" totalsRowFunction="custom" dataDxfId="566" totalsRowDxfId="89">
      <totalsRowFormula>COUNTIF(NazočnostZaSvibanj[23],"N")+COUNTIF(NazočnostZaSvibanj[23],"O")</totalsRowFormula>
    </tableColumn>
    <tableColumn id="25" name="24" totalsRowFunction="custom" dataDxfId="565" totalsRowDxfId="88">
      <totalsRowFormula>COUNTIF(NazočnostZaSvibanj[24],"N")+COUNTIF(NazočnostZaSvibanj[24],"O")</totalsRowFormula>
    </tableColumn>
    <tableColumn id="26" name="25" totalsRowFunction="custom" dataDxfId="564" totalsRowDxfId="87">
      <totalsRowFormula>COUNTIF(NazočnostZaSvibanj[25],"N")+COUNTIF(NazočnostZaSvibanj[25],"O")</totalsRowFormula>
    </tableColumn>
    <tableColumn id="27" name="26" totalsRowFunction="custom" dataDxfId="563" totalsRowDxfId="86">
      <totalsRowFormula>COUNTIF(NazočnostZaSvibanj[26],"N")+COUNTIF(NazočnostZaSvibanj[26],"O")</totalsRowFormula>
    </tableColumn>
    <tableColumn id="28" name="27" totalsRowFunction="custom" dataDxfId="562" totalsRowDxfId="85">
      <totalsRowFormula>COUNTIF(NazočnostZaSvibanj[27],"N")+COUNTIF(NazočnostZaSvibanj[27],"O")</totalsRowFormula>
    </tableColumn>
    <tableColumn id="29" name="28" totalsRowFunction="custom" dataDxfId="561" totalsRowDxfId="84">
      <totalsRowFormula>COUNTIF(NazočnostZaSvibanj[28],"N")+COUNTIF(NazočnostZaSvibanj[28],"O")</totalsRowFormula>
    </tableColumn>
    <tableColumn id="30" name="29" totalsRowFunction="custom" dataDxfId="560" totalsRowDxfId="83">
      <totalsRowFormula>COUNTIF(NazočnostZaSvibanj[29],"N")+COUNTIF(NazočnostZaSvibanj[29],"O")</totalsRowFormula>
    </tableColumn>
    <tableColumn id="31" name="30" totalsRowFunction="custom" dataDxfId="559" totalsRowDxfId="82">
      <totalsRowFormula>COUNTIF(NazočnostZaSvibanj[30],"N")+COUNTIF(NazočnostZaSvibanj[30],"O")</totalsRowFormula>
    </tableColumn>
    <tableColumn id="32" name="31" totalsRowFunction="custom" dataDxfId="558" totalsRowDxfId="81">
      <totalsRowFormula>COUNTIF(NazočnostZaSvibanj[31],"N")+COUNTIF(NazočnostZaSvibanj[31],"O")</totalsRowFormula>
    </tableColumn>
    <tableColumn id="35" name="K" totalsRowFunction="sum" dataDxfId="557" totalsRowDxfId="80">
      <calculatedColumnFormula>COUNTIF(NazočnostZaSvibanj[[#This Row],[1]:[31]],Šifra1)</calculatedColumnFormula>
    </tableColumn>
    <tableColumn id="34" name="O" totalsRowFunction="sum" dataDxfId="556" totalsRowDxfId="79">
      <calculatedColumnFormula>COUNTIF(NazočnostZaSvibanj[[#This Row],[1]:[31]],Šifra2)</calculatedColumnFormula>
    </tableColumn>
    <tableColumn id="37" name="N" totalsRowFunction="sum" dataDxfId="555" totalsRowDxfId="78">
      <calculatedColumnFormula>COUNTIF(NazočnostZaSvibanj[[#This Row],[1]:[31]],Šifra3)</calculatedColumnFormula>
    </tableColumn>
    <tableColumn id="36" name="P" totalsRowFunction="sum" dataDxfId="554" totalsRowDxfId="77">
      <calculatedColumnFormula>COUNTIF(NazočnostZaSvibanj[[#This Row],[1]:[31]],Šifra4)</calculatedColumnFormula>
    </tableColumn>
    <tableColumn id="33" name="Dani izostanaka" totalsRowFunction="sum" dataDxfId="553" totalsRowDxfId="76">
      <calculatedColumnFormula>SUM(NazočnostZaRujan[[#This Row],[O]:[N]])</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Evidencija nazočnosti za veljaču" altTextSummary="Evidentira nazočnost učenika, primjerice K = kašnjenje, O = opravdani, N = neopravdani, P = prisutan, N = nema škole, za svibanj."/>
    </ext>
  </extLst>
</table>
</file>

<file path=xl/tables/table12.xml><?xml version="1.0" encoding="utf-8"?>
<table xmlns="http://schemas.openxmlformats.org/spreadsheetml/2006/main" id="12" name="NazočnostZaLipanj" displayName="NazočnostZaLipanj" ref="B6:AM12" totalsRowCount="1" headerRowDxfId="547" totalsRowDxfId="546">
  <tableColumns count="38">
    <tableColumn id="38" name="Identifikacijski broj učenika" dataDxfId="545" totalsRowDxfId="75"/>
    <tableColumn id="1" name="Ime učenika" totalsRowLabel="Ukupan broj dana izostanaka" dataDxfId="544" totalsRowDxfId="74">
      <calculatedColumnFormula>IFERROR(VLOOKUP(NazočnostZaLipanj[[#This Row],[Identifikacijski broj učenika]],PopisUčenika[],18,FALSE),"")</calculatedColumnFormula>
    </tableColumn>
    <tableColumn id="2" name="1" totalsRowFunction="custom" dataDxfId="543" totalsRowDxfId="73">
      <totalsRowFormula>COUNTIF(NazočnostZaLipanj[1],"N")+COUNTIF(NazočnostZaLipanj[1],"O")</totalsRowFormula>
    </tableColumn>
    <tableColumn id="3" name="2" totalsRowFunction="custom" dataDxfId="542" totalsRowDxfId="72">
      <totalsRowFormula>COUNTIF(NazočnostZaLipanj[2],"N")+COUNTIF(NazočnostZaLipanj[2],"O")</totalsRowFormula>
    </tableColumn>
    <tableColumn id="4" name="3" totalsRowFunction="custom" dataDxfId="541" totalsRowDxfId="71">
      <totalsRowFormula>COUNTIF(NazočnostZaLipanj[3],"N")+COUNTIF(NazočnostZaLipanj[3],"O")</totalsRowFormula>
    </tableColumn>
    <tableColumn id="5" name="4" totalsRowFunction="custom" dataDxfId="540" totalsRowDxfId="70">
      <totalsRowFormula>COUNTIF(NazočnostZaLipanj[4],"N")+COUNTIF(NazočnostZaLipanj[4],"O")</totalsRowFormula>
    </tableColumn>
    <tableColumn id="6" name="5" totalsRowFunction="custom" dataDxfId="539" totalsRowDxfId="69">
      <totalsRowFormula>COUNTIF(NazočnostZaLipanj[5],"N")+COUNTIF(NazočnostZaLipanj[5],"O")</totalsRowFormula>
    </tableColumn>
    <tableColumn id="7" name="6" totalsRowFunction="custom" dataDxfId="538" totalsRowDxfId="68">
      <totalsRowFormula>COUNTIF(NazočnostZaLipanj[6],"N")+COUNTIF(NazočnostZaLipanj[6],"O")</totalsRowFormula>
    </tableColumn>
    <tableColumn id="8" name="7" totalsRowFunction="custom" dataDxfId="537" totalsRowDxfId="67">
      <totalsRowFormula>COUNTIF(NazočnostZaLipanj[7],"N")+COUNTIF(NazočnostZaLipanj[7],"O")</totalsRowFormula>
    </tableColumn>
    <tableColumn id="9" name="8" totalsRowFunction="custom" dataDxfId="536" totalsRowDxfId="66">
      <totalsRowFormula>COUNTIF(NazočnostZaLipanj[8],"N")+COUNTIF(NazočnostZaLipanj[8],"O")</totalsRowFormula>
    </tableColumn>
    <tableColumn id="10" name="9" totalsRowFunction="custom" dataDxfId="535" totalsRowDxfId="65">
      <totalsRowFormula>COUNTIF(NazočnostZaLipanj[9],"N")+COUNTIF(NazočnostZaLipanj[9],"O")</totalsRowFormula>
    </tableColumn>
    <tableColumn id="11" name="10" totalsRowFunction="custom" dataDxfId="534" totalsRowDxfId="64">
      <totalsRowFormula>COUNTIF(NazočnostZaLipanj[10],"N")+COUNTIF(NazočnostZaLipanj[10],"O")</totalsRowFormula>
    </tableColumn>
    <tableColumn id="12" name="11" totalsRowFunction="custom" dataDxfId="533" totalsRowDxfId="63">
      <totalsRowFormula>COUNTIF(NazočnostZaLipanj[11],"N")+COUNTIF(NazočnostZaLipanj[11],"O")</totalsRowFormula>
    </tableColumn>
    <tableColumn id="13" name="12" totalsRowFunction="custom" dataDxfId="532" totalsRowDxfId="62">
      <totalsRowFormula>COUNTIF(NazočnostZaLipanj[12],"N")+COUNTIF(NazočnostZaLipanj[12],"O")</totalsRowFormula>
    </tableColumn>
    <tableColumn id="14" name="13" totalsRowFunction="custom" dataDxfId="531" totalsRowDxfId="61">
      <totalsRowFormula>COUNTIF(NazočnostZaLipanj[13],"N")+COUNTIF(NazočnostZaLipanj[13],"O")</totalsRowFormula>
    </tableColumn>
    <tableColumn id="15" name="14" totalsRowFunction="custom" dataDxfId="530" totalsRowDxfId="60">
      <totalsRowFormula>COUNTIF(NazočnostZaLipanj[14],"N")+COUNTIF(NazočnostZaLipanj[14],"O")</totalsRowFormula>
    </tableColumn>
    <tableColumn id="16" name="15" totalsRowFunction="custom" dataDxfId="529" totalsRowDxfId="59">
      <totalsRowFormula>COUNTIF(NazočnostZaLipanj[15],"N")+COUNTIF(NazočnostZaLipanj[15],"O")</totalsRowFormula>
    </tableColumn>
    <tableColumn id="17" name="16" totalsRowFunction="custom" dataDxfId="528" totalsRowDxfId="58">
      <totalsRowFormula>COUNTIF(NazočnostZaLipanj[16],"N")+COUNTIF(NazočnostZaLipanj[16],"O")</totalsRowFormula>
    </tableColumn>
    <tableColumn id="18" name="17" totalsRowFunction="custom" dataDxfId="527" totalsRowDxfId="57">
      <totalsRowFormula>COUNTIF(NazočnostZaLipanj[17],"N")+COUNTIF(NazočnostZaLipanj[17],"O")</totalsRowFormula>
    </tableColumn>
    <tableColumn id="19" name="18" totalsRowFunction="custom" dataDxfId="526" totalsRowDxfId="56">
      <totalsRowFormula>COUNTIF(NazočnostZaLipanj[18],"N")+COUNTIF(NazočnostZaLipanj[18],"O")</totalsRowFormula>
    </tableColumn>
    <tableColumn id="20" name="19" totalsRowFunction="custom" dataDxfId="525" totalsRowDxfId="55">
      <totalsRowFormula>COUNTIF(NazočnostZaLipanj[19],"N")+COUNTIF(NazočnostZaLipanj[19],"O")</totalsRowFormula>
    </tableColumn>
    <tableColumn id="21" name="20" totalsRowFunction="custom" dataDxfId="524" totalsRowDxfId="54">
      <totalsRowFormula>COUNTIF(NazočnostZaLipanj[20],"N")+COUNTIF(NazočnostZaLipanj[20],"O")</totalsRowFormula>
    </tableColumn>
    <tableColumn id="22" name="21" totalsRowFunction="custom" dataDxfId="523" totalsRowDxfId="53">
      <totalsRowFormula>COUNTIF(NazočnostZaLipanj[21],"N")+COUNTIF(NazočnostZaLipanj[21],"O")</totalsRowFormula>
    </tableColumn>
    <tableColumn id="23" name="22" totalsRowFunction="custom" dataDxfId="522" totalsRowDxfId="52">
      <totalsRowFormula>COUNTIF(NazočnostZaLipanj[22],"N")+COUNTIF(NazočnostZaLipanj[22],"O")</totalsRowFormula>
    </tableColumn>
    <tableColumn id="24" name="23" totalsRowFunction="custom" dataDxfId="521" totalsRowDxfId="51">
      <totalsRowFormula>COUNTIF(NazočnostZaLipanj[23],"N")+COUNTIF(NazočnostZaLipanj[23],"O")</totalsRowFormula>
    </tableColumn>
    <tableColumn id="25" name="24" totalsRowFunction="custom" dataDxfId="520" totalsRowDxfId="50">
      <totalsRowFormula>COUNTIF(NazočnostZaLipanj[24],"N")+COUNTIF(NazočnostZaLipanj[24],"O")</totalsRowFormula>
    </tableColumn>
    <tableColumn id="26" name="25" totalsRowFunction="custom" dataDxfId="519" totalsRowDxfId="49">
      <totalsRowFormula>COUNTIF(NazočnostZaLipanj[25],"N")+COUNTIF(NazočnostZaLipanj[25],"O")</totalsRowFormula>
    </tableColumn>
    <tableColumn id="27" name="26" totalsRowFunction="custom" dataDxfId="518" totalsRowDxfId="48">
      <totalsRowFormula>COUNTIF(NazočnostZaLipanj[26],"N")+COUNTIF(NazočnostZaLipanj[26],"O")</totalsRowFormula>
    </tableColumn>
    <tableColumn id="28" name="27" totalsRowFunction="custom" dataDxfId="517" totalsRowDxfId="47">
      <totalsRowFormula>COUNTIF(NazočnostZaLipanj[27],"N")+COUNTIF(NazočnostZaLipanj[27],"O")</totalsRowFormula>
    </tableColumn>
    <tableColumn id="29" name="28" totalsRowFunction="custom" dataDxfId="516" totalsRowDxfId="46">
      <totalsRowFormula>COUNTIF(NazočnostZaLipanj[28],"N")+COUNTIF(NazočnostZaLipanj[28],"O")</totalsRowFormula>
    </tableColumn>
    <tableColumn id="30" name="29" totalsRowFunction="custom" dataDxfId="515" totalsRowDxfId="45">
      <totalsRowFormula>COUNTIF(NazočnostZaLipanj[29],"N")+COUNTIF(NazočnostZaLipanj[29],"O")</totalsRowFormula>
    </tableColumn>
    <tableColumn id="31" name="30" totalsRowFunction="custom" dataDxfId="514" totalsRowDxfId="44">
      <totalsRowFormula>COUNTIF(NazočnostZaLipanj[30],"N")+COUNTIF(NazočnostZaLipanj[30],"O")</totalsRowFormula>
    </tableColumn>
    <tableColumn id="32" name=" " totalsRowFunction="custom" dataDxfId="513" totalsRowDxfId="43">
      <totalsRowFormula>COUNTIF(NazočnostZaLipanj[[ ]],"N")+COUNTIF(NazočnostZaLipanj[[ ]],"O")</totalsRowFormula>
    </tableColumn>
    <tableColumn id="35" name="K" totalsRowFunction="sum" dataDxfId="512" totalsRowDxfId="42">
      <calculatedColumnFormula>COUNTIF(NazočnostZaLipanj[[#This Row],[1]:[ ]],Šifra1)</calculatedColumnFormula>
    </tableColumn>
    <tableColumn id="34" name="O" totalsRowFunction="sum" dataDxfId="511" totalsRowDxfId="41">
      <calculatedColumnFormula>COUNTIF(NazočnostZaLipanj[[#This Row],[1]:[ ]],Šifra2)</calculatedColumnFormula>
    </tableColumn>
    <tableColumn id="37" name="N" totalsRowFunction="sum" dataDxfId="510" totalsRowDxfId="40">
      <calculatedColumnFormula>COUNTIF(NazočnostZaLipanj[[#This Row],[1]:[ ]],Šifra3)</calculatedColumnFormula>
    </tableColumn>
    <tableColumn id="36" name="P" totalsRowFunction="sum" dataDxfId="509" totalsRowDxfId="39">
      <calculatedColumnFormula>COUNTIF(NazočnostZaLipanj[[#This Row],[1]:[ ]],Šifra4)</calculatedColumnFormula>
    </tableColumn>
    <tableColumn id="33" name="Dani izostanaka" totalsRowFunction="sum" dataDxfId="508" totalsRowDxfId="38">
      <calculatedColumnFormula>SUM(NazočnostZaRujan[[#This Row],[O]:[N]])</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Evidencija nazočnosti za veljaču" altTextSummary="Evidentira nazočnost učenika, primjerice K = kašnjenje, O = opravdani, N = neopravdani, P = prisutan, N = nema škole, za lipanj."/>
    </ext>
  </extLst>
</table>
</file>

<file path=xl/tables/table13.xml><?xml version="1.0" encoding="utf-8"?>
<table xmlns="http://schemas.openxmlformats.org/spreadsheetml/2006/main" id="13" name="NazočnostZaSrpanj" displayName="NazočnostZaSrpanj" ref="B6:AM12" totalsRowCount="1" headerRowDxfId="502" totalsRowDxfId="501">
  <tableColumns count="38">
    <tableColumn id="38" name="Identifikacijski broj učenika" dataDxfId="500" totalsRowDxfId="37"/>
    <tableColumn id="1" name="Ime učenika" totalsRowLabel="Ukupan broj dana izostanaka" dataDxfId="499" totalsRowDxfId="36">
      <calculatedColumnFormula>IFERROR(VLOOKUP(NazočnostZaSrpanj[[#This Row],[Identifikacijski broj učenika]],PopisUčenika[],18,FALSE),"")</calculatedColumnFormula>
    </tableColumn>
    <tableColumn id="2" name="1" totalsRowFunction="custom" dataDxfId="498" totalsRowDxfId="35">
      <totalsRowFormula>COUNTIF(NazočnostZaSrpanj[1],"N")+COUNTIF(NazočnostZaSrpanj[1],"O")</totalsRowFormula>
    </tableColumn>
    <tableColumn id="3" name="2" totalsRowFunction="custom" dataDxfId="497" totalsRowDxfId="34">
      <totalsRowFormula>COUNTIF(NazočnostZaSrpanj[2],"N")+COUNTIF(NazočnostZaSrpanj[2],"O")</totalsRowFormula>
    </tableColumn>
    <tableColumn id="4" name="3" totalsRowFunction="custom" dataDxfId="496" totalsRowDxfId="33">
      <totalsRowFormula>COUNTIF(NazočnostZaSrpanj[3],"N")+COUNTIF(NazočnostZaSrpanj[3],"O")</totalsRowFormula>
    </tableColumn>
    <tableColumn id="5" name="4" totalsRowFunction="custom" dataDxfId="495" totalsRowDxfId="32">
      <totalsRowFormula>COUNTIF(NazočnostZaSrpanj[4],"N")+COUNTIF(NazočnostZaSrpanj[4],"O")</totalsRowFormula>
    </tableColumn>
    <tableColumn id="6" name="5" totalsRowFunction="custom" dataDxfId="494" totalsRowDxfId="31">
      <totalsRowFormula>COUNTIF(NazočnostZaSrpanj[5],"N")+COUNTIF(NazočnostZaSrpanj[5],"O")</totalsRowFormula>
    </tableColumn>
    <tableColumn id="7" name="6" totalsRowFunction="custom" dataDxfId="493" totalsRowDxfId="30">
      <totalsRowFormula>COUNTIF(NazočnostZaSrpanj[6],"N")+COUNTIF(NazočnostZaSrpanj[6],"O")</totalsRowFormula>
    </tableColumn>
    <tableColumn id="8" name="7" totalsRowFunction="custom" dataDxfId="492" totalsRowDxfId="29">
      <totalsRowFormula>COUNTIF(NazočnostZaSrpanj[7],"N")+COUNTIF(NazočnostZaSrpanj[7],"O")</totalsRowFormula>
    </tableColumn>
    <tableColumn id="9" name="8" totalsRowFunction="custom" dataDxfId="491" totalsRowDxfId="28">
      <totalsRowFormula>COUNTIF(NazočnostZaSrpanj[8],"N")+COUNTIF(NazočnostZaSrpanj[8],"O")</totalsRowFormula>
    </tableColumn>
    <tableColumn id="10" name="9" totalsRowFunction="custom" dataDxfId="490" totalsRowDxfId="27">
      <totalsRowFormula>COUNTIF(NazočnostZaSrpanj[9],"N")+COUNTIF(NazočnostZaSrpanj[9],"O")</totalsRowFormula>
    </tableColumn>
    <tableColumn id="11" name="10" totalsRowFunction="custom" dataDxfId="489" totalsRowDxfId="26">
      <totalsRowFormula>COUNTIF(NazočnostZaSrpanj[10],"N")+COUNTIF(NazočnostZaSrpanj[10],"O")</totalsRowFormula>
    </tableColumn>
    <tableColumn id="12" name="11" totalsRowFunction="custom" dataDxfId="488" totalsRowDxfId="25">
      <totalsRowFormula>COUNTIF(NazočnostZaSrpanj[11],"N")+COUNTIF(NazočnostZaSrpanj[11],"O")</totalsRowFormula>
    </tableColumn>
    <tableColumn id="13" name="12" totalsRowFunction="custom" dataDxfId="487" totalsRowDxfId="24">
      <totalsRowFormula>COUNTIF(NazočnostZaSrpanj[12],"N")+COUNTIF(NazočnostZaSrpanj[12],"O")</totalsRowFormula>
    </tableColumn>
    <tableColumn id="14" name="13" totalsRowFunction="custom" dataDxfId="486" totalsRowDxfId="23">
      <totalsRowFormula>COUNTIF(NazočnostZaSrpanj[13],"N")+COUNTIF(NazočnostZaSrpanj[13],"O")</totalsRowFormula>
    </tableColumn>
    <tableColumn id="15" name="14" totalsRowFunction="custom" dataDxfId="485" totalsRowDxfId="22">
      <totalsRowFormula>COUNTIF(NazočnostZaSrpanj[14],"N")+COUNTIF(NazočnostZaSrpanj[14],"O")</totalsRowFormula>
    </tableColumn>
    <tableColumn id="16" name="15" totalsRowFunction="custom" dataDxfId="484" totalsRowDxfId="21">
      <totalsRowFormula>COUNTIF(NazočnostZaSrpanj[15],"N")+COUNTIF(NazočnostZaSrpanj[15],"O")</totalsRowFormula>
    </tableColumn>
    <tableColumn id="17" name="16" totalsRowFunction="custom" dataDxfId="483" totalsRowDxfId="20">
      <totalsRowFormula>COUNTIF(NazočnostZaSrpanj[16],"N")+COUNTIF(NazočnostZaSrpanj[16],"O")</totalsRowFormula>
    </tableColumn>
    <tableColumn id="18" name="17" totalsRowFunction="custom" dataDxfId="482" totalsRowDxfId="19">
      <totalsRowFormula>COUNTIF(NazočnostZaSrpanj[17],"N")+COUNTIF(NazočnostZaSrpanj[17],"O")</totalsRowFormula>
    </tableColumn>
    <tableColumn id="19" name="18" totalsRowFunction="custom" dataDxfId="481" totalsRowDxfId="18">
      <totalsRowFormula>COUNTIF(NazočnostZaSrpanj[18],"N")+COUNTIF(NazočnostZaSrpanj[18],"O")</totalsRowFormula>
    </tableColumn>
    <tableColumn id="20" name="19" totalsRowFunction="custom" dataDxfId="480" totalsRowDxfId="17">
      <totalsRowFormula>COUNTIF(NazočnostZaSrpanj[19],"N")+COUNTIF(NazočnostZaSrpanj[19],"O")</totalsRowFormula>
    </tableColumn>
    <tableColumn id="21" name="20" totalsRowFunction="custom" dataDxfId="479" totalsRowDxfId="16">
      <totalsRowFormula>COUNTIF(NazočnostZaSrpanj[20],"N")+COUNTIF(NazočnostZaSrpanj[20],"O")</totalsRowFormula>
    </tableColumn>
    <tableColumn id="22" name="21" totalsRowFunction="custom" dataDxfId="478" totalsRowDxfId="15">
      <totalsRowFormula>COUNTIF(NazočnostZaSrpanj[21],"N")+COUNTIF(NazočnostZaSrpanj[21],"O")</totalsRowFormula>
    </tableColumn>
    <tableColumn id="23" name="22" totalsRowFunction="custom" dataDxfId="477" totalsRowDxfId="14">
      <totalsRowFormula>COUNTIF(NazočnostZaSrpanj[22],"N")+COUNTIF(NazočnostZaSrpanj[22],"O")</totalsRowFormula>
    </tableColumn>
    <tableColumn id="24" name="23" totalsRowFunction="custom" dataDxfId="476" totalsRowDxfId="13">
      <totalsRowFormula>COUNTIF(NazočnostZaSrpanj[23],"N")+COUNTIF(NazočnostZaSrpanj[23],"O")</totalsRowFormula>
    </tableColumn>
    <tableColumn id="25" name="24" totalsRowFunction="custom" dataDxfId="475" totalsRowDxfId="12">
      <totalsRowFormula>COUNTIF(NazočnostZaSrpanj[24],"N")+COUNTIF(NazočnostZaSrpanj[24],"O")</totalsRowFormula>
    </tableColumn>
    <tableColumn id="26" name="25" totalsRowFunction="custom" dataDxfId="474" totalsRowDxfId="11">
      <totalsRowFormula>COUNTIF(NazočnostZaSrpanj[25],"N")+COUNTIF(NazočnostZaSrpanj[25],"O")</totalsRowFormula>
    </tableColumn>
    <tableColumn id="27" name="26" totalsRowFunction="custom" dataDxfId="473" totalsRowDxfId="10">
      <totalsRowFormula>COUNTIF(NazočnostZaSrpanj[26],"N")+COUNTIF(NazočnostZaSrpanj[26],"O")</totalsRowFormula>
    </tableColumn>
    <tableColumn id="28" name="27" totalsRowFunction="custom" dataDxfId="472" totalsRowDxfId="9">
      <totalsRowFormula>COUNTIF(NazočnostZaSrpanj[27],"N")+COUNTIF(NazočnostZaSrpanj[27],"O")</totalsRowFormula>
    </tableColumn>
    <tableColumn id="29" name="28" totalsRowFunction="custom" dataDxfId="471" totalsRowDxfId="8">
      <totalsRowFormula>COUNTIF(NazočnostZaSrpanj[28],"N")+COUNTIF(NazočnostZaSrpanj[28],"O")</totalsRowFormula>
    </tableColumn>
    <tableColumn id="30" name="29" totalsRowFunction="custom" dataDxfId="470" totalsRowDxfId="7">
      <totalsRowFormula>COUNTIF(NazočnostZaSrpanj[29],"N")+COUNTIF(NazočnostZaSrpanj[29],"O")</totalsRowFormula>
    </tableColumn>
    <tableColumn id="31" name="30" totalsRowFunction="custom" dataDxfId="469" totalsRowDxfId="6">
      <totalsRowFormula>COUNTIF(NazočnostZaSrpanj[30],"N")+COUNTIF(NazočnostZaSrpanj[30],"O")</totalsRowFormula>
    </tableColumn>
    <tableColumn id="32" name="31" totalsRowFunction="custom" dataDxfId="468" totalsRowDxfId="5">
      <totalsRowFormula>COUNTIF(NazočnostZaSrpanj[31],"N")+COUNTIF(NazočnostZaSrpanj[31],"O")</totalsRowFormula>
    </tableColumn>
    <tableColumn id="35" name="K" totalsRowFunction="sum" dataDxfId="467" totalsRowDxfId="4">
      <calculatedColumnFormula>COUNTIF(NazočnostZaSrpanj[[#This Row],[1]:[31]],Šifra1)</calculatedColumnFormula>
    </tableColumn>
    <tableColumn id="34" name="O" totalsRowFunction="sum" dataDxfId="466" totalsRowDxfId="3">
      <calculatedColumnFormula>COUNTIF(NazočnostZaSrpanj[[#This Row],[1]:[31]],Šifra2)</calculatedColumnFormula>
    </tableColumn>
    <tableColumn id="37" name="N" totalsRowFunction="sum" dataDxfId="465" totalsRowDxfId="2">
      <calculatedColumnFormula>COUNTIF(NazočnostZaSrpanj[[#This Row],[1]:[31]],Šifra3)</calculatedColumnFormula>
    </tableColumn>
    <tableColumn id="36" name="P" totalsRowFunction="sum" dataDxfId="464" totalsRowDxfId="1">
      <calculatedColumnFormula>COUNTIF(NazočnostZaSrpanj[[#This Row],[1]:[31]],Šifra4)</calculatedColumnFormula>
    </tableColumn>
    <tableColumn id="33" name="Dani izostanaka" totalsRowFunction="sum" dataDxfId="463" totalsRowDxfId="0">
      <calculatedColumnFormula>SUM(NazočnostZaRujan[[#This Row],[O]:[N]])</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Evidencija nazočnosti za veljaču" altTextSummary="Evidentira nazočnost učenika, primjerice K = kašnjenje, O = opravdani, N = neopravdani, P = prisutan, N = nema škole, za lipanj."/>
    </ext>
  </extLst>
</table>
</file>

<file path=xl/tables/table2.xml><?xml version="1.0" encoding="utf-8"?>
<table xmlns="http://schemas.openxmlformats.org/spreadsheetml/2006/main" id="3" name="NazočnostZaKolovoz" displayName="NazočnostZaKolovoz" ref="B6:AM12" totalsRowCount="1" totalsRowDxfId="965">
  <tableColumns count="38">
    <tableColumn id="38" name="Identifikacijski broj učenika" totalsRowDxfId="455"/>
    <tableColumn id="1" name="Ime učenika" totalsRowLabel="Ukupan broj dana izostanaka" totalsRowDxfId="454">
      <calculatedColumnFormula>IFERROR(VLOOKUP(NazočnostZaKolovoz[[#This Row],[Identifikacijski broj učenika]],PopisUčenika[],18,FALSE),"")</calculatedColumnFormula>
    </tableColumn>
    <tableColumn id="2" name="1" totalsRowFunction="custom" totalsRowDxfId="453">
      <totalsRowFormula>COUNTIF(NazočnostZaKolovoz[1],"N")+COUNTIF(NazočnostZaKolovoz[1],"O")</totalsRowFormula>
    </tableColumn>
    <tableColumn id="3" name="2" totalsRowFunction="custom" totalsRowDxfId="452">
      <totalsRowFormula>COUNTIF(NazočnostZaKolovoz[2],"N")+COUNTIF(NazočnostZaKolovoz[2],"O")</totalsRowFormula>
    </tableColumn>
    <tableColumn id="4" name="3" totalsRowFunction="custom" totalsRowDxfId="451">
      <totalsRowFormula>COUNTIF(NazočnostZaKolovoz[3],"N")+COUNTIF(NazočnostZaKolovoz[3],"O")</totalsRowFormula>
    </tableColumn>
    <tableColumn id="5" name="4" totalsRowFunction="custom" totalsRowDxfId="450">
      <totalsRowFormula>COUNTIF(NazočnostZaKolovoz[4],"N")+COUNTIF(NazočnostZaKolovoz[4],"O")</totalsRowFormula>
    </tableColumn>
    <tableColumn id="6" name="5" totalsRowFunction="custom" totalsRowDxfId="449">
      <totalsRowFormula>COUNTIF(NazočnostZaKolovoz[5],"N")+COUNTIF(NazočnostZaKolovoz[5],"O")</totalsRowFormula>
    </tableColumn>
    <tableColumn id="7" name="6" totalsRowFunction="custom" totalsRowDxfId="448">
      <totalsRowFormula>COUNTIF(NazočnostZaKolovoz[6],"N")+COUNTIF(NazočnostZaKolovoz[6],"O")</totalsRowFormula>
    </tableColumn>
    <tableColumn id="8" name="7" totalsRowFunction="custom" totalsRowDxfId="447">
      <totalsRowFormula>COUNTIF(NazočnostZaKolovoz[7],"N")+COUNTIF(NazočnostZaKolovoz[7],"O")</totalsRowFormula>
    </tableColumn>
    <tableColumn id="9" name="8" totalsRowFunction="custom" totalsRowDxfId="446">
      <totalsRowFormula>COUNTIF(NazočnostZaKolovoz[8],"N")+COUNTIF(NazočnostZaKolovoz[8],"O")</totalsRowFormula>
    </tableColumn>
    <tableColumn id="10" name="9" totalsRowFunction="custom" totalsRowDxfId="445">
      <totalsRowFormula>COUNTIF(NazočnostZaKolovoz[9],"N")+COUNTIF(NazočnostZaKolovoz[9],"O")</totalsRowFormula>
    </tableColumn>
    <tableColumn id="11" name="10" totalsRowFunction="custom" totalsRowDxfId="444">
      <totalsRowFormula>COUNTIF(NazočnostZaKolovoz[10],"N")+COUNTIF(NazočnostZaKolovoz[10],"O")</totalsRowFormula>
    </tableColumn>
    <tableColumn id="12" name="11" totalsRowFunction="custom" totalsRowDxfId="443">
      <totalsRowFormula>COUNTIF(NazočnostZaKolovoz[11],"N")+COUNTIF(NazočnostZaKolovoz[11],"O")</totalsRowFormula>
    </tableColumn>
    <tableColumn id="13" name="12" totalsRowFunction="custom" totalsRowDxfId="442">
      <totalsRowFormula>COUNTIF(NazočnostZaKolovoz[12],"N")+COUNTIF(NazočnostZaKolovoz[12],"O")</totalsRowFormula>
    </tableColumn>
    <tableColumn id="14" name="13" totalsRowFunction="custom" totalsRowDxfId="441">
      <totalsRowFormula>COUNTIF(NazočnostZaKolovoz[13],"N")+COUNTIF(NazočnostZaKolovoz[13],"O")</totalsRowFormula>
    </tableColumn>
    <tableColumn id="15" name="14" totalsRowFunction="custom" totalsRowDxfId="440">
      <totalsRowFormula>COUNTIF(NazočnostZaKolovoz[14],"N")+COUNTIF(NazočnostZaKolovoz[14],"O")</totalsRowFormula>
    </tableColumn>
    <tableColumn id="16" name="15" totalsRowFunction="custom" totalsRowDxfId="439">
      <totalsRowFormula>COUNTIF(NazočnostZaKolovoz[15],"N")+COUNTIF(NazočnostZaKolovoz[15],"O")</totalsRowFormula>
    </tableColumn>
    <tableColumn id="17" name="16" totalsRowFunction="custom" totalsRowDxfId="438">
      <totalsRowFormula>COUNTIF(NazočnostZaKolovoz[16],"N")+COUNTIF(NazočnostZaKolovoz[16],"O")</totalsRowFormula>
    </tableColumn>
    <tableColumn id="18" name="17" totalsRowFunction="custom" totalsRowDxfId="437">
      <totalsRowFormula>COUNTIF(NazočnostZaKolovoz[17],"N")+COUNTIF(NazočnostZaKolovoz[17],"O")</totalsRowFormula>
    </tableColumn>
    <tableColumn id="19" name="18" totalsRowFunction="custom" totalsRowDxfId="436">
      <totalsRowFormula>COUNTIF(NazočnostZaKolovoz[18],"N")+COUNTIF(NazočnostZaKolovoz[18],"O")</totalsRowFormula>
    </tableColumn>
    <tableColumn id="20" name="19" totalsRowFunction="custom" totalsRowDxfId="435">
      <totalsRowFormula>COUNTIF(NazočnostZaKolovoz[19],"N")+COUNTIF(NazočnostZaKolovoz[19],"O")</totalsRowFormula>
    </tableColumn>
    <tableColumn id="21" name="20" totalsRowFunction="custom" totalsRowDxfId="434">
      <totalsRowFormula>COUNTIF(NazočnostZaKolovoz[20],"N")+COUNTIF(NazočnostZaKolovoz[20],"O")</totalsRowFormula>
    </tableColumn>
    <tableColumn id="22" name="21" totalsRowFunction="custom" totalsRowDxfId="433">
      <totalsRowFormula>COUNTIF(NazočnostZaKolovoz[21],"N")+COUNTIF(NazočnostZaKolovoz[21],"O")</totalsRowFormula>
    </tableColumn>
    <tableColumn id="23" name="22" totalsRowFunction="custom" totalsRowDxfId="432">
      <totalsRowFormula>COUNTIF(NazočnostZaKolovoz[22],"N")+COUNTIF(NazočnostZaKolovoz[22],"O")</totalsRowFormula>
    </tableColumn>
    <tableColumn id="24" name="23" totalsRowFunction="custom" totalsRowDxfId="431">
      <totalsRowFormula>COUNTIF(NazočnostZaKolovoz[23],"N")+COUNTIF(NazočnostZaKolovoz[23],"O")</totalsRowFormula>
    </tableColumn>
    <tableColumn id="25" name="24" totalsRowFunction="custom" totalsRowDxfId="430">
      <totalsRowFormula>COUNTIF(NazočnostZaKolovoz[24],"N")+COUNTIF(NazočnostZaKolovoz[24],"O")</totalsRowFormula>
    </tableColumn>
    <tableColumn id="26" name="25" totalsRowFunction="custom" totalsRowDxfId="429">
      <totalsRowFormula>COUNTIF(NazočnostZaKolovoz[25],"N")+COUNTIF(NazočnostZaKolovoz[25],"O")</totalsRowFormula>
    </tableColumn>
    <tableColumn id="27" name="26" totalsRowFunction="custom" totalsRowDxfId="428">
      <totalsRowFormula>COUNTIF(NazočnostZaKolovoz[26],"N")+COUNTIF(NazočnostZaKolovoz[26],"O")</totalsRowFormula>
    </tableColumn>
    <tableColumn id="28" name="27" totalsRowFunction="custom" totalsRowDxfId="427">
      <totalsRowFormula>COUNTIF(NazočnostZaKolovoz[27],"N")+COUNTIF(NazočnostZaKolovoz[27],"O")</totalsRowFormula>
    </tableColumn>
    <tableColumn id="29" name="28" totalsRowFunction="custom" totalsRowDxfId="426">
      <totalsRowFormula>COUNTIF(NazočnostZaKolovoz[28],"N")+COUNTIF(NazočnostZaKolovoz[28],"O")</totalsRowFormula>
    </tableColumn>
    <tableColumn id="30" name="29" totalsRowFunction="custom" totalsRowDxfId="425">
      <totalsRowFormula>COUNTIF(NazočnostZaKolovoz[29],"N")+COUNTIF(NazočnostZaKolovoz[29],"O")</totalsRowFormula>
    </tableColumn>
    <tableColumn id="31" name="30" totalsRowFunction="custom" totalsRowDxfId="424">
      <totalsRowFormula>COUNTIF(NazočnostZaKolovoz[30],"N")+COUNTIF(NazočnostZaKolovoz[30],"O")</totalsRowFormula>
    </tableColumn>
    <tableColumn id="32" name="31" totalsRowFunction="custom" totalsRowDxfId="423">
      <totalsRowFormula>COUNTIF(NazočnostZaKolovoz[31],"N")+COUNTIF(NazočnostZaKolovoz[31],"O")</totalsRowFormula>
    </tableColumn>
    <tableColumn id="35" name="K" totalsRowFunction="sum" dataDxfId="964" totalsRowDxfId="422">
      <calculatedColumnFormula>COUNTIF(NazočnostZaKolovoz[[#This Row],[1]:[31]],Šifra1)</calculatedColumnFormula>
    </tableColumn>
    <tableColumn id="34" name="O" totalsRowFunction="sum" dataDxfId="963" totalsRowDxfId="421">
      <calculatedColumnFormula>COUNTIF(NazočnostZaKolovoz[[#This Row],[1]:[31]],Šifra2)</calculatedColumnFormula>
    </tableColumn>
    <tableColumn id="37" name="N" totalsRowFunction="sum" dataDxfId="962" totalsRowDxfId="420">
      <calculatedColumnFormula>COUNTIF(NazočnostZaKolovoz[[#This Row],[1]:[31]],Šifra3)</calculatedColumnFormula>
    </tableColumn>
    <tableColumn id="36" name="P" totalsRowFunction="sum" dataDxfId="961" totalsRowDxfId="419">
      <calculatedColumnFormula>COUNTIF(NazočnostZaKolovoz[[#This Row],[1]:[31]],Šifra4)</calculatedColumnFormula>
    </tableColumn>
    <tableColumn id="33" name="Dani izostanaka" totalsRowFunction="sum" totalsRowDxfId="418">
      <calculatedColumnFormula>SUM(NazočnostZaKolovoz[[#This Row],[O]:[N]])</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Evidencija nazočnosti za kolovoz" altTextSummary="Evidentira nazočnost učenika, primjerice K = kašnjenje, O = opravdani, N = neopravdani, P = prisutan, N = nema škole, za kolovoz."/>
    </ext>
  </extLst>
</table>
</file>

<file path=xl/tables/table3.xml><?xml version="1.0" encoding="utf-8"?>
<table xmlns="http://schemas.openxmlformats.org/spreadsheetml/2006/main" id="10" name="NazočnostZaRujan" displayName="NazočnostZaRujan" ref="B6:AM12" totalsRowCount="1" totalsRowDxfId="950">
  <tableColumns count="38">
    <tableColumn id="38" name="Identifikacijski broj učenika" totalsRowDxfId="417"/>
    <tableColumn id="1" name="Ime učenika" totalsRowLabel="Ukupan broj dana izostanaka" dataDxfId="949" totalsRowDxfId="416">
      <calculatedColumnFormula>IFERROR(VLOOKUP(NazočnostZaRujan[[#This Row],[Identifikacijski broj učenika]],PopisUčenika[],18,FALSE),"")</calculatedColumnFormula>
    </tableColumn>
    <tableColumn id="2" name="1" totalsRowFunction="custom" dataDxfId="948" totalsRowDxfId="415">
      <totalsRowFormula>COUNTIF(NazočnostZaRujan[1],"N")+COUNTIF(NazočnostZaRujan[1],"O")</totalsRowFormula>
    </tableColumn>
    <tableColumn id="3" name="2" totalsRowFunction="custom" dataDxfId="947" totalsRowDxfId="414">
      <totalsRowFormula>COUNTIF(NazočnostZaRujan[2],"N")+COUNTIF(NazočnostZaRujan[2],"O")</totalsRowFormula>
    </tableColumn>
    <tableColumn id="4" name="3" totalsRowFunction="custom" dataDxfId="946" totalsRowDxfId="413">
      <totalsRowFormula>COUNTIF(NazočnostZaRujan[3],"N")+COUNTIF(NazočnostZaRujan[3],"O")</totalsRowFormula>
    </tableColumn>
    <tableColumn id="5" name="4" totalsRowFunction="custom" dataDxfId="945" totalsRowDxfId="412">
      <totalsRowFormula>COUNTIF(NazočnostZaRujan[4],"N")+COUNTIF(NazočnostZaRujan[4],"O")</totalsRowFormula>
    </tableColumn>
    <tableColumn id="6" name="5" totalsRowFunction="custom" dataDxfId="944" totalsRowDxfId="411">
      <totalsRowFormula>COUNTIF(NazočnostZaRujan[5],"N")+COUNTIF(NazočnostZaRujan[5],"O")</totalsRowFormula>
    </tableColumn>
    <tableColumn id="7" name="6" totalsRowFunction="custom" dataDxfId="943" totalsRowDxfId="410">
      <totalsRowFormula>COUNTIF(NazočnostZaRujan[6],"N")+COUNTIF(NazočnostZaRujan[6],"O")</totalsRowFormula>
    </tableColumn>
    <tableColumn id="8" name="7" totalsRowFunction="custom" dataDxfId="942" totalsRowDxfId="409">
      <totalsRowFormula>COUNTIF(NazočnostZaRujan[7],"N")+COUNTIF(NazočnostZaRujan[7],"O")</totalsRowFormula>
    </tableColumn>
    <tableColumn id="9" name="8" totalsRowFunction="custom" dataDxfId="941" totalsRowDxfId="408">
      <totalsRowFormula>COUNTIF(NazočnostZaRujan[8],"N")+COUNTIF(NazočnostZaRujan[8],"O")</totalsRowFormula>
    </tableColumn>
    <tableColumn id="10" name="9" totalsRowFunction="custom" dataDxfId="940" totalsRowDxfId="407">
      <totalsRowFormula>COUNTIF(NazočnostZaRujan[9],"N")+COUNTIF(NazočnostZaRujan[9],"O")</totalsRowFormula>
    </tableColumn>
    <tableColumn id="11" name="10" totalsRowFunction="custom" dataDxfId="939" totalsRowDxfId="406">
      <totalsRowFormula>COUNTIF(NazočnostZaRujan[10],"N")+COUNTIF(NazočnostZaRujan[10],"O")</totalsRowFormula>
    </tableColumn>
    <tableColumn id="12" name="11" totalsRowFunction="custom" dataDxfId="938" totalsRowDxfId="405">
      <totalsRowFormula>COUNTIF(NazočnostZaRujan[11],"N")+COUNTIF(NazočnostZaRujan[11],"O")</totalsRowFormula>
    </tableColumn>
    <tableColumn id="13" name="12" totalsRowFunction="custom" dataDxfId="937" totalsRowDxfId="404">
      <totalsRowFormula>COUNTIF(NazočnostZaRujan[12],"N")+COUNTIF(NazočnostZaRujan[12],"O")</totalsRowFormula>
    </tableColumn>
    <tableColumn id="14" name="13" totalsRowFunction="custom" dataDxfId="936" totalsRowDxfId="403">
      <totalsRowFormula>COUNTIF(NazočnostZaRujan[13],"N")+COUNTIF(NazočnostZaRujan[13],"O")</totalsRowFormula>
    </tableColumn>
    <tableColumn id="15" name="14" totalsRowFunction="custom" dataDxfId="935" totalsRowDxfId="402">
      <totalsRowFormula>COUNTIF(NazočnostZaRujan[14],"N")+COUNTIF(NazočnostZaRujan[14],"O")</totalsRowFormula>
    </tableColumn>
    <tableColumn id="16" name="15" totalsRowFunction="custom" dataDxfId="934" totalsRowDxfId="401">
      <totalsRowFormula>COUNTIF(NazočnostZaRujan[15],"N")+COUNTIF(NazočnostZaRujan[15],"O")</totalsRowFormula>
    </tableColumn>
    <tableColumn id="17" name="16" totalsRowFunction="custom" dataDxfId="933" totalsRowDxfId="400">
      <totalsRowFormula>COUNTIF(NazočnostZaRujan[16],"N")+COUNTIF(NazočnostZaRujan[16],"O")</totalsRowFormula>
    </tableColumn>
    <tableColumn id="18" name="17" totalsRowFunction="custom" dataDxfId="932" totalsRowDxfId="399">
      <totalsRowFormula>COUNTIF(NazočnostZaRujan[17],"N")+COUNTIF(NazočnostZaRujan[17],"O")</totalsRowFormula>
    </tableColumn>
    <tableColumn id="19" name="18" totalsRowFunction="custom" dataDxfId="931" totalsRowDxfId="398">
      <totalsRowFormula>COUNTIF(NazočnostZaRujan[18],"N")+COUNTIF(NazočnostZaRujan[18],"O")</totalsRowFormula>
    </tableColumn>
    <tableColumn id="20" name="19" totalsRowFunction="custom" dataDxfId="930" totalsRowDxfId="397">
      <totalsRowFormula>COUNTIF(NazočnostZaRujan[19],"N")+COUNTIF(NazočnostZaRujan[19],"O")</totalsRowFormula>
    </tableColumn>
    <tableColumn id="21" name="20" totalsRowFunction="custom" dataDxfId="929" totalsRowDxfId="396">
      <totalsRowFormula>COUNTIF(NazočnostZaRujan[20],"N")+COUNTIF(NazočnostZaRujan[20],"O")</totalsRowFormula>
    </tableColumn>
    <tableColumn id="22" name="21" totalsRowFunction="custom" dataDxfId="928" totalsRowDxfId="395">
      <totalsRowFormula>COUNTIF(NazočnostZaRujan[21],"N")+COUNTIF(NazočnostZaRujan[21],"O")</totalsRowFormula>
    </tableColumn>
    <tableColumn id="23" name="22" totalsRowFunction="custom" dataDxfId="927" totalsRowDxfId="394">
      <totalsRowFormula>COUNTIF(NazočnostZaRujan[22],"N")+COUNTIF(NazočnostZaRujan[22],"O")</totalsRowFormula>
    </tableColumn>
    <tableColumn id="24" name="23" totalsRowFunction="custom" dataDxfId="926" totalsRowDxfId="393">
      <totalsRowFormula>COUNTIF(NazočnostZaRujan[23],"N")+COUNTIF(NazočnostZaRujan[23],"O")</totalsRowFormula>
    </tableColumn>
    <tableColumn id="25" name="24" totalsRowFunction="custom" dataDxfId="925" totalsRowDxfId="392">
      <totalsRowFormula>COUNTIF(NazočnostZaRujan[24],"N")+COUNTIF(NazočnostZaRujan[24],"O")</totalsRowFormula>
    </tableColumn>
    <tableColumn id="26" name="25" totalsRowFunction="custom" dataDxfId="924" totalsRowDxfId="391">
      <totalsRowFormula>COUNTIF(NazočnostZaRujan[25],"N")+COUNTIF(NazočnostZaRujan[25],"O")</totalsRowFormula>
    </tableColumn>
    <tableColumn id="27" name="26" totalsRowFunction="custom" dataDxfId="923" totalsRowDxfId="390">
      <totalsRowFormula>COUNTIF(NazočnostZaRujan[26],"N")+COUNTIF(NazočnostZaRujan[26],"O")</totalsRowFormula>
    </tableColumn>
    <tableColumn id="28" name="27" totalsRowFunction="custom" dataDxfId="922" totalsRowDxfId="389">
      <totalsRowFormula>COUNTIF(NazočnostZaRujan[27],"N")+COUNTIF(NazočnostZaRujan[27],"O")</totalsRowFormula>
    </tableColumn>
    <tableColumn id="29" name="28" totalsRowFunction="custom" dataDxfId="921" totalsRowDxfId="388">
      <totalsRowFormula>COUNTIF(NazočnostZaRujan[28],"N")+COUNTIF(NazočnostZaRujan[28],"O")</totalsRowFormula>
    </tableColumn>
    <tableColumn id="30" name="29" totalsRowFunction="custom" dataDxfId="920" totalsRowDxfId="387">
      <totalsRowFormula>COUNTIF(NazočnostZaRujan[29],"N")+COUNTIF(NazočnostZaRujan[29],"O")</totalsRowFormula>
    </tableColumn>
    <tableColumn id="31" name="30" totalsRowFunction="custom" totalsRowDxfId="386">
      <totalsRowFormula>COUNTIF(NazočnostZaRujan[30],"N")+COUNTIF(NazočnostZaRujan[30],"O")</totalsRowFormula>
    </tableColumn>
    <tableColumn id="32" name=" " totalsRowFunction="custom" totalsRowDxfId="385">
      <totalsRowFormula>COUNTIF(NazočnostZaRujan[[ ]],"N")+COUNTIF(NazočnostZaRujan[[ ]],"O")</totalsRowFormula>
    </tableColumn>
    <tableColumn id="35" name="K" totalsRowFunction="sum" dataDxfId="919" totalsRowDxfId="384">
      <calculatedColumnFormula>COUNTIF(NazočnostZaRujan[[#This Row],[1]:[ ]],Šifra1)</calculatedColumnFormula>
    </tableColumn>
    <tableColumn id="34" name="O" totalsRowFunction="sum" dataDxfId="918" totalsRowDxfId="383">
      <calculatedColumnFormula>COUNTIF(NazočnostZaRujan[[#This Row],[1]:[ ]],Šifra2)</calculatedColumnFormula>
    </tableColumn>
    <tableColumn id="37" name="N" totalsRowFunction="sum" dataDxfId="917" totalsRowDxfId="382">
      <calculatedColumnFormula>COUNTIF(NazočnostZaRujan[[#This Row],[1]:[ ]],Šifra3)</calculatedColumnFormula>
    </tableColumn>
    <tableColumn id="36" name="P" totalsRowFunction="sum" dataDxfId="916" totalsRowDxfId="381">
      <calculatedColumnFormula>COUNTIF(NazočnostZaRujan[[#This Row],[1]:[ ]],Šifra4)</calculatedColumnFormula>
    </tableColumn>
    <tableColumn id="33" name="Dani izostanaka" totalsRowFunction="sum" dataDxfId="915" totalsRowDxfId="380">
      <calculatedColumnFormula>SUM(NazočnostZaRujan[[#This Row],[O]:[N]])</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Evidencija nazočnosti za kolovoz" altTextSummary="Evidentira nazočnost učenika, primjerice K = kašnjenje, O = opravdani, N = neopravdani, P = prisutan, N = nema škole, za rujan."/>
    </ext>
  </extLst>
</table>
</file>

<file path=xl/tables/table4.xml><?xml version="1.0" encoding="utf-8"?>
<table xmlns="http://schemas.openxmlformats.org/spreadsheetml/2006/main" id="2" name="NazočnostZaListopad" displayName="NazočnostZaListopad" ref="B6:AM12" totalsRowCount="1" totalsRowDxfId="904">
  <tableColumns count="38">
    <tableColumn id="38" name="Identifikacijski broj učenika" totalsRowDxfId="379"/>
    <tableColumn id="1" name="Ime učenika" totalsRowLabel="Ukupan broj dana izostanaka" dataDxfId="903" totalsRowDxfId="378">
      <calculatedColumnFormula>IFERROR(VLOOKUP(NazočnostZaListopad[[#This Row],[Identifikacijski broj učenika]],PopisUčenika[],18,FALSE),"")</calculatedColumnFormula>
    </tableColumn>
    <tableColumn id="2" name="1" totalsRowFunction="custom" dataDxfId="902" totalsRowDxfId="377">
      <totalsRowFormula>COUNTIF(NazočnostZaListopad[1],"N")+COUNTIF(NazočnostZaListopad[1],"O")</totalsRowFormula>
    </tableColumn>
    <tableColumn id="3" name="2" totalsRowFunction="custom" dataDxfId="901" totalsRowDxfId="376">
      <totalsRowFormula>COUNTIF(NazočnostZaListopad[2],"N")+COUNTIF(NazočnostZaListopad[2],"O")</totalsRowFormula>
    </tableColumn>
    <tableColumn id="4" name="3" totalsRowFunction="custom" dataDxfId="900" totalsRowDxfId="375">
      <totalsRowFormula>COUNTIF(NazočnostZaListopad[3],"N")+COUNTIF(NazočnostZaListopad[3],"O")</totalsRowFormula>
    </tableColumn>
    <tableColumn id="5" name="4" totalsRowFunction="custom" dataDxfId="899" totalsRowDxfId="374">
      <totalsRowFormula>COUNTIF(NazočnostZaListopad[4],"N")+COUNTIF(NazočnostZaListopad[4],"O")</totalsRowFormula>
    </tableColumn>
    <tableColumn id="6" name="5" totalsRowFunction="custom" dataDxfId="898" totalsRowDxfId="373">
      <totalsRowFormula>COUNTIF(NazočnostZaListopad[5],"N")+COUNTIF(NazočnostZaListopad[5],"O")</totalsRowFormula>
    </tableColumn>
    <tableColumn id="7" name="6" totalsRowFunction="custom" dataDxfId="897" totalsRowDxfId="372">
      <totalsRowFormula>COUNTIF(NazočnostZaListopad[6],"N")+COUNTIF(NazočnostZaListopad[6],"O")</totalsRowFormula>
    </tableColumn>
    <tableColumn id="8" name="7" totalsRowFunction="custom" dataDxfId="896" totalsRowDxfId="371">
      <totalsRowFormula>COUNTIF(NazočnostZaListopad[7],"N")+COUNTIF(NazočnostZaListopad[7],"O")</totalsRowFormula>
    </tableColumn>
    <tableColumn id="9" name="8" totalsRowFunction="custom" dataDxfId="895" totalsRowDxfId="370">
      <totalsRowFormula>COUNTIF(NazočnostZaListopad[8],"N")+COUNTIF(NazočnostZaListopad[8],"O")</totalsRowFormula>
    </tableColumn>
    <tableColumn id="10" name="9" totalsRowFunction="custom" dataDxfId="894" totalsRowDxfId="369">
      <totalsRowFormula>COUNTIF(NazočnostZaListopad[9],"N")+COUNTIF(NazočnostZaListopad[9],"O")</totalsRowFormula>
    </tableColumn>
    <tableColumn id="11" name="10" totalsRowFunction="custom" dataDxfId="893" totalsRowDxfId="368">
      <totalsRowFormula>COUNTIF(NazočnostZaListopad[10],"N")+COUNTIF(NazočnostZaListopad[10],"O")</totalsRowFormula>
    </tableColumn>
    <tableColumn id="12" name="11" totalsRowFunction="custom" dataDxfId="892" totalsRowDxfId="367">
      <totalsRowFormula>COUNTIF(NazočnostZaListopad[11],"N")+COUNTIF(NazočnostZaListopad[11],"O")</totalsRowFormula>
    </tableColumn>
    <tableColumn id="13" name="12" totalsRowFunction="custom" dataDxfId="891" totalsRowDxfId="366">
      <totalsRowFormula>COUNTIF(NazočnostZaListopad[12],"N")+COUNTIF(NazočnostZaListopad[12],"O")</totalsRowFormula>
    </tableColumn>
    <tableColumn id="14" name="13" totalsRowFunction="custom" dataDxfId="890" totalsRowDxfId="365">
      <totalsRowFormula>COUNTIF(NazočnostZaListopad[13],"N")+COUNTIF(NazočnostZaListopad[13],"O")</totalsRowFormula>
    </tableColumn>
    <tableColumn id="15" name="14" totalsRowFunction="custom" dataDxfId="889" totalsRowDxfId="364">
      <totalsRowFormula>COUNTIF(NazočnostZaListopad[14],"N")+COUNTIF(NazočnostZaListopad[14],"O")</totalsRowFormula>
    </tableColumn>
    <tableColumn id="16" name="15" totalsRowFunction="custom" dataDxfId="888" totalsRowDxfId="363">
      <totalsRowFormula>COUNTIF(NazočnostZaListopad[15],"N")+COUNTIF(NazočnostZaListopad[15],"O")</totalsRowFormula>
    </tableColumn>
    <tableColumn id="17" name="16" totalsRowFunction="custom" dataDxfId="887" totalsRowDxfId="362">
      <totalsRowFormula>COUNTIF(NazočnostZaListopad[16],"N")+COUNTIF(NazočnostZaListopad[16],"O")</totalsRowFormula>
    </tableColumn>
    <tableColumn id="18" name="17" totalsRowFunction="custom" dataDxfId="886" totalsRowDxfId="361">
      <totalsRowFormula>COUNTIF(NazočnostZaListopad[17],"N")+COUNTIF(NazočnostZaListopad[17],"O")</totalsRowFormula>
    </tableColumn>
    <tableColumn id="19" name="18" totalsRowFunction="custom" dataDxfId="885" totalsRowDxfId="360">
      <totalsRowFormula>COUNTIF(NazočnostZaListopad[18],"N")+COUNTIF(NazočnostZaListopad[18],"O")</totalsRowFormula>
    </tableColumn>
    <tableColumn id="20" name="19" totalsRowFunction="custom" dataDxfId="884" totalsRowDxfId="359">
      <totalsRowFormula>COUNTIF(NazočnostZaListopad[19],"N")+COUNTIF(NazočnostZaListopad[19],"O")</totalsRowFormula>
    </tableColumn>
    <tableColumn id="21" name="20" totalsRowFunction="custom" dataDxfId="883" totalsRowDxfId="358">
      <totalsRowFormula>COUNTIF(NazočnostZaListopad[20],"N")+COUNTIF(NazočnostZaListopad[20],"O")</totalsRowFormula>
    </tableColumn>
    <tableColumn id="22" name="21" totalsRowFunction="custom" dataDxfId="882" totalsRowDxfId="357">
      <totalsRowFormula>COUNTIF(NazočnostZaListopad[21],"N")+COUNTIF(NazočnostZaListopad[21],"O")</totalsRowFormula>
    </tableColumn>
    <tableColumn id="23" name="22" totalsRowFunction="custom" dataDxfId="881" totalsRowDxfId="356">
      <totalsRowFormula>COUNTIF(NazočnostZaListopad[22],"N")+COUNTIF(NazočnostZaListopad[22],"O")</totalsRowFormula>
    </tableColumn>
    <tableColumn id="24" name="23" totalsRowFunction="custom" dataDxfId="880" totalsRowDxfId="355">
      <totalsRowFormula>COUNTIF(NazočnostZaListopad[23],"N")+COUNTIF(NazočnostZaListopad[23],"O")</totalsRowFormula>
    </tableColumn>
    <tableColumn id="25" name="24" totalsRowFunction="custom" dataDxfId="879" totalsRowDxfId="354">
      <totalsRowFormula>COUNTIF(NazočnostZaListopad[24],"N")+COUNTIF(NazočnostZaListopad[24],"O")</totalsRowFormula>
    </tableColumn>
    <tableColumn id="26" name="25" totalsRowFunction="custom" dataDxfId="878" totalsRowDxfId="353">
      <totalsRowFormula>COUNTIF(NazočnostZaListopad[25],"N")+COUNTIF(NazočnostZaListopad[25],"O")</totalsRowFormula>
    </tableColumn>
    <tableColumn id="27" name="26" totalsRowFunction="custom" dataDxfId="877" totalsRowDxfId="352">
      <totalsRowFormula>COUNTIF(NazočnostZaListopad[26],"N")+COUNTIF(NazočnostZaListopad[26],"O")</totalsRowFormula>
    </tableColumn>
    <tableColumn id="28" name="27" totalsRowFunction="custom" dataDxfId="876" totalsRowDxfId="351">
      <totalsRowFormula>COUNTIF(NazočnostZaListopad[27],"N")+COUNTIF(NazočnostZaListopad[27],"O")</totalsRowFormula>
    </tableColumn>
    <tableColumn id="29" name="28" totalsRowFunction="custom" dataDxfId="875" totalsRowDxfId="350">
      <totalsRowFormula>COUNTIF(NazočnostZaListopad[28],"N")+COUNTIF(NazočnostZaListopad[28],"O")</totalsRowFormula>
    </tableColumn>
    <tableColumn id="30" name="29" totalsRowFunction="custom" dataDxfId="874" totalsRowDxfId="349">
      <totalsRowFormula>COUNTIF(NazočnostZaListopad[29],"N")+COUNTIF(NazočnostZaListopad[29],"O")</totalsRowFormula>
    </tableColumn>
    <tableColumn id="31" name="30" totalsRowFunction="custom" totalsRowDxfId="348">
      <totalsRowFormula>COUNTIF(NazočnostZaListopad[30],"N")+COUNTIF(NazočnostZaListopad[30],"O")</totalsRowFormula>
    </tableColumn>
    <tableColumn id="32" name="31" totalsRowFunction="custom" totalsRowDxfId="347">
      <totalsRowFormula>COUNTIF(NazočnostZaListopad[31],"N")+COUNTIF(NazočnostZaListopad[31],"O")</totalsRowFormula>
    </tableColumn>
    <tableColumn id="35" name="K" totalsRowFunction="sum" dataDxfId="873" totalsRowDxfId="346">
      <calculatedColumnFormula>COUNTIF(NazočnostZaListopad[[#This Row],[1]:[31]],Šifra1)</calculatedColumnFormula>
    </tableColumn>
    <tableColumn id="34" name="O" totalsRowFunction="sum" dataDxfId="872" totalsRowDxfId="345">
      <calculatedColumnFormula>COUNTIF(NazočnostZaListopad[[#This Row],[1]:[31]],Šifra2)</calculatedColumnFormula>
    </tableColumn>
    <tableColumn id="37" name="N" totalsRowFunction="sum" dataDxfId="871" totalsRowDxfId="344">
      <calculatedColumnFormula>COUNTIF(NazočnostZaListopad[[#This Row],[1]:[31]],Šifra3)</calculatedColumnFormula>
    </tableColumn>
    <tableColumn id="36" name="P" totalsRowFunction="sum" dataDxfId="870" totalsRowDxfId="343">
      <calculatedColumnFormula>COUNTIF(NazočnostZaListopad[[#This Row],[1]:[31]],Šifra4)</calculatedColumnFormula>
    </tableColumn>
    <tableColumn id="33" name="Dani izostanaka" totalsRowFunction="sum" totalsRowDxfId="342">
      <calculatedColumnFormula>SUM(NazočnostZaRujan[[#This Row],[O]:[N]])</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Evidencija nazočnosti za kolovoz" altTextSummary="Evidentira nazočnost učenika, primjerice K = kašnjenje, O = opravdani, N = neopravdani, P = prisutan, N = nema škole, za listopad."/>
    </ext>
  </extLst>
</table>
</file>

<file path=xl/tables/table5.xml><?xml version="1.0" encoding="utf-8"?>
<table xmlns="http://schemas.openxmlformats.org/spreadsheetml/2006/main" id="4" name="NazočnostZaStudeni" displayName="NazočnostZaStudeni" ref="B6:AM12" totalsRowCount="1" totalsRowDxfId="859">
  <tableColumns count="38">
    <tableColumn id="38" name="Identifikacijski broj učenika" totalsRowDxfId="303"/>
    <tableColumn id="1" name="Ime učenika" totalsRowLabel="Ukupan broj dana izostanaka" dataDxfId="858" totalsRowDxfId="302">
      <calculatedColumnFormula>IFERROR(VLOOKUP(NazočnostZaStudeni[[#This Row],[Identifikacijski broj učenika]],PopisUčenika[],18,FALSE),"")</calculatedColumnFormula>
    </tableColumn>
    <tableColumn id="2" name="1" totalsRowFunction="custom" dataDxfId="857" totalsRowDxfId="301">
      <totalsRowFormula>COUNTIF(NazočnostZaStudeni[1],"N")+COUNTIF(NazočnostZaStudeni[1],"O")</totalsRowFormula>
    </tableColumn>
    <tableColumn id="3" name="2" totalsRowFunction="custom" dataDxfId="856" totalsRowDxfId="300">
      <totalsRowFormula>COUNTIF(NazočnostZaStudeni[2],"N")+COUNTIF(NazočnostZaStudeni[2],"O")</totalsRowFormula>
    </tableColumn>
    <tableColumn id="4" name="3" totalsRowFunction="custom" dataDxfId="855" totalsRowDxfId="299">
      <totalsRowFormula>COUNTIF(NazočnostZaStudeni[3],"N")+COUNTIF(NazočnostZaStudeni[3],"O")</totalsRowFormula>
    </tableColumn>
    <tableColumn id="5" name="4" totalsRowFunction="custom" dataDxfId="854" totalsRowDxfId="298">
      <totalsRowFormula>COUNTIF(NazočnostZaStudeni[4],"N")+COUNTIF(NazočnostZaStudeni[4],"O")</totalsRowFormula>
    </tableColumn>
    <tableColumn id="6" name="5" totalsRowFunction="custom" dataDxfId="853" totalsRowDxfId="297">
      <totalsRowFormula>COUNTIF(NazočnostZaStudeni[5],"N")+COUNTIF(NazočnostZaStudeni[5],"O")</totalsRowFormula>
    </tableColumn>
    <tableColumn id="7" name="6" totalsRowFunction="custom" dataDxfId="852" totalsRowDxfId="296">
      <totalsRowFormula>COUNTIF(NazočnostZaStudeni[6],"N")+COUNTIF(NazočnostZaStudeni[6],"O")</totalsRowFormula>
    </tableColumn>
    <tableColumn id="8" name="7" totalsRowFunction="custom" dataDxfId="851" totalsRowDxfId="295">
      <totalsRowFormula>COUNTIF(NazočnostZaStudeni[7],"N")+COUNTIF(NazočnostZaStudeni[7],"O")</totalsRowFormula>
    </tableColumn>
    <tableColumn id="9" name="8" totalsRowFunction="custom" dataDxfId="850" totalsRowDxfId="294">
      <totalsRowFormula>COUNTIF(NazočnostZaStudeni[8],"N")+COUNTIF(NazočnostZaStudeni[8],"O")</totalsRowFormula>
    </tableColumn>
    <tableColumn id="10" name="9" totalsRowFunction="custom" dataDxfId="849" totalsRowDxfId="293">
      <totalsRowFormula>COUNTIF(NazočnostZaStudeni[9],"N")+COUNTIF(NazočnostZaStudeni[9],"O")</totalsRowFormula>
    </tableColumn>
    <tableColumn id="11" name="10" totalsRowFunction="custom" dataDxfId="848" totalsRowDxfId="292">
      <totalsRowFormula>COUNTIF(NazočnostZaStudeni[10],"N")+COUNTIF(NazočnostZaStudeni[10],"O")</totalsRowFormula>
    </tableColumn>
    <tableColumn id="12" name="11" totalsRowFunction="custom" dataDxfId="847" totalsRowDxfId="291">
      <totalsRowFormula>COUNTIF(NazočnostZaStudeni[11],"N")+COUNTIF(NazočnostZaStudeni[11],"O")</totalsRowFormula>
    </tableColumn>
    <tableColumn id="13" name="12" totalsRowFunction="custom" dataDxfId="846" totalsRowDxfId="290">
      <totalsRowFormula>COUNTIF(NazočnostZaStudeni[12],"N")+COUNTIF(NazočnostZaStudeni[12],"O")</totalsRowFormula>
    </tableColumn>
    <tableColumn id="14" name="13" totalsRowFunction="custom" dataDxfId="845" totalsRowDxfId="289">
      <totalsRowFormula>COUNTIF(NazočnostZaStudeni[13],"N")+COUNTIF(NazočnostZaStudeni[13],"O")</totalsRowFormula>
    </tableColumn>
    <tableColumn id="15" name="14" totalsRowFunction="custom" dataDxfId="844" totalsRowDxfId="288">
      <totalsRowFormula>COUNTIF(NazočnostZaStudeni[14],"N")+COUNTIF(NazočnostZaStudeni[14],"O")</totalsRowFormula>
    </tableColumn>
    <tableColumn id="16" name="15" totalsRowFunction="custom" dataDxfId="843" totalsRowDxfId="287">
      <totalsRowFormula>COUNTIF(NazočnostZaStudeni[15],"N")+COUNTIF(NazočnostZaStudeni[15],"O")</totalsRowFormula>
    </tableColumn>
    <tableColumn id="17" name="16" totalsRowFunction="custom" dataDxfId="842" totalsRowDxfId="286">
      <totalsRowFormula>COUNTIF(NazočnostZaStudeni[16],"N")+COUNTIF(NazočnostZaStudeni[16],"O")</totalsRowFormula>
    </tableColumn>
    <tableColumn id="18" name="17" totalsRowFunction="custom" dataDxfId="841" totalsRowDxfId="285">
      <totalsRowFormula>COUNTIF(NazočnostZaStudeni[17],"N")+COUNTIF(NazočnostZaStudeni[17],"O")</totalsRowFormula>
    </tableColumn>
    <tableColumn id="19" name="18" totalsRowFunction="custom" dataDxfId="840" totalsRowDxfId="284">
      <totalsRowFormula>COUNTIF(NazočnostZaStudeni[18],"N")+COUNTIF(NazočnostZaStudeni[18],"O")</totalsRowFormula>
    </tableColumn>
    <tableColumn id="20" name="19" totalsRowFunction="custom" dataDxfId="839" totalsRowDxfId="283">
      <totalsRowFormula>COUNTIF(NazočnostZaStudeni[19],"N")+COUNTIF(NazočnostZaStudeni[19],"O")</totalsRowFormula>
    </tableColumn>
    <tableColumn id="21" name="20" totalsRowFunction="custom" dataDxfId="838" totalsRowDxfId="282">
      <totalsRowFormula>COUNTIF(NazočnostZaStudeni[20],"N")+COUNTIF(NazočnostZaStudeni[20],"O")</totalsRowFormula>
    </tableColumn>
    <tableColumn id="22" name="21" totalsRowFunction="custom" dataDxfId="837" totalsRowDxfId="281">
      <totalsRowFormula>COUNTIF(NazočnostZaStudeni[21],"N")+COUNTIF(NazočnostZaStudeni[21],"O")</totalsRowFormula>
    </tableColumn>
    <tableColumn id="23" name="22" totalsRowFunction="custom" dataDxfId="836" totalsRowDxfId="280">
      <totalsRowFormula>COUNTIF(NazočnostZaStudeni[22],"N")+COUNTIF(NazočnostZaStudeni[22],"O")</totalsRowFormula>
    </tableColumn>
    <tableColumn id="24" name="23" totalsRowFunction="custom" dataDxfId="835" totalsRowDxfId="279">
      <totalsRowFormula>COUNTIF(NazočnostZaStudeni[23],"N")+COUNTIF(NazočnostZaStudeni[23],"O")</totalsRowFormula>
    </tableColumn>
    <tableColumn id="25" name="24" totalsRowFunction="custom" dataDxfId="834" totalsRowDxfId="278">
      <totalsRowFormula>COUNTIF(NazočnostZaStudeni[24],"N")+COUNTIF(NazočnostZaStudeni[24],"O")</totalsRowFormula>
    </tableColumn>
    <tableColumn id="26" name="25" totalsRowFunction="custom" dataDxfId="833" totalsRowDxfId="277">
      <totalsRowFormula>COUNTIF(NazočnostZaStudeni[25],"N")+COUNTIF(NazočnostZaStudeni[25],"O")</totalsRowFormula>
    </tableColumn>
    <tableColumn id="27" name="26" totalsRowFunction="custom" dataDxfId="832" totalsRowDxfId="276">
      <totalsRowFormula>COUNTIF(NazočnostZaStudeni[26],"N")+COUNTIF(NazočnostZaStudeni[26],"O")</totalsRowFormula>
    </tableColumn>
    <tableColumn id="28" name="27" totalsRowFunction="custom" dataDxfId="831" totalsRowDxfId="275">
      <totalsRowFormula>COUNTIF(NazočnostZaStudeni[27],"N")+COUNTIF(NazočnostZaStudeni[27],"O")</totalsRowFormula>
    </tableColumn>
    <tableColumn id="29" name="28" totalsRowFunction="custom" dataDxfId="830" totalsRowDxfId="274">
      <totalsRowFormula>COUNTIF(NazočnostZaStudeni[28],"N")+COUNTIF(NazočnostZaStudeni[28],"O")</totalsRowFormula>
    </tableColumn>
    <tableColumn id="30" name="29" totalsRowFunction="custom" dataDxfId="829" totalsRowDxfId="273">
      <totalsRowFormula>COUNTIF(NazočnostZaStudeni[29],"N")+COUNTIF(NazočnostZaStudeni[29],"O")</totalsRowFormula>
    </tableColumn>
    <tableColumn id="31" name="30" totalsRowFunction="custom" totalsRowDxfId="272">
      <totalsRowFormula>COUNTIF(NazočnostZaStudeni[30],"N")+COUNTIF(NazočnostZaStudeni[30],"O")</totalsRowFormula>
    </tableColumn>
    <tableColumn id="32" name=" " totalsRowFunction="custom" totalsRowDxfId="271">
      <totalsRowFormula>COUNTIF(NazočnostZaStudeni[[ ]],"N")+COUNTIF(NazočnostZaStudeni[[ ]],"O")</totalsRowFormula>
    </tableColumn>
    <tableColumn id="35" name="K" totalsRowFunction="sum" dataDxfId="828" totalsRowDxfId="270">
      <calculatedColumnFormula>COUNTIF(NazočnostZaStudeni[[#This Row],[1]:[ ]],Šifra1)</calculatedColumnFormula>
    </tableColumn>
    <tableColumn id="34" name="O" totalsRowFunction="sum" dataDxfId="827" totalsRowDxfId="269">
      <calculatedColumnFormula>COUNTIF(NazočnostZaStudeni[[#This Row],[1]:[ ]],Šifra2)</calculatedColumnFormula>
    </tableColumn>
    <tableColumn id="37" name="N" totalsRowFunction="sum" dataDxfId="826" totalsRowDxfId="268">
      <calculatedColumnFormula>COUNTIF(NazočnostZaStudeni[[#This Row],[1]:[ ]],Šifra3)</calculatedColumnFormula>
    </tableColumn>
    <tableColumn id="36" name="P" totalsRowFunction="sum" dataDxfId="825" totalsRowDxfId="267">
      <calculatedColumnFormula>COUNTIF(NazočnostZaStudeni[[#This Row],[1]:[ ]],Šifra4)</calculatedColumnFormula>
    </tableColumn>
    <tableColumn id="33" name="Dani izostanaka" totalsRowFunction="sum" totalsRowDxfId="266">
      <calculatedColumnFormula>SUM(NazočnostZaRujan[[#This Row],[O]:[N]])</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Evidencija nazočnosti za kolovoz" altTextSummary="Evidentira nazočnost učenika, primjerice K = kašnjenje, O = opravdani, N = neopravdani, P = prisutan, N = nema škole, za studeni."/>
    </ext>
  </extLst>
</table>
</file>

<file path=xl/tables/table6.xml><?xml version="1.0" encoding="utf-8"?>
<table xmlns="http://schemas.openxmlformats.org/spreadsheetml/2006/main" id="6" name="NazočnostZaProsinac" displayName="NazočnostZaProsinac" ref="B6:AM12" totalsRowCount="1" totalsRowDxfId="814">
  <tableColumns count="38">
    <tableColumn id="38" name="Identifikacijski broj učenika" totalsRowDxfId="341"/>
    <tableColumn id="1" name="Ime učenika" totalsRowLabel="Ukupan broj dana izostanaka" dataDxfId="813" totalsRowDxfId="340">
      <calculatedColumnFormula>IFERROR(VLOOKUP(NazočnostZaProsinac[[#This Row],[Identifikacijski broj učenika]],PopisUčenika[],18,FALSE),"")</calculatedColumnFormula>
    </tableColumn>
    <tableColumn id="2" name="1" totalsRowFunction="custom" dataDxfId="812" totalsRowDxfId="339">
      <totalsRowFormula>COUNTIF(NazočnostZaProsinac[1],"N")+COUNTIF(NazočnostZaProsinac[1],"O")</totalsRowFormula>
    </tableColumn>
    <tableColumn id="3" name="2" totalsRowFunction="custom" dataDxfId="811" totalsRowDxfId="338">
      <totalsRowFormula>COUNTIF(NazočnostZaProsinac[2],"N")+COUNTIF(NazočnostZaProsinac[2],"O")</totalsRowFormula>
    </tableColumn>
    <tableColumn id="4" name="3" totalsRowFunction="custom" dataDxfId="810" totalsRowDxfId="337">
      <totalsRowFormula>COUNTIF(NazočnostZaProsinac[3],"N")+COUNTIF(NazočnostZaProsinac[3],"O")</totalsRowFormula>
    </tableColumn>
    <tableColumn id="5" name="4" totalsRowFunction="custom" dataDxfId="809" totalsRowDxfId="336">
      <totalsRowFormula>COUNTIF(NazočnostZaProsinac[4],"N")+COUNTIF(NazočnostZaProsinac[4],"O")</totalsRowFormula>
    </tableColumn>
    <tableColumn id="6" name="5" totalsRowFunction="custom" dataDxfId="808" totalsRowDxfId="335">
      <totalsRowFormula>COUNTIF(NazočnostZaProsinac[5],"N")+COUNTIF(NazočnostZaProsinac[5],"O")</totalsRowFormula>
    </tableColumn>
    <tableColumn id="7" name="6" totalsRowFunction="custom" dataDxfId="807" totalsRowDxfId="334">
      <totalsRowFormula>COUNTIF(NazočnostZaProsinac[6],"N")+COUNTIF(NazočnostZaProsinac[6],"O")</totalsRowFormula>
    </tableColumn>
    <tableColumn id="8" name="7" totalsRowFunction="custom" dataDxfId="806" totalsRowDxfId="333">
      <totalsRowFormula>COUNTIF(NazočnostZaProsinac[7],"N")+COUNTIF(NazočnostZaProsinac[7],"O")</totalsRowFormula>
    </tableColumn>
    <tableColumn id="9" name="8" totalsRowFunction="custom" dataDxfId="805" totalsRowDxfId="332">
      <totalsRowFormula>COUNTIF(NazočnostZaProsinac[8],"N")+COUNTIF(NazočnostZaProsinac[8],"O")</totalsRowFormula>
    </tableColumn>
    <tableColumn id="10" name="9" totalsRowFunction="custom" dataDxfId="804" totalsRowDxfId="331">
      <totalsRowFormula>COUNTIF(NazočnostZaProsinac[9],"N")+COUNTIF(NazočnostZaProsinac[9],"O")</totalsRowFormula>
    </tableColumn>
    <tableColumn id="11" name="10" totalsRowFunction="custom" dataDxfId="803" totalsRowDxfId="330">
      <totalsRowFormula>COUNTIF(NazočnostZaProsinac[10],"N")+COUNTIF(NazočnostZaProsinac[10],"O")</totalsRowFormula>
    </tableColumn>
    <tableColumn id="12" name="11" totalsRowFunction="custom" dataDxfId="802" totalsRowDxfId="329">
      <totalsRowFormula>COUNTIF(NazočnostZaProsinac[11],"N")+COUNTIF(NazočnostZaProsinac[11],"O")</totalsRowFormula>
    </tableColumn>
    <tableColumn id="13" name="12" totalsRowFunction="custom" dataDxfId="801" totalsRowDxfId="328">
      <totalsRowFormula>COUNTIF(NazočnostZaProsinac[12],"N")+COUNTIF(NazočnostZaProsinac[12],"O")</totalsRowFormula>
    </tableColumn>
    <tableColumn id="14" name="13" totalsRowFunction="custom" dataDxfId="800" totalsRowDxfId="327">
      <totalsRowFormula>COUNTIF(NazočnostZaProsinac[13],"N")+COUNTIF(NazočnostZaProsinac[13],"O")</totalsRowFormula>
    </tableColumn>
    <tableColumn id="15" name="14" totalsRowFunction="custom" dataDxfId="799" totalsRowDxfId="326">
      <totalsRowFormula>COUNTIF(NazočnostZaProsinac[14],"N")+COUNTIF(NazočnostZaProsinac[14],"O")</totalsRowFormula>
    </tableColumn>
    <tableColumn id="16" name="15" totalsRowFunction="custom" dataDxfId="798" totalsRowDxfId="325">
      <totalsRowFormula>COUNTIF(NazočnostZaProsinac[15],"N")+COUNTIF(NazočnostZaProsinac[15],"O")</totalsRowFormula>
    </tableColumn>
    <tableColumn id="17" name="16" totalsRowFunction="custom" dataDxfId="797" totalsRowDxfId="324">
      <totalsRowFormula>COUNTIF(NazočnostZaProsinac[16],"N")+COUNTIF(NazočnostZaProsinac[16],"O")</totalsRowFormula>
    </tableColumn>
    <tableColumn id="18" name="17" totalsRowFunction="custom" dataDxfId="796" totalsRowDxfId="323">
      <totalsRowFormula>COUNTIF(NazočnostZaProsinac[17],"N")+COUNTIF(NazočnostZaProsinac[17],"O")</totalsRowFormula>
    </tableColumn>
    <tableColumn id="19" name="18" totalsRowFunction="custom" dataDxfId="795" totalsRowDxfId="322">
      <totalsRowFormula>COUNTIF(NazočnostZaProsinac[18],"N")+COUNTIF(NazočnostZaProsinac[18],"O")</totalsRowFormula>
    </tableColumn>
    <tableColumn id="20" name="19" totalsRowFunction="custom" dataDxfId="794" totalsRowDxfId="321">
      <totalsRowFormula>COUNTIF(NazočnostZaProsinac[19],"N")+COUNTIF(NazočnostZaProsinac[19],"O")</totalsRowFormula>
    </tableColumn>
    <tableColumn id="21" name="20" totalsRowFunction="custom" dataDxfId="793" totalsRowDxfId="320">
      <totalsRowFormula>COUNTIF(NazočnostZaProsinac[20],"N")+COUNTIF(NazočnostZaProsinac[20],"O")</totalsRowFormula>
    </tableColumn>
    <tableColumn id="22" name="21" totalsRowFunction="custom" dataDxfId="792" totalsRowDxfId="319">
      <totalsRowFormula>COUNTIF(NazočnostZaProsinac[21],"N")+COUNTIF(NazočnostZaProsinac[21],"O")</totalsRowFormula>
    </tableColumn>
    <tableColumn id="23" name="22" totalsRowFunction="custom" dataDxfId="791" totalsRowDxfId="318">
      <totalsRowFormula>COUNTIF(NazočnostZaProsinac[22],"N")+COUNTIF(NazočnostZaProsinac[22],"O")</totalsRowFormula>
    </tableColumn>
    <tableColumn id="24" name="23" totalsRowFunction="custom" dataDxfId="790" totalsRowDxfId="317">
      <totalsRowFormula>COUNTIF(NazočnostZaProsinac[23],"N")+COUNTIF(NazočnostZaProsinac[23],"O")</totalsRowFormula>
    </tableColumn>
    <tableColumn id="25" name="24" totalsRowFunction="custom" dataDxfId="789" totalsRowDxfId="316">
      <totalsRowFormula>COUNTIF(NazočnostZaProsinac[24],"N")+COUNTIF(NazočnostZaProsinac[24],"O")</totalsRowFormula>
    </tableColumn>
    <tableColumn id="26" name="25" totalsRowFunction="custom" dataDxfId="788" totalsRowDxfId="315">
      <totalsRowFormula>COUNTIF(NazočnostZaProsinac[25],"N")+COUNTIF(NazočnostZaProsinac[25],"O")</totalsRowFormula>
    </tableColumn>
    <tableColumn id="27" name="26" totalsRowFunction="custom" dataDxfId="787" totalsRowDxfId="314">
      <totalsRowFormula>COUNTIF(NazočnostZaProsinac[26],"N")+COUNTIF(NazočnostZaProsinac[26],"O")</totalsRowFormula>
    </tableColumn>
    <tableColumn id="28" name="27" totalsRowFunction="custom" dataDxfId="786" totalsRowDxfId="313">
      <totalsRowFormula>COUNTIF(NazočnostZaProsinac[27],"N")+COUNTIF(NazočnostZaProsinac[27],"O")</totalsRowFormula>
    </tableColumn>
    <tableColumn id="29" name="28" totalsRowFunction="custom" dataDxfId="785" totalsRowDxfId="312">
      <totalsRowFormula>COUNTIF(NazočnostZaProsinac[28],"N")+COUNTIF(NazočnostZaProsinac[28],"O")</totalsRowFormula>
    </tableColumn>
    <tableColumn id="30" name="29" totalsRowFunction="custom" dataDxfId="784" totalsRowDxfId="311">
      <totalsRowFormula>COUNTIF(NazočnostZaProsinac[29],"N")+COUNTIF(NazočnostZaProsinac[29],"O")</totalsRowFormula>
    </tableColumn>
    <tableColumn id="31" name="30" totalsRowFunction="custom" totalsRowDxfId="310">
      <totalsRowFormula>COUNTIF(NazočnostZaProsinac[30],"N")+COUNTIF(NazočnostZaProsinac[30],"O")</totalsRowFormula>
    </tableColumn>
    <tableColumn id="32" name="31" totalsRowFunction="custom" totalsRowDxfId="309">
      <totalsRowFormula>COUNTIF(NazočnostZaProsinac[31],"N")+COUNTIF(NazočnostZaProsinac[31],"O")</totalsRowFormula>
    </tableColumn>
    <tableColumn id="35" name="K" totalsRowFunction="sum" dataDxfId="783" totalsRowDxfId="308">
      <calculatedColumnFormula>COUNTIF(NazočnostZaProsinac[[#This Row],[1]:[31]],Šifra1)</calculatedColumnFormula>
    </tableColumn>
    <tableColumn id="34" name="O" totalsRowFunction="sum" dataDxfId="782" totalsRowDxfId="307">
      <calculatedColumnFormula>COUNTIF(NazočnostZaProsinac[[#This Row],[1]:[31]],Šifra2)</calculatedColumnFormula>
    </tableColumn>
    <tableColumn id="37" name="N" totalsRowFunction="sum" dataDxfId="781" totalsRowDxfId="306">
      <calculatedColumnFormula>COUNTIF(NazočnostZaProsinac[[#This Row],[1]:[31]],Šifra3)</calculatedColumnFormula>
    </tableColumn>
    <tableColumn id="36" name="P" totalsRowFunction="sum" dataDxfId="780" totalsRowDxfId="305">
      <calculatedColumnFormula>COUNTIF(NazočnostZaProsinac[[#This Row],[1]:[31]],Šifra4)</calculatedColumnFormula>
    </tableColumn>
    <tableColumn id="33" name="Dani izostanaka" totalsRowFunction="sum" totalsRowDxfId="304">
      <calculatedColumnFormula>SUM(NazočnostZaRujan[[#This Row],[O]:[N]])</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Evidencija nazočnosti za kolovoz" altTextSummary="Evidentira nazočnost učenika, primjerice K = kašnjenje, O = opravdani, N = neopravdani, P = prisutan, N = nema škole, za prosinac."/>
    </ext>
  </extLst>
</table>
</file>

<file path=xl/tables/table7.xml><?xml version="1.0" encoding="utf-8"?>
<table xmlns="http://schemas.openxmlformats.org/spreadsheetml/2006/main" id="7" name="NazočnostZaSiječanj" displayName="NazočnostZaSiječanj" ref="B6:AM12" totalsRowCount="1" headerRowDxfId="774" totalsRowDxfId="773">
  <tableColumns count="38">
    <tableColumn id="38" name="Identifikacijski broj učenika" dataDxfId="772" totalsRowDxfId="265"/>
    <tableColumn id="1" name="Ime učenika" totalsRowLabel="Ukupan broj dana izostanaka" dataDxfId="771" totalsRowDxfId="264">
      <calculatedColumnFormula>IFERROR(VLOOKUP(NazočnostZaSiječanj[[#This Row],[Identifikacijski broj učenika]],PopisUčenika[],18,FALSE),"")</calculatedColumnFormula>
    </tableColumn>
    <tableColumn id="2" name="1" totalsRowFunction="custom" dataDxfId="770" totalsRowDxfId="263">
      <totalsRowFormula>COUNTIF(NazočnostZaSiječanj[1],"N")+COUNTIF(NazočnostZaSiječanj[1],"O")</totalsRowFormula>
    </tableColumn>
    <tableColumn id="3" name="2" totalsRowFunction="custom" dataDxfId="769" totalsRowDxfId="262">
      <totalsRowFormula>COUNTIF(NazočnostZaSiječanj[2],"N")+COUNTIF(NazočnostZaSiječanj[2],"O")</totalsRowFormula>
    </tableColumn>
    <tableColumn id="4" name="3" totalsRowFunction="custom" dataDxfId="768" totalsRowDxfId="261">
      <totalsRowFormula>COUNTIF(NazočnostZaSiječanj[3],"N")+COUNTIF(NazočnostZaSiječanj[3],"O")</totalsRowFormula>
    </tableColumn>
    <tableColumn id="5" name="4" totalsRowFunction="custom" dataDxfId="767" totalsRowDxfId="260">
      <totalsRowFormula>COUNTIF(NazočnostZaSiječanj[4],"N")+COUNTIF(NazočnostZaSiječanj[4],"O")</totalsRowFormula>
    </tableColumn>
    <tableColumn id="6" name="5" totalsRowFunction="custom" dataDxfId="766" totalsRowDxfId="259">
      <totalsRowFormula>COUNTIF(NazočnostZaSiječanj[5],"N")+COUNTIF(NazočnostZaSiječanj[5],"O")</totalsRowFormula>
    </tableColumn>
    <tableColumn id="7" name="6" totalsRowFunction="custom" dataDxfId="765" totalsRowDxfId="258">
      <totalsRowFormula>COUNTIF(NazočnostZaSiječanj[6],"N")+COUNTIF(NazočnostZaSiječanj[6],"O")</totalsRowFormula>
    </tableColumn>
    <tableColumn id="8" name="7" totalsRowFunction="custom" dataDxfId="764" totalsRowDxfId="257">
      <totalsRowFormula>COUNTIF(NazočnostZaSiječanj[7],"N")+COUNTIF(NazočnostZaSiječanj[7],"O")</totalsRowFormula>
    </tableColumn>
    <tableColumn id="9" name="8" totalsRowFunction="custom" dataDxfId="763" totalsRowDxfId="256">
      <totalsRowFormula>COUNTIF(NazočnostZaSiječanj[8],"N")+COUNTIF(NazočnostZaSiječanj[8],"O")</totalsRowFormula>
    </tableColumn>
    <tableColumn id="10" name="9" totalsRowFunction="custom" dataDxfId="762" totalsRowDxfId="255">
      <totalsRowFormula>COUNTIF(NazočnostZaSiječanj[9],"N")+COUNTIF(NazočnostZaSiječanj[9],"O")</totalsRowFormula>
    </tableColumn>
    <tableColumn id="11" name="10" totalsRowFunction="custom" dataDxfId="761" totalsRowDxfId="254">
      <totalsRowFormula>COUNTIF(NazočnostZaSiječanj[10],"N")+COUNTIF(NazočnostZaSiječanj[10],"O")</totalsRowFormula>
    </tableColumn>
    <tableColumn id="12" name="11" totalsRowFunction="custom" dataDxfId="760" totalsRowDxfId="253">
      <totalsRowFormula>COUNTIF(NazočnostZaSiječanj[11],"N")+COUNTIF(NazočnostZaSiječanj[11],"O")</totalsRowFormula>
    </tableColumn>
    <tableColumn id="13" name="12" totalsRowFunction="custom" dataDxfId="759" totalsRowDxfId="252">
      <totalsRowFormula>COUNTIF(NazočnostZaSiječanj[12],"N")+COUNTIF(NazočnostZaSiječanj[12],"O")</totalsRowFormula>
    </tableColumn>
    <tableColumn id="14" name="13" totalsRowFunction="custom" dataDxfId="758" totalsRowDxfId="251">
      <totalsRowFormula>COUNTIF(NazočnostZaSiječanj[13],"N")+COUNTIF(NazočnostZaSiječanj[13],"O")</totalsRowFormula>
    </tableColumn>
    <tableColumn id="15" name="14" totalsRowFunction="custom" dataDxfId="757" totalsRowDxfId="250">
      <totalsRowFormula>COUNTIF(NazočnostZaSiječanj[14],"N")+COUNTIF(NazočnostZaSiječanj[14],"O")</totalsRowFormula>
    </tableColumn>
    <tableColumn id="16" name="15" totalsRowFunction="custom" dataDxfId="756" totalsRowDxfId="249">
      <totalsRowFormula>COUNTIF(NazočnostZaSiječanj[15],"N")+COUNTIF(NazočnostZaSiječanj[15],"O")</totalsRowFormula>
    </tableColumn>
    <tableColumn id="17" name="16" totalsRowFunction="custom" dataDxfId="755" totalsRowDxfId="248">
      <totalsRowFormula>COUNTIF(NazočnostZaSiječanj[16],"N")+COUNTIF(NazočnostZaSiječanj[16],"O")</totalsRowFormula>
    </tableColumn>
    <tableColumn id="18" name="17" totalsRowFunction="custom" dataDxfId="754" totalsRowDxfId="247">
      <totalsRowFormula>COUNTIF(NazočnostZaSiječanj[17],"N")+COUNTIF(NazočnostZaSiječanj[17],"O")</totalsRowFormula>
    </tableColumn>
    <tableColumn id="19" name="18" totalsRowFunction="custom" dataDxfId="753" totalsRowDxfId="246">
      <totalsRowFormula>COUNTIF(NazočnostZaSiječanj[18],"N")+COUNTIF(NazočnostZaSiječanj[18],"O")</totalsRowFormula>
    </tableColumn>
    <tableColumn id="20" name="19" totalsRowFunction="custom" dataDxfId="752" totalsRowDxfId="245">
      <totalsRowFormula>COUNTIF(NazočnostZaSiječanj[19],"N")+COUNTIF(NazočnostZaSiječanj[19],"O")</totalsRowFormula>
    </tableColumn>
    <tableColumn id="21" name="20" totalsRowFunction="custom" dataDxfId="751" totalsRowDxfId="244">
      <totalsRowFormula>COUNTIF(NazočnostZaSiječanj[20],"N")+COUNTIF(NazočnostZaSiječanj[20],"O")</totalsRowFormula>
    </tableColumn>
    <tableColumn id="22" name="21" totalsRowFunction="custom" dataDxfId="750" totalsRowDxfId="243">
      <totalsRowFormula>COUNTIF(NazočnostZaSiječanj[21],"N")+COUNTIF(NazočnostZaSiječanj[21],"O")</totalsRowFormula>
    </tableColumn>
    <tableColumn id="23" name="22" totalsRowFunction="custom" dataDxfId="749" totalsRowDxfId="242">
      <totalsRowFormula>COUNTIF(NazočnostZaSiječanj[22],"N")+COUNTIF(NazočnostZaSiječanj[22],"O")</totalsRowFormula>
    </tableColumn>
    <tableColumn id="24" name="23" totalsRowFunction="custom" dataDxfId="748" totalsRowDxfId="241">
      <totalsRowFormula>COUNTIF(NazočnostZaSiječanj[23],"N")+COUNTIF(NazočnostZaSiječanj[23],"O")</totalsRowFormula>
    </tableColumn>
    <tableColumn id="25" name="24" totalsRowFunction="custom" dataDxfId="747" totalsRowDxfId="240">
      <totalsRowFormula>COUNTIF(NazočnostZaSiječanj[24],"N")+COUNTIF(NazočnostZaSiječanj[24],"O")</totalsRowFormula>
    </tableColumn>
    <tableColumn id="26" name="25" totalsRowFunction="custom" dataDxfId="746" totalsRowDxfId="239">
      <totalsRowFormula>COUNTIF(NazočnostZaSiječanj[25],"N")+COUNTIF(NazočnostZaSiječanj[25],"O")</totalsRowFormula>
    </tableColumn>
    <tableColumn id="27" name="26" totalsRowFunction="custom" dataDxfId="745" totalsRowDxfId="238">
      <totalsRowFormula>COUNTIF(NazočnostZaSiječanj[26],"N")+COUNTIF(NazočnostZaSiječanj[26],"O")</totalsRowFormula>
    </tableColumn>
    <tableColumn id="28" name="27" totalsRowFunction="custom" dataDxfId="744" totalsRowDxfId="237">
      <totalsRowFormula>COUNTIF(NazočnostZaSiječanj[27],"N")+COUNTIF(NazočnostZaSiječanj[27],"O")</totalsRowFormula>
    </tableColumn>
    <tableColumn id="29" name="28" totalsRowFunction="custom" dataDxfId="743" totalsRowDxfId="236">
      <totalsRowFormula>COUNTIF(NazočnostZaSiječanj[28],"N")+COUNTIF(NazočnostZaSiječanj[28],"O")</totalsRowFormula>
    </tableColumn>
    <tableColumn id="30" name="29" totalsRowFunction="custom" dataDxfId="742" totalsRowDxfId="235">
      <totalsRowFormula>COUNTIF(NazočnostZaSiječanj[29],"N")+COUNTIF(NazočnostZaSiječanj[29],"O")</totalsRowFormula>
    </tableColumn>
    <tableColumn id="31" name="30" totalsRowFunction="custom" dataDxfId="741" totalsRowDxfId="234">
      <totalsRowFormula>COUNTIF(NazočnostZaSiječanj[30],"N")+COUNTIF(NazočnostZaSiječanj[30],"O")</totalsRowFormula>
    </tableColumn>
    <tableColumn id="32" name="31" totalsRowFunction="custom" dataDxfId="740" totalsRowDxfId="233">
      <totalsRowFormula>COUNTIF(NazočnostZaSiječanj[31],"N")+COUNTIF(NazočnostZaSiječanj[31],"O")</totalsRowFormula>
    </tableColumn>
    <tableColumn id="35" name="K" totalsRowFunction="sum" dataDxfId="739" totalsRowDxfId="232">
      <calculatedColumnFormula>COUNTIF(NazočnostZaSiječanj[[#This Row],[1]:[31]],Šifra1)</calculatedColumnFormula>
    </tableColumn>
    <tableColumn id="34" name="O" totalsRowFunction="sum" dataDxfId="738" totalsRowDxfId="231">
      <calculatedColumnFormula>COUNTIF(NazočnostZaSiječanj[[#This Row],[1]:[31]],Šifra2)</calculatedColumnFormula>
    </tableColumn>
    <tableColumn id="37" name="N" totalsRowFunction="sum" dataDxfId="737" totalsRowDxfId="230">
      <calculatedColumnFormula>COUNTIF(NazočnostZaSiječanj[[#This Row],[1]:[31]],Šifra3)</calculatedColumnFormula>
    </tableColumn>
    <tableColumn id="36" name="P" totalsRowFunction="sum" dataDxfId="736" totalsRowDxfId="229">
      <calculatedColumnFormula>COUNTIF(NazočnostZaSiječanj[[#This Row],[1]:[31]],Šifra4)</calculatedColumnFormula>
    </tableColumn>
    <tableColumn id="33" name="Dani izostanaka" totalsRowFunction="sum" dataDxfId="735" totalsRowDxfId="228">
      <calculatedColumnFormula>SUM(NazočnostZaRujan[[#This Row],[O]:[N]])</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Evidencija nazočnosti za veljaču" altTextSummary="Evidentira nazočnost učenika, primjerice K = kašnjenje, O = opravdani, N = neopravdani, P = prisutan, N = nema škole, za siječanj."/>
    </ext>
  </extLst>
</table>
</file>

<file path=xl/tables/table8.xml><?xml version="1.0" encoding="utf-8"?>
<table xmlns="http://schemas.openxmlformats.org/spreadsheetml/2006/main" id="5" name="NazočnostZaVeljaču" displayName="NazočnostZaVeljaču" ref="B6:AM12" totalsRowCount="1" headerRowDxfId="727" totalsRowDxfId="726">
  <tableColumns count="38">
    <tableColumn id="38" name="Identifikacijski broj učenika" dataDxfId="725" totalsRowDxfId="227"/>
    <tableColumn id="1" name="Ime učenika" totalsRowLabel="Ukupan broj dana izostanaka" dataDxfId="724" totalsRowDxfId="226">
      <calculatedColumnFormula>IFERROR(VLOOKUP(NazočnostZaVeljaču[[#This Row],[Identifikacijski broj učenika]],PopisUčenika[],18,FALSE),"")</calculatedColumnFormula>
    </tableColumn>
    <tableColumn id="2" name="1" totalsRowFunction="custom" dataDxfId="723" totalsRowDxfId="225">
      <totalsRowFormula>COUNTIF(NazočnostZaVeljaču[1],"N")+COUNTIF(NazočnostZaVeljaču[1],"O")</totalsRowFormula>
    </tableColumn>
    <tableColumn id="3" name="2" totalsRowFunction="custom" dataDxfId="722" totalsRowDxfId="224">
      <totalsRowFormula>COUNTIF(NazočnostZaVeljaču[2],"N")+COUNTIF(NazočnostZaVeljaču[2],"O")</totalsRowFormula>
    </tableColumn>
    <tableColumn id="4" name="3" totalsRowFunction="custom" dataDxfId="721" totalsRowDxfId="223">
      <totalsRowFormula>COUNTIF(NazočnostZaVeljaču[3],"N")+COUNTIF(NazočnostZaVeljaču[3],"O")</totalsRowFormula>
    </tableColumn>
    <tableColumn id="5" name="4" totalsRowFunction="custom" dataDxfId="720" totalsRowDxfId="222">
      <totalsRowFormula>COUNTIF(NazočnostZaVeljaču[4],"N")+COUNTIF(NazočnostZaVeljaču[4],"O")</totalsRowFormula>
    </tableColumn>
    <tableColumn id="6" name="5" totalsRowFunction="custom" dataDxfId="719" totalsRowDxfId="221">
      <totalsRowFormula>COUNTIF(NazočnostZaVeljaču[5],"N")+COUNTIF(NazočnostZaVeljaču[5],"O")</totalsRowFormula>
    </tableColumn>
    <tableColumn id="7" name="6" totalsRowFunction="custom" dataDxfId="718" totalsRowDxfId="220">
      <totalsRowFormula>COUNTIF(NazočnostZaVeljaču[6],"N")+COUNTIF(NazočnostZaVeljaču[6],"O")</totalsRowFormula>
    </tableColumn>
    <tableColumn id="8" name="7" totalsRowFunction="custom" dataDxfId="717" totalsRowDxfId="219">
      <totalsRowFormula>COUNTIF(NazočnostZaVeljaču[7],"N")+COUNTIF(NazočnostZaVeljaču[7],"O")</totalsRowFormula>
    </tableColumn>
    <tableColumn id="9" name="8" totalsRowFunction="custom" dataDxfId="716" totalsRowDxfId="218">
      <totalsRowFormula>COUNTIF(NazočnostZaVeljaču[8],"N")+COUNTIF(NazočnostZaVeljaču[8],"O")</totalsRowFormula>
    </tableColumn>
    <tableColumn id="10" name="9" totalsRowFunction="custom" dataDxfId="715" totalsRowDxfId="217">
      <totalsRowFormula>COUNTIF(NazočnostZaVeljaču[9],"N")+COUNTIF(NazočnostZaVeljaču[9],"O")</totalsRowFormula>
    </tableColumn>
    <tableColumn id="11" name="10" totalsRowFunction="custom" dataDxfId="714" totalsRowDxfId="216">
      <totalsRowFormula>COUNTIF(NazočnostZaVeljaču[10],"N")+COUNTIF(NazočnostZaVeljaču[10],"O")</totalsRowFormula>
    </tableColumn>
    <tableColumn id="12" name="11" totalsRowFunction="custom" dataDxfId="713" totalsRowDxfId="215">
      <totalsRowFormula>COUNTIF(NazočnostZaVeljaču[11],"N")+COUNTIF(NazočnostZaVeljaču[11],"O")</totalsRowFormula>
    </tableColumn>
    <tableColumn id="13" name="12" totalsRowFunction="custom" dataDxfId="712" totalsRowDxfId="214">
      <totalsRowFormula>COUNTIF(NazočnostZaVeljaču[12],"N")+COUNTIF(NazočnostZaVeljaču[12],"O")</totalsRowFormula>
    </tableColumn>
    <tableColumn id="14" name="13" totalsRowFunction="custom" dataDxfId="711" totalsRowDxfId="213">
      <totalsRowFormula>COUNTIF(NazočnostZaVeljaču[13],"N")+COUNTIF(NazočnostZaVeljaču[13],"O")</totalsRowFormula>
    </tableColumn>
    <tableColumn id="15" name="14" totalsRowFunction="custom" dataDxfId="710" totalsRowDxfId="212">
      <totalsRowFormula>COUNTIF(NazočnostZaVeljaču[14],"N")+COUNTIF(NazočnostZaVeljaču[14],"O")</totalsRowFormula>
    </tableColumn>
    <tableColumn id="16" name="15" totalsRowFunction="custom" dataDxfId="709" totalsRowDxfId="211">
      <totalsRowFormula>COUNTIF(NazočnostZaVeljaču[15],"N")+COUNTIF(NazočnostZaVeljaču[15],"O")</totalsRowFormula>
    </tableColumn>
    <tableColumn id="17" name="16" totalsRowFunction="custom" dataDxfId="708" totalsRowDxfId="210">
      <totalsRowFormula>COUNTIF(NazočnostZaVeljaču[16],"N")+COUNTIF(NazočnostZaVeljaču[16],"O")</totalsRowFormula>
    </tableColumn>
    <tableColumn id="18" name="17" totalsRowFunction="custom" dataDxfId="707" totalsRowDxfId="209">
      <totalsRowFormula>COUNTIF(NazočnostZaVeljaču[17],"N")+COUNTIF(NazočnostZaVeljaču[17],"O")</totalsRowFormula>
    </tableColumn>
    <tableColumn id="19" name="18" totalsRowFunction="custom" dataDxfId="706" totalsRowDxfId="208">
      <totalsRowFormula>COUNTIF(NazočnostZaVeljaču[18],"N")+COUNTIF(NazočnostZaVeljaču[18],"O")</totalsRowFormula>
    </tableColumn>
    <tableColumn id="20" name="19" totalsRowFunction="custom" dataDxfId="705" totalsRowDxfId="207">
      <totalsRowFormula>COUNTIF(NazočnostZaVeljaču[19],"N")+COUNTIF(NazočnostZaVeljaču[19],"O")</totalsRowFormula>
    </tableColumn>
    <tableColumn id="21" name="20" totalsRowFunction="custom" dataDxfId="704" totalsRowDxfId="206">
      <totalsRowFormula>COUNTIF(NazočnostZaVeljaču[20],"N")+COUNTIF(NazočnostZaVeljaču[20],"O")</totalsRowFormula>
    </tableColumn>
    <tableColumn id="22" name="21" totalsRowFunction="custom" dataDxfId="703" totalsRowDxfId="205">
      <totalsRowFormula>COUNTIF(NazočnostZaVeljaču[21],"N")+COUNTIF(NazočnostZaVeljaču[21],"O")</totalsRowFormula>
    </tableColumn>
    <tableColumn id="23" name="22" totalsRowFunction="custom" dataDxfId="702" totalsRowDxfId="204">
      <totalsRowFormula>COUNTIF(NazočnostZaVeljaču[22],"N")+COUNTIF(NazočnostZaVeljaču[22],"O")</totalsRowFormula>
    </tableColumn>
    <tableColumn id="24" name="23" totalsRowFunction="custom" dataDxfId="701" totalsRowDxfId="203">
      <totalsRowFormula>COUNTIF(NazočnostZaVeljaču[23],"N")+COUNTIF(NazočnostZaVeljaču[23],"O")</totalsRowFormula>
    </tableColumn>
    <tableColumn id="25" name="24" totalsRowFunction="custom" dataDxfId="700" totalsRowDxfId="202">
      <totalsRowFormula>COUNTIF(NazočnostZaVeljaču[24],"N")+COUNTIF(NazočnostZaVeljaču[24],"O")</totalsRowFormula>
    </tableColumn>
    <tableColumn id="26" name="25" totalsRowFunction="custom" dataDxfId="699" totalsRowDxfId="201">
      <totalsRowFormula>COUNTIF(NazočnostZaVeljaču[25],"N")+COUNTIF(NazočnostZaVeljaču[25],"O")</totalsRowFormula>
    </tableColumn>
    <tableColumn id="27" name="26" totalsRowFunction="custom" dataDxfId="698" totalsRowDxfId="200">
      <totalsRowFormula>COUNTIF(NazočnostZaVeljaču[26],"N")+COUNTIF(NazočnostZaVeljaču[26],"O")</totalsRowFormula>
    </tableColumn>
    <tableColumn id="28" name="27" totalsRowFunction="custom" dataDxfId="697" totalsRowDxfId="199">
      <totalsRowFormula>COUNTIF(NazočnostZaVeljaču[27],"N")+COUNTIF(NazočnostZaVeljaču[27],"O")</totalsRowFormula>
    </tableColumn>
    <tableColumn id="29" name="28" totalsRowFunction="custom" dataDxfId="696" totalsRowDxfId="198">
      <totalsRowFormula>COUNTIF(NazočnostZaVeljaču[28],"N")+COUNTIF(NazočnostZaVeljaču[28],"O")</totalsRowFormula>
    </tableColumn>
    <tableColumn id="30" name="29" totalsRowFunction="custom" dataDxfId="695" totalsRowDxfId="197">
      <totalsRowFormula>COUNTIF(NazočnostZaVeljaču[29],"N")+COUNTIF(NazočnostZaVeljaču[29],"O")</totalsRowFormula>
    </tableColumn>
    <tableColumn id="31" name="30" totalsRowFunction="custom" dataDxfId="694" totalsRowDxfId="196">
      <totalsRowFormula>COUNTIF(NazočnostZaVeljaču[30],"N")+COUNTIF(NazočnostZaVeljaču[30],"O")</totalsRowFormula>
    </tableColumn>
    <tableColumn id="32" name="31" totalsRowFunction="custom" dataDxfId="693" totalsRowDxfId="195">
      <totalsRowFormula>COUNTIF(NazočnostZaVeljaču[31],"N")+COUNTIF(NazočnostZaVeljaču[31],"O")</totalsRowFormula>
    </tableColumn>
    <tableColumn id="35" name="K" totalsRowFunction="sum" dataDxfId="692" totalsRowDxfId="194">
      <calculatedColumnFormula>COUNTIF(NazočnostZaVeljaču[[#This Row],[1]:[31]],Šifra1)</calculatedColumnFormula>
    </tableColumn>
    <tableColumn id="34" name="O" totalsRowFunction="sum" dataDxfId="691" totalsRowDxfId="193">
      <calculatedColumnFormula>COUNTIF(NazočnostZaVeljaču[[#This Row],[1]:[31]],Šifra2)</calculatedColumnFormula>
    </tableColumn>
    <tableColumn id="37" name="N" totalsRowFunction="sum" dataDxfId="690" totalsRowDxfId="192">
      <calculatedColumnFormula>COUNTIF(NazočnostZaVeljaču[[#This Row],[1]:[31]],Šifra3)</calculatedColumnFormula>
    </tableColumn>
    <tableColumn id="36" name="P" totalsRowFunction="sum" dataDxfId="689" totalsRowDxfId="191">
      <calculatedColumnFormula>COUNTIF(NazočnostZaVeljaču[[#This Row],[1]:[31]],Šifra4)</calculatedColumnFormula>
    </tableColumn>
    <tableColumn id="33" name="Dani izostanaka" totalsRowFunction="sum" dataDxfId="688" totalsRowDxfId="190">
      <calculatedColumnFormula>SUM(NazočnostZaRujan[[#This Row],[O]:[N]])</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Evidencija nazočnosti za veljaču" altTextSummary="Evidentira nazočnost učenika, primjerice K = kašnjenje, O = opravdani, N = neopravdani, P = prisutan, N = nema škole, za veljaču."/>
    </ext>
  </extLst>
</table>
</file>

<file path=xl/tables/table9.xml><?xml version="1.0" encoding="utf-8"?>
<table xmlns="http://schemas.openxmlformats.org/spreadsheetml/2006/main" id="8" name="NazočnostZaOžujak" displayName="NazočnostZaOžujak" ref="B6:AM12" totalsRowCount="1" headerRowDxfId="682" totalsRowDxfId="681">
  <tableColumns count="38">
    <tableColumn id="38" name="Identifikacijski broj učenika" dataDxfId="680" totalsRowDxfId="189"/>
    <tableColumn id="1" name="Ime učenika" totalsRowLabel="Ukupan broj dana izostanaka" dataDxfId="679" totalsRowDxfId="188">
      <calculatedColumnFormula>IFERROR(VLOOKUP(NazočnostZaOžujak[[#This Row],[Identifikacijski broj učenika]],PopisUčenika[],18,FALSE),"")</calculatedColumnFormula>
    </tableColumn>
    <tableColumn id="2" name="1" totalsRowFunction="custom" dataDxfId="678" totalsRowDxfId="187">
      <totalsRowFormula>COUNTIF(NazočnostZaOžujak[1],"N")+COUNTIF(NazočnostZaOžujak[1],"O")</totalsRowFormula>
    </tableColumn>
    <tableColumn id="3" name="2" totalsRowFunction="custom" dataDxfId="677" totalsRowDxfId="186">
      <totalsRowFormula>COUNTIF(NazočnostZaOžujak[2],"N")+COUNTIF(NazočnostZaOžujak[2],"O")</totalsRowFormula>
    </tableColumn>
    <tableColumn id="4" name="3" totalsRowFunction="custom" dataDxfId="676" totalsRowDxfId="185">
      <totalsRowFormula>COUNTIF(NazočnostZaOžujak[3],"N")+COUNTIF(NazočnostZaOžujak[3],"O")</totalsRowFormula>
    </tableColumn>
    <tableColumn id="5" name="4" totalsRowFunction="custom" dataDxfId="675" totalsRowDxfId="184">
      <totalsRowFormula>COUNTIF(NazočnostZaOžujak[4],"N")+COUNTIF(NazočnostZaOžujak[4],"O")</totalsRowFormula>
    </tableColumn>
    <tableColumn id="6" name="5" totalsRowFunction="custom" dataDxfId="674" totalsRowDxfId="183">
      <totalsRowFormula>COUNTIF(NazočnostZaOžujak[5],"N")+COUNTIF(NazočnostZaOžujak[5],"O")</totalsRowFormula>
    </tableColumn>
    <tableColumn id="7" name="6" totalsRowFunction="custom" dataDxfId="673" totalsRowDxfId="182">
      <totalsRowFormula>COUNTIF(NazočnostZaOžujak[6],"N")+COUNTIF(NazočnostZaOžujak[6],"O")</totalsRowFormula>
    </tableColumn>
    <tableColumn id="8" name="7" totalsRowFunction="custom" dataDxfId="672" totalsRowDxfId="181">
      <totalsRowFormula>COUNTIF(NazočnostZaOžujak[7],"N")+COUNTIF(NazočnostZaOžujak[7],"O")</totalsRowFormula>
    </tableColumn>
    <tableColumn id="9" name="8" totalsRowFunction="custom" dataDxfId="671" totalsRowDxfId="180">
      <totalsRowFormula>COUNTIF(NazočnostZaOžujak[8],"N")+COUNTIF(NazočnostZaOžujak[8],"O")</totalsRowFormula>
    </tableColumn>
    <tableColumn id="10" name="9" totalsRowFunction="custom" dataDxfId="670" totalsRowDxfId="179">
      <totalsRowFormula>COUNTIF(NazočnostZaOžujak[9],"N")+COUNTIF(NazočnostZaOžujak[9],"O")</totalsRowFormula>
    </tableColumn>
    <tableColumn id="11" name="10" totalsRowFunction="custom" dataDxfId="669" totalsRowDxfId="178">
      <totalsRowFormula>COUNTIF(NazočnostZaOžujak[10],"N")+COUNTIF(NazočnostZaOžujak[10],"O")</totalsRowFormula>
    </tableColumn>
    <tableColumn id="12" name="11" totalsRowFunction="custom" dataDxfId="668" totalsRowDxfId="177">
      <totalsRowFormula>COUNTIF(NazočnostZaOžujak[11],"N")+COUNTIF(NazočnostZaOžujak[11],"O")</totalsRowFormula>
    </tableColumn>
    <tableColumn id="13" name="12" totalsRowFunction="custom" dataDxfId="667" totalsRowDxfId="176">
      <totalsRowFormula>COUNTIF(NazočnostZaOžujak[12],"N")+COUNTIF(NazočnostZaOžujak[12],"O")</totalsRowFormula>
    </tableColumn>
    <tableColumn id="14" name="13" totalsRowFunction="custom" dataDxfId="666" totalsRowDxfId="175">
      <totalsRowFormula>COUNTIF(NazočnostZaOžujak[13],"N")+COUNTIF(NazočnostZaOžujak[13],"O")</totalsRowFormula>
    </tableColumn>
    <tableColumn id="15" name="14" totalsRowFunction="custom" dataDxfId="665" totalsRowDxfId="174">
      <totalsRowFormula>COUNTIF(NazočnostZaOžujak[14],"N")+COUNTIF(NazočnostZaOžujak[14],"O")</totalsRowFormula>
    </tableColumn>
    <tableColumn id="16" name="15" totalsRowFunction="custom" dataDxfId="664" totalsRowDxfId="173">
      <totalsRowFormula>COUNTIF(NazočnostZaOžujak[15],"N")+COUNTIF(NazočnostZaOžujak[15],"O")</totalsRowFormula>
    </tableColumn>
    <tableColumn id="17" name="16" totalsRowFunction="custom" dataDxfId="663" totalsRowDxfId="172">
      <totalsRowFormula>COUNTIF(NazočnostZaOžujak[16],"N")+COUNTIF(NazočnostZaOžujak[16],"O")</totalsRowFormula>
    </tableColumn>
    <tableColumn id="18" name="17" totalsRowFunction="custom" dataDxfId="662" totalsRowDxfId="171">
      <totalsRowFormula>COUNTIF(NazočnostZaOžujak[17],"N")+COUNTIF(NazočnostZaOžujak[17],"O")</totalsRowFormula>
    </tableColumn>
    <tableColumn id="19" name="18" totalsRowFunction="custom" dataDxfId="661" totalsRowDxfId="170">
      <totalsRowFormula>COUNTIF(NazočnostZaOžujak[18],"N")+COUNTIF(NazočnostZaOžujak[18],"O")</totalsRowFormula>
    </tableColumn>
    <tableColumn id="20" name="19" totalsRowFunction="custom" dataDxfId="660" totalsRowDxfId="169">
      <totalsRowFormula>COUNTIF(NazočnostZaOžujak[19],"N")+COUNTIF(NazočnostZaOžujak[19],"O")</totalsRowFormula>
    </tableColumn>
    <tableColumn id="21" name="20" totalsRowFunction="custom" dataDxfId="659" totalsRowDxfId="168">
      <totalsRowFormula>COUNTIF(NazočnostZaOžujak[20],"N")+COUNTIF(NazočnostZaOžujak[20],"O")</totalsRowFormula>
    </tableColumn>
    <tableColumn id="22" name="21" totalsRowFunction="custom" dataDxfId="658" totalsRowDxfId="167">
      <totalsRowFormula>COUNTIF(NazočnostZaOžujak[21],"N")+COUNTIF(NazočnostZaOžujak[21],"O")</totalsRowFormula>
    </tableColumn>
    <tableColumn id="23" name="22" totalsRowFunction="custom" dataDxfId="657" totalsRowDxfId="166">
      <totalsRowFormula>COUNTIF(NazočnostZaOžujak[22],"N")+COUNTIF(NazočnostZaOžujak[22],"O")</totalsRowFormula>
    </tableColumn>
    <tableColumn id="24" name="23" totalsRowFunction="custom" dataDxfId="656" totalsRowDxfId="165">
      <totalsRowFormula>COUNTIF(NazočnostZaOžujak[23],"N")+COUNTIF(NazočnostZaOžujak[23],"O")</totalsRowFormula>
    </tableColumn>
    <tableColumn id="25" name="24" totalsRowFunction="custom" dataDxfId="655" totalsRowDxfId="164">
      <totalsRowFormula>COUNTIF(NazočnostZaOžujak[24],"N")+COUNTIF(NazočnostZaOžujak[24],"O")</totalsRowFormula>
    </tableColumn>
    <tableColumn id="26" name="25" totalsRowFunction="custom" dataDxfId="654" totalsRowDxfId="163">
      <totalsRowFormula>COUNTIF(NazočnostZaOžujak[25],"N")+COUNTIF(NazočnostZaOžujak[25],"O")</totalsRowFormula>
    </tableColumn>
    <tableColumn id="27" name="26" totalsRowFunction="custom" dataDxfId="653" totalsRowDxfId="162">
      <totalsRowFormula>COUNTIF(NazočnostZaOžujak[26],"N")+COUNTIF(NazočnostZaOžujak[26],"O")</totalsRowFormula>
    </tableColumn>
    <tableColumn id="28" name="27" totalsRowFunction="custom" dataDxfId="652" totalsRowDxfId="161">
      <totalsRowFormula>COUNTIF(NazočnostZaOžujak[27],"N")+COUNTIF(NazočnostZaOžujak[27],"O")</totalsRowFormula>
    </tableColumn>
    <tableColumn id="29" name="28" totalsRowFunction="custom" dataDxfId="651" totalsRowDxfId="160">
      <totalsRowFormula>COUNTIF(NazočnostZaOžujak[28],"N")+COUNTIF(NazočnostZaOžujak[28],"O")</totalsRowFormula>
    </tableColumn>
    <tableColumn id="30" name="29" totalsRowFunction="custom" dataDxfId="650" totalsRowDxfId="159">
      <totalsRowFormula>COUNTIF(NazočnostZaOžujak[29],"N")+COUNTIF(NazočnostZaOžujak[29],"O")</totalsRowFormula>
    </tableColumn>
    <tableColumn id="31" name="30" totalsRowFunction="custom" dataDxfId="649" totalsRowDxfId="158">
      <totalsRowFormula>COUNTIF(NazočnostZaOžujak[30],"N")+COUNTIF(NazočnostZaOžujak[30],"O")</totalsRowFormula>
    </tableColumn>
    <tableColumn id="32" name="31" totalsRowFunction="custom" dataDxfId="648" totalsRowDxfId="157">
      <totalsRowFormula>COUNTIF(NazočnostZaOžujak[31],"N")+COUNTIF(NazočnostZaOžujak[31],"O")</totalsRowFormula>
    </tableColumn>
    <tableColumn id="35" name="K" totalsRowFunction="sum" dataDxfId="647" totalsRowDxfId="156">
      <calculatedColumnFormula>COUNTIF(NazočnostZaOžujak[[#This Row],[1]:[31]],Šifra1)</calculatedColumnFormula>
    </tableColumn>
    <tableColumn id="34" name="O" totalsRowFunction="sum" dataDxfId="646" totalsRowDxfId="155">
      <calculatedColumnFormula>COUNTIF(NazočnostZaOžujak[[#This Row],[1]:[31]],Šifra2)</calculatedColumnFormula>
    </tableColumn>
    <tableColumn id="37" name="N" totalsRowFunction="sum" dataDxfId="645" totalsRowDxfId="154">
      <calculatedColumnFormula>COUNTIF(NazočnostZaOžujak[[#This Row],[1]:[31]],Šifra3)</calculatedColumnFormula>
    </tableColumn>
    <tableColumn id="36" name="P" totalsRowFunction="sum" dataDxfId="644" totalsRowDxfId="153">
      <calculatedColumnFormula>COUNTIF(NazočnostZaOžujak[[#This Row],[1]:[31]],Šifra4)</calculatedColumnFormula>
    </tableColumn>
    <tableColumn id="33" name="Dani izostanaka" totalsRowFunction="sum" dataDxfId="643" totalsRowDxfId="152">
      <calculatedColumnFormula>SUM(NazočnostZaRujan[[#This Row],[O]:[N]])</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Evidencija nazočnosti za veljaču" altTextSummary="Evidentira nazočnost učenika, primjerice K = kašnjenje, O = opravdani, N = neopravdani, P = prisutan, N = nema škole, za ožujak."/>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2"/>
  <sheetViews>
    <sheetView showGridLines="0" showRowColHeaders="0" tabSelected="1" workbookViewId="0"/>
  </sheetViews>
  <sheetFormatPr defaultRowHeight="13.5" x14ac:dyDescent="0.25"/>
  <cols>
    <col min="1" max="3" width="3.28515625" customWidth="1"/>
    <col min="4" max="4" width="3.85546875" customWidth="1"/>
    <col min="14" max="14" width="2.42578125" customWidth="1"/>
  </cols>
  <sheetData>
    <row r="1" spans="1:16" ht="42" customHeight="1" x14ac:dyDescent="0.25">
      <c r="A1" s="78" t="s">
        <v>119</v>
      </c>
      <c r="B1" s="78"/>
      <c r="C1" s="78"/>
      <c r="D1" s="78"/>
      <c r="E1" s="38"/>
      <c r="F1" s="38"/>
      <c r="G1" s="38"/>
      <c r="H1" s="38"/>
      <c r="I1" s="38"/>
      <c r="J1" s="38"/>
      <c r="K1" s="38"/>
      <c r="L1" s="38"/>
      <c r="M1" s="38"/>
      <c r="N1" s="38"/>
      <c r="O1" s="85"/>
      <c r="P1" s="85"/>
    </row>
    <row r="2" spans="1:16" ht="6.75" customHeight="1" x14ac:dyDescent="0.25"/>
    <row r="3" spans="1:16" ht="17.25" x14ac:dyDescent="0.3">
      <c r="B3" s="79" t="s">
        <v>104</v>
      </c>
      <c r="C3" s="79"/>
      <c r="D3" s="79"/>
      <c r="E3" s="79"/>
      <c r="F3" s="79"/>
    </row>
    <row r="4" spans="1:16" ht="28.5" customHeight="1" x14ac:dyDescent="0.25">
      <c r="C4" s="116" t="s">
        <v>108</v>
      </c>
      <c r="D4" s="116"/>
      <c r="E4" s="116"/>
      <c r="F4" s="116"/>
      <c r="G4" s="116"/>
      <c r="H4" s="116"/>
      <c r="I4" s="116"/>
      <c r="J4" s="116"/>
      <c r="K4" s="116"/>
      <c r="L4" s="116"/>
      <c r="M4" s="116"/>
    </row>
    <row r="5" spans="1:16" ht="101.25" customHeight="1" x14ac:dyDescent="0.25">
      <c r="D5" s="84" t="s">
        <v>100</v>
      </c>
      <c r="E5" s="115" t="s">
        <v>124</v>
      </c>
      <c r="F5" s="115"/>
      <c r="G5" s="115"/>
      <c r="H5" s="115"/>
      <c r="I5" s="115"/>
      <c r="J5" s="115"/>
      <c r="K5" s="115"/>
      <c r="L5" s="115"/>
      <c r="M5" s="115"/>
      <c r="N5" s="80"/>
    </row>
    <row r="6" spans="1:16" ht="76.5" customHeight="1" x14ac:dyDescent="0.25">
      <c r="C6" s="80"/>
      <c r="D6" s="84" t="s">
        <v>101</v>
      </c>
      <c r="E6" s="115" t="s">
        <v>125</v>
      </c>
      <c r="F6" s="115"/>
      <c r="G6" s="115"/>
      <c r="H6" s="115"/>
      <c r="I6" s="115"/>
      <c r="J6" s="115"/>
      <c r="K6" s="115"/>
      <c r="L6" s="115"/>
      <c r="M6" s="115"/>
      <c r="N6" s="80"/>
    </row>
    <row r="7" spans="1:16" ht="84.75" customHeight="1" x14ac:dyDescent="0.25">
      <c r="C7" s="80"/>
      <c r="D7" s="84" t="s">
        <v>102</v>
      </c>
      <c r="E7" s="115" t="s">
        <v>130</v>
      </c>
      <c r="F7" s="115"/>
      <c r="G7" s="115"/>
      <c r="H7" s="115"/>
      <c r="I7" s="115"/>
      <c r="J7" s="115"/>
      <c r="K7" s="115"/>
      <c r="L7" s="115"/>
      <c r="M7" s="115"/>
      <c r="N7" s="80"/>
    </row>
    <row r="8" spans="1:16" ht="57" customHeight="1" x14ac:dyDescent="0.25">
      <c r="C8" s="80"/>
      <c r="D8" s="84"/>
      <c r="E8" s="117" t="s">
        <v>131</v>
      </c>
      <c r="F8" s="117"/>
      <c r="G8" s="117"/>
      <c r="H8" s="117"/>
      <c r="I8" s="117"/>
      <c r="J8" s="117"/>
      <c r="K8" s="117"/>
      <c r="L8" s="117"/>
      <c r="M8" s="117"/>
      <c r="N8" s="80"/>
    </row>
    <row r="9" spans="1:16" ht="16.5" customHeight="1" x14ac:dyDescent="0.25">
      <c r="E9" s="118" t="s">
        <v>120</v>
      </c>
      <c r="F9" s="118"/>
      <c r="G9" s="118"/>
      <c r="H9" s="118"/>
    </row>
    <row r="10" spans="1:16" ht="6.75" customHeight="1" x14ac:dyDescent="0.25"/>
    <row r="11" spans="1:16" ht="16.5" customHeight="1" x14ac:dyDescent="0.3">
      <c r="B11" s="79" t="s">
        <v>105</v>
      </c>
      <c r="C11" s="79"/>
      <c r="D11" s="79"/>
      <c r="E11" s="79"/>
      <c r="F11" s="79"/>
      <c r="G11" s="79"/>
      <c r="H11" s="79"/>
      <c r="I11" s="79"/>
    </row>
    <row r="12" spans="1:16" s="81" customFormat="1" ht="35.25" customHeight="1" x14ac:dyDescent="0.25">
      <c r="C12" s="116" t="s">
        <v>103</v>
      </c>
      <c r="D12" s="116"/>
      <c r="E12" s="116"/>
      <c r="F12" s="116"/>
      <c r="G12" s="116"/>
      <c r="H12" s="116"/>
      <c r="I12" s="116"/>
      <c r="J12" s="116"/>
      <c r="K12" s="116"/>
      <c r="L12" s="116"/>
      <c r="M12" s="116"/>
    </row>
    <row r="13" spans="1:16" ht="47.25" customHeight="1" x14ac:dyDescent="0.25">
      <c r="D13" s="84" t="s">
        <v>100</v>
      </c>
      <c r="E13" s="115" t="s">
        <v>121</v>
      </c>
      <c r="F13" s="115"/>
      <c r="G13" s="115"/>
      <c r="H13" s="115"/>
      <c r="I13" s="115"/>
      <c r="J13" s="115"/>
      <c r="K13" s="115"/>
      <c r="L13" s="115"/>
      <c r="M13" s="115"/>
      <c r="N13" s="80"/>
      <c r="O13" s="80"/>
    </row>
    <row r="14" spans="1:16" ht="47.25" customHeight="1" x14ac:dyDescent="0.25">
      <c r="D14" s="84"/>
      <c r="E14" s="115" t="s">
        <v>126</v>
      </c>
      <c r="F14" s="115"/>
      <c r="G14" s="115"/>
      <c r="H14" s="115"/>
      <c r="I14" s="115"/>
      <c r="J14" s="115"/>
      <c r="K14" s="115"/>
      <c r="L14" s="115"/>
      <c r="M14" s="115"/>
      <c r="N14" s="89"/>
      <c r="O14" s="89"/>
    </row>
    <row r="15" spans="1:16" s="82" customFormat="1" ht="75.75" customHeight="1" x14ac:dyDescent="0.25">
      <c r="D15" s="84" t="s">
        <v>101</v>
      </c>
      <c r="E15" s="115" t="s">
        <v>113</v>
      </c>
      <c r="F15" s="115"/>
      <c r="G15" s="115"/>
      <c r="H15" s="115"/>
      <c r="I15" s="115"/>
      <c r="J15" s="115"/>
      <c r="K15" s="115"/>
      <c r="L15" s="115"/>
      <c r="M15" s="115"/>
      <c r="N15" s="83"/>
      <c r="O15" s="83"/>
    </row>
    <row r="16" spans="1:16" ht="6.75" customHeight="1" x14ac:dyDescent="0.25"/>
    <row r="17" spans="2:13" ht="17.25" x14ac:dyDescent="0.3">
      <c r="B17" s="79" t="s">
        <v>106</v>
      </c>
      <c r="C17" s="79"/>
      <c r="D17" s="79"/>
      <c r="E17" s="79"/>
      <c r="F17" s="79"/>
      <c r="G17" s="79"/>
      <c r="H17" s="79"/>
      <c r="I17" s="79"/>
      <c r="J17" s="79"/>
    </row>
    <row r="18" spans="2:13" ht="30.75" customHeight="1" x14ac:dyDescent="0.25">
      <c r="B18" s="81"/>
      <c r="C18" s="116" t="s">
        <v>114</v>
      </c>
      <c r="D18" s="116"/>
      <c r="E18" s="116"/>
      <c r="F18" s="116"/>
      <c r="G18" s="116"/>
      <c r="H18" s="116"/>
      <c r="I18" s="116"/>
      <c r="J18" s="116"/>
      <c r="K18" s="116"/>
      <c r="L18" s="116"/>
      <c r="M18" s="116"/>
    </row>
    <row r="19" spans="2:13" ht="34.5" customHeight="1" x14ac:dyDescent="0.25">
      <c r="B19" s="81"/>
      <c r="C19" s="86"/>
      <c r="D19" s="82" t="s">
        <v>99</v>
      </c>
      <c r="E19" s="116" t="s">
        <v>110</v>
      </c>
      <c r="F19" s="116"/>
      <c r="G19" s="116"/>
      <c r="H19" s="116"/>
      <c r="I19" s="116"/>
      <c r="J19" s="116"/>
      <c r="K19" s="116"/>
      <c r="L19" s="116"/>
      <c r="M19" s="116"/>
    </row>
    <row r="20" spans="2:13" s="82" customFormat="1" ht="34.5" customHeight="1" x14ac:dyDescent="0.25">
      <c r="D20" s="82" t="s">
        <v>99</v>
      </c>
      <c r="E20" s="115" t="s">
        <v>111</v>
      </c>
      <c r="F20" s="115"/>
      <c r="G20" s="115"/>
      <c r="H20" s="115"/>
      <c r="I20" s="115"/>
      <c r="J20" s="115"/>
      <c r="K20" s="115"/>
      <c r="L20" s="115"/>
      <c r="M20" s="115"/>
    </row>
    <row r="21" spans="2:13" s="82" customFormat="1" ht="34.5" customHeight="1" x14ac:dyDescent="0.25">
      <c r="D21" s="82" t="s">
        <v>99</v>
      </c>
      <c r="E21" s="115" t="s">
        <v>122</v>
      </c>
      <c r="F21" s="115"/>
      <c r="G21" s="115"/>
      <c r="H21" s="115"/>
      <c r="I21" s="115"/>
      <c r="J21" s="115"/>
      <c r="K21" s="115"/>
      <c r="L21" s="115"/>
      <c r="M21" s="115"/>
    </row>
    <row r="22" spans="2:13" s="82" customFormat="1" ht="29.25" customHeight="1" x14ac:dyDescent="0.25">
      <c r="D22" s="82" t="s">
        <v>99</v>
      </c>
      <c r="E22" s="115" t="s">
        <v>112</v>
      </c>
      <c r="F22" s="115"/>
      <c r="G22" s="115"/>
      <c r="H22" s="115"/>
      <c r="I22" s="115"/>
      <c r="J22" s="115"/>
      <c r="K22" s="115"/>
      <c r="L22" s="115"/>
      <c r="M22" s="115"/>
    </row>
    <row r="23" spans="2:13" ht="6.75" customHeight="1" x14ac:dyDescent="0.25"/>
    <row r="24" spans="2:13" s="82" customFormat="1" ht="16.5" customHeight="1" x14ac:dyDescent="0.25">
      <c r="B24" s="87" t="s">
        <v>107</v>
      </c>
      <c r="C24" s="87"/>
      <c r="D24" s="87"/>
      <c r="E24" s="87"/>
      <c r="F24" s="87"/>
      <c r="G24" s="87"/>
      <c r="H24" s="87"/>
      <c r="I24" s="87"/>
      <c r="J24" s="87"/>
      <c r="K24" s="87"/>
    </row>
    <row r="25" spans="2:13" s="82" customFormat="1" ht="96" customHeight="1" x14ac:dyDescent="0.25">
      <c r="C25" s="116" t="s">
        <v>123</v>
      </c>
      <c r="D25" s="116"/>
      <c r="E25" s="116"/>
      <c r="F25" s="116"/>
      <c r="G25" s="116"/>
      <c r="H25" s="116"/>
      <c r="I25" s="116"/>
      <c r="J25" s="116"/>
      <c r="K25" s="116"/>
      <c r="L25" s="116"/>
      <c r="M25" s="116"/>
    </row>
    <row r="26" spans="2:13" s="82" customFormat="1" ht="16.5" customHeight="1" x14ac:dyDescent="0.25"/>
    <row r="27" spans="2:13" s="82" customFormat="1" ht="16.5" customHeight="1" x14ac:dyDescent="0.25"/>
    <row r="28" spans="2:13" s="82" customFormat="1" ht="16.5" customHeight="1" x14ac:dyDescent="0.25"/>
    <row r="29" spans="2:13" s="82" customFormat="1" ht="16.5" customHeight="1" x14ac:dyDescent="0.25"/>
    <row r="30" spans="2:13" s="82" customFormat="1" ht="16.5" customHeight="1" x14ac:dyDescent="0.25"/>
    <row r="31" spans="2:13" s="82" customFormat="1" ht="16.5" customHeight="1" x14ac:dyDescent="0.25"/>
    <row r="32" spans="2:13" ht="16.5" customHeight="1" x14ac:dyDescent="0.25"/>
  </sheetData>
  <mergeCells count="16">
    <mergeCell ref="C12:M12"/>
    <mergeCell ref="C4:M4"/>
    <mergeCell ref="E5:M5"/>
    <mergeCell ref="E6:M6"/>
    <mergeCell ref="E7:M7"/>
    <mergeCell ref="E8:M8"/>
    <mergeCell ref="E9:H9"/>
    <mergeCell ref="E22:M22"/>
    <mergeCell ref="C25:M25"/>
    <mergeCell ref="E13:M13"/>
    <mergeCell ref="E15:M15"/>
    <mergeCell ref="C18:M18"/>
    <mergeCell ref="E19:M19"/>
    <mergeCell ref="E20:M20"/>
    <mergeCell ref="E21:M21"/>
    <mergeCell ref="E14:M14"/>
  </mergeCells>
  <hyperlinks>
    <hyperlink ref="E9:F9" r:id="rId1" location="_Toc261352312" display="Customize a document theme."/>
  </hyperlinks>
  <printOptions horizontalCentered="1"/>
  <pageMargins left="0.25" right="0.25" top="0.75" bottom="0.75" header="0.3" footer="0.3"/>
  <pageSetup paperSize="9" scale="79" orientation="portrait" r:id="rId2"/>
  <ignoredErrors>
    <ignoredError sqref="D15 D5:D7 D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39"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39" customFormat="1" ht="13.5" x14ac:dyDescent="0.25"/>
    <row r="3" spans="1:39"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39" customFormat="1" ht="16.5" customHeight="1" x14ac:dyDescent="0.25"/>
    <row r="5" spans="1:39" s="2" customFormat="1" ht="18" customHeight="1" x14ac:dyDescent="0.3">
      <c r="B5" s="55">
        <f>DATE(KalendarskaGodina+1,3,1)</f>
        <v>41334</v>
      </c>
      <c r="C5" s="54"/>
      <c r="D5" s="37" t="str">
        <f>TEXT(WEEKDAY(DATE(KalendarskaGodina+1,3,1),1),"aaa")</f>
        <v>pet</v>
      </c>
      <c r="E5" s="37" t="str">
        <f>TEXT(WEEKDAY(DATE(KalendarskaGodina+1,3,2),1),"aaa")</f>
        <v>sub</v>
      </c>
      <c r="F5" s="37" t="str">
        <f>TEXT(WEEKDAY(DATE(KalendarskaGodina+1,3,3),1),"aaa")</f>
        <v>ned</v>
      </c>
      <c r="G5" s="37" t="str">
        <f>TEXT(WEEKDAY(DATE(KalendarskaGodina+1,3,4),1),"aaa")</f>
        <v>pon</v>
      </c>
      <c r="H5" s="37" t="str">
        <f>TEXT(WEEKDAY(DATE(KalendarskaGodina+1,3,5),1),"aaa")</f>
        <v>uto</v>
      </c>
      <c r="I5" s="37" t="str">
        <f>TEXT(WEEKDAY(DATE(KalendarskaGodina+1,3,6),1),"aaa")</f>
        <v>sri</v>
      </c>
      <c r="J5" s="37" t="str">
        <f>TEXT(WEEKDAY(DATE(KalendarskaGodina+1,3,7),1),"aaa")</f>
        <v>čet</v>
      </c>
      <c r="K5" s="37" t="str">
        <f>TEXT(WEEKDAY(DATE(KalendarskaGodina+1,3,8),1),"aaa")</f>
        <v>pet</v>
      </c>
      <c r="L5" s="37" t="str">
        <f>TEXT(WEEKDAY(DATE(KalendarskaGodina+1,3,9),1),"aaa")</f>
        <v>sub</v>
      </c>
      <c r="M5" s="37" t="str">
        <f>TEXT(WEEKDAY(DATE(KalendarskaGodina+1,3,10),1),"aaa")</f>
        <v>ned</v>
      </c>
      <c r="N5" s="37" t="str">
        <f>TEXT(WEEKDAY(DATE(KalendarskaGodina+1,3,11),1),"aaa")</f>
        <v>pon</v>
      </c>
      <c r="O5" s="37" t="str">
        <f>TEXT(WEEKDAY(DATE(KalendarskaGodina+1,3,12),1),"aaa")</f>
        <v>uto</v>
      </c>
      <c r="P5" s="37" t="str">
        <f>TEXT(WEEKDAY(DATE(KalendarskaGodina+1,3,13),1),"aaa")</f>
        <v>sri</v>
      </c>
      <c r="Q5" s="37" t="str">
        <f>TEXT(WEEKDAY(DATE(KalendarskaGodina+1,3,14),1),"aaa")</f>
        <v>čet</v>
      </c>
      <c r="R5" s="37" t="str">
        <f>TEXT(WEEKDAY(DATE(KalendarskaGodina+1,3,15),1),"aaa")</f>
        <v>pet</v>
      </c>
      <c r="S5" s="37" t="str">
        <f>TEXT(WEEKDAY(DATE(KalendarskaGodina+1,3,16),1),"aaa")</f>
        <v>sub</v>
      </c>
      <c r="T5" s="37" t="str">
        <f>TEXT(WEEKDAY(DATE(KalendarskaGodina+1,3,17),1),"aaa")</f>
        <v>ned</v>
      </c>
      <c r="U5" s="37" t="str">
        <f>TEXT(WEEKDAY(DATE(KalendarskaGodina+1,3,18),1),"aaa")</f>
        <v>pon</v>
      </c>
      <c r="V5" s="37" t="str">
        <f>TEXT(WEEKDAY(DATE(KalendarskaGodina+1,3,19),1),"aaa")</f>
        <v>uto</v>
      </c>
      <c r="W5" s="37" t="str">
        <f>TEXT(WEEKDAY(DATE(KalendarskaGodina+1,3,20),1),"aaa")</f>
        <v>sri</v>
      </c>
      <c r="X5" s="37" t="str">
        <f>TEXT(WEEKDAY(DATE(KalendarskaGodina+1,3,21),1),"aaa")</f>
        <v>čet</v>
      </c>
      <c r="Y5" s="37" t="str">
        <f>TEXT(WEEKDAY(DATE(KalendarskaGodina+1,3,22),1),"aaa")</f>
        <v>pet</v>
      </c>
      <c r="Z5" s="37" t="str">
        <f>TEXT(WEEKDAY(DATE(KalendarskaGodina+1,3,23),1),"aaa")</f>
        <v>sub</v>
      </c>
      <c r="AA5" s="37" t="str">
        <f>TEXT(WEEKDAY(DATE(KalendarskaGodina+1,3,24),1),"aaa")</f>
        <v>ned</v>
      </c>
      <c r="AB5" s="37" t="str">
        <f>TEXT(WEEKDAY(DATE(KalendarskaGodina+1,3,25),1),"aaa")</f>
        <v>pon</v>
      </c>
      <c r="AC5" s="37" t="str">
        <f>TEXT(WEEKDAY(DATE(KalendarskaGodina+1,3,26),1),"aaa")</f>
        <v>uto</v>
      </c>
      <c r="AD5" s="37" t="str">
        <f>TEXT(WEEKDAY(DATE(KalendarskaGodina+1,3,27),1),"aaa")</f>
        <v>sri</v>
      </c>
      <c r="AE5" s="37" t="str">
        <f>TEXT(WEEKDAY(DATE(KalendarskaGodina+1,3,28),1),"aaa")</f>
        <v>čet</v>
      </c>
      <c r="AF5" s="37" t="str">
        <f>TEXT(WEEKDAY(DATE(KalendarskaGodina+1,3,29),1),"aaa")</f>
        <v>pet</v>
      </c>
      <c r="AG5" s="37" t="str">
        <f>TEXT(WEEKDAY(DATE(KalendarskaGodina+1,3,30),1),"aaa")</f>
        <v>sub</v>
      </c>
      <c r="AH5" s="37" t="str">
        <f>TEXT(WEEKDAY(DATE(KalendarskaGodina+1,3,31),1),"aaa")</f>
        <v>ned</v>
      </c>
      <c r="AI5" s="122" t="s">
        <v>38</v>
      </c>
      <c r="AJ5" s="122"/>
      <c r="AK5" s="122"/>
      <c r="AL5" s="122"/>
      <c r="AM5" s="122"/>
    </row>
    <row r="6" spans="1:39" ht="27" x14ac:dyDescent="0.25">
      <c r="B6" s="106" t="s">
        <v>34</v>
      </c>
      <c r="C6" s="24" t="s">
        <v>36</v>
      </c>
      <c r="D6" s="25" t="s">
        <v>0</v>
      </c>
      <c r="E6" s="25" t="s">
        <v>1</v>
      </c>
      <c r="F6" s="25" t="s">
        <v>2</v>
      </c>
      <c r="G6" s="25" t="s">
        <v>3</v>
      </c>
      <c r="H6" s="25" t="s">
        <v>4</v>
      </c>
      <c r="I6" s="25" t="s">
        <v>5</v>
      </c>
      <c r="J6" s="25" t="s">
        <v>6</v>
      </c>
      <c r="K6" s="25" t="s">
        <v>7</v>
      </c>
      <c r="L6" s="25" t="s">
        <v>8</v>
      </c>
      <c r="M6" s="25" t="s">
        <v>9</v>
      </c>
      <c r="N6" s="25" t="s">
        <v>10</v>
      </c>
      <c r="O6" s="25" t="s">
        <v>11</v>
      </c>
      <c r="P6" s="25" t="s">
        <v>12</v>
      </c>
      <c r="Q6" s="25" t="s">
        <v>13</v>
      </c>
      <c r="R6" s="25" t="s">
        <v>14</v>
      </c>
      <c r="S6" s="25" t="s">
        <v>15</v>
      </c>
      <c r="T6" s="25" t="s">
        <v>16</v>
      </c>
      <c r="U6" s="25" t="s">
        <v>17</v>
      </c>
      <c r="V6" s="25" t="s">
        <v>18</v>
      </c>
      <c r="W6" s="25" t="s">
        <v>19</v>
      </c>
      <c r="X6" s="25" t="s">
        <v>20</v>
      </c>
      <c r="Y6" s="25" t="s">
        <v>21</v>
      </c>
      <c r="Z6" s="25" t="s">
        <v>22</v>
      </c>
      <c r="AA6" s="25" t="s">
        <v>23</v>
      </c>
      <c r="AB6" s="25" t="s">
        <v>24</v>
      </c>
      <c r="AC6" s="25" t="s">
        <v>25</v>
      </c>
      <c r="AD6" s="25" t="s">
        <v>26</v>
      </c>
      <c r="AE6" s="25" t="s">
        <v>27</v>
      </c>
      <c r="AF6" s="25" t="s">
        <v>28</v>
      </c>
      <c r="AG6" s="25" t="s">
        <v>29</v>
      </c>
      <c r="AH6" s="25" t="s">
        <v>30</v>
      </c>
      <c r="AI6" s="145" t="s">
        <v>127</v>
      </c>
      <c r="AJ6" s="46" t="s">
        <v>128</v>
      </c>
      <c r="AK6" s="47" t="s">
        <v>68</v>
      </c>
      <c r="AL6" s="147" t="s">
        <v>31</v>
      </c>
      <c r="AM6" t="s">
        <v>37</v>
      </c>
    </row>
    <row r="7" spans="1:39" ht="16.5" customHeight="1" x14ac:dyDescent="0.25">
      <c r="B7" s="23"/>
      <c r="C7" s="19" t="str">
        <f>IFERROR(VLOOKUP(NazočnostZaOžujak[[#This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1">
        <f>COUNTIF(NazočnostZaOžujak[[#This Row],[1]:[31]],Šifra1)</f>
        <v>0</v>
      </c>
      <c r="AJ7" s="31">
        <f>COUNTIF(NazočnostZaOžujak[[#This Row],[1]:[31]],Šifra2)</f>
        <v>0</v>
      </c>
      <c r="AK7" s="31">
        <f>COUNTIF(NazočnostZaOžujak[[#This Row],[1]:[31]],Šifra3)</f>
        <v>0</v>
      </c>
      <c r="AL7" s="31">
        <f>COUNTIF(NazočnostZaOžujak[[#This Row],[1]:[31]],Šifra4)</f>
        <v>0</v>
      </c>
      <c r="AM7" s="6">
        <f>SUM(NazočnostZaRujan[[#This Row],[O]:[N]])</f>
        <v>0</v>
      </c>
    </row>
    <row r="8" spans="1:39" ht="16.5" customHeight="1" x14ac:dyDescent="0.25">
      <c r="B8" s="23"/>
      <c r="C8" s="19" t="str">
        <f>IFERROR(VLOOKUP(NazočnostZaOžujak[[#This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1">
        <f>COUNTIF(NazočnostZaOžujak[[#This Row],[1]:[31]],Šifra1)</f>
        <v>0</v>
      </c>
      <c r="AJ8" s="31">
        <f>COUNTIF(NazočnostZaOžujak[[#This Row],[1]:[31]],Šifra2)</f>
        <v>0</v>
      </c>
      <c r="AK8" s="31">
        <f>COUNTIF(NazočnostZaOžujak[[#This Row],[1]:[31]],Šifra3)</f>
        <v>0</v>
      </c>
      <c r="AL8" s="31">
        <f>COUNTIF(NazočnostZaOžujak[[#This Row],[1]:[31]],Šifra4)</f>
        <v>0</v>
      </c>
      <c r="AM8" s="6">
        <f>SUM(NazočnostZaRujan[[#This Row],[O]:[N]])</f>
        <v>0</v>
      </c>
    </row>
    <row r="9" spans="1:39" ht="16.5" customHeight="1" x14ac:dyDescent="0.25">
      <c r="B9" s="23"/>
      <c r="C9" s="19" t="str">
        <f>IFERROR(VLOOKUP(NazočnostZaOžujak[[#This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1">
        <f>COUNTIF(NazočnostZaOžujak[[#This Row],[1]:[31]],Šifra1)</f>
        <v>0</v>
      </c>
      <c r="AJ9" s="31">
        <f>COUNTIF(NazočnostZaOžujak[[#This Row],[1]:[31]],Šifra2)</f>
        <v>0</v>
      </c>
      <c r="AK9" s="31">
        <f>COUNTIF(NazočnostZaOžujak[[#This Row],[1]:[31]],Šifra3)</f>
        <v>0</v>
      </c>
      <c r="AL9" s="31">
        <f>COUNTIF(NazočnostZaOžujak[[#This Row],[1]:[31]],Šifra4)</f>
        <v>0</v>
      </c>
      <c r="AM9" s="6">
        <f>SUM(NazočnostZaRujan[[#This Row],[O]:[N]])</f>
        <v>0</v>
      </c>
    </row>
    <row r="10" spans="1:39" ht="16.5" customHeight="1" x14ac:dyDescent="0.25">
      <c r="B10" s="23"/>
      <c r="C10" s="19" t="str">
        <f>IFERROR(VLOOKUP(NazočnostZaOžujak[[#This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1">
        <f>COUNTIF(NazočnostZaOžujak[[#This Row],[1]:[31]],Šifra1)</f>
        <v>0</v>
      </c>
      <c r="AJ10" s="31">
        <f>COUNTIF(NazočnostZaOžujak[[#This Row],[1]:[31]],Šifra2)</f>
        <v>0</v>
      </c>
      <c r="AK10" s="31">
        <f>COUNTIF(NazočnostZaOžujak[[#This Row],[1]:[31]],Šifra3)</f>
        <v>0</v>
      </c>
      <c r="AL10" s="31">
        <f>COUNTIF(NazočnostZaOžujak[[#This Row],[1]:[31]],Šifra4)</f>
        <v>0</v>
      </c>
      <c r="AM10" s="6">
        <f>SUM(NazočnostZaRujan[[#This Row],[O]:[N]])</f>
        <v>0</v>
      </c>
    </row>
    <row r="11" spans="1:39" ht="16.5" customHeight="1" x14ac:dyDescent="0.25">
      <c r="B11" s="23"/>
      <c r="C11" s="19" t="str">
        <f>IFERROR(VLOOKUP(NazočnostZaOžujak[[#This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1">
        <f>COUNTIF(NazočnostZaOžujak[[#This Row],[1]:[31]],Šifra1)</f>
        <v>0</v>
      </c>
      <c r="AJ11" s="31">
        <f>COUNTIF(NazočnostZaOžujak[[#This Row],[1]:[31]],Šifra2)</f>
        <v>0</v>
      </c>
      <c r="AK11" s="31">
        <f>COUNTIF(NazočnostZaOžujak[[#This Row],[1]:[31]],Šifra3)</f>
        <v>0</v>
      </c>
      <c r="AL11" s="31">
        <f>COUNTIF(NazočnostZaOžujak[[#This Row],[1]:[31]],Šifra4)</f>
        <v>0</v>
      </c>
      <c r="AM11" s="6">
        <f>SUM(NazočnostZaRujan[[#This Row],[O]:[N]])</f>
        <v>0</v>
      </c>
    </row>
    <row r="12" spans="1:39" ht="16.5" customHeight="1" x14ac:dyDescent="0.25">
      <c r="B12" s="142"/>
      <c r="C12" s="143" t="s">
        <v>117</v>
      </c>
      <c r="D12" s="144">
        <f>COUNTIF(NazočnostZaOžujak[1],"N")+COUNTIF(NazočnostZaOžujak[1],"O")</f>
        <v>0</v>
      </c>
      <c r="E12" s="144">
        <f>COUNTIF(NazočnostZaOžujak[2],"N")+COUNTIF(NazočnostZaOžujak[2],"O")</f>
        <v>0</v>
      </c>
      <c r="F12" s="144">
        <f>COUNTIF(NazočnostZaOžujak[3],"N")+COUNTIF(NazočnostZaOžujak[3],"O")</f>
        <v>0</v>
      </c>
      <c r="G12" s="144">
        <f>COUNTIF(NazočnostZaOžujak[4],"N")+COUNTIF(NazočnostZaOžujak[4],"O")</f>
        <v>0</v>
      </c>
      <c r="H12" s="144">
        <f>COUNTIF(NazočnostZaOžujak[5],"N")+COUNTIF(NazočnostZaOžujak[5],"O")</f>
        <v>0</v>
      </c>
      <c r="I12" s="144">
        <f>COUNTIF(NazočnostZaOžujak[6],"N")+COUNTIF(NazočnostZaOžujak[6],"O")</f>
        <v>0</v>
      </c>
      <c r="J12" s="144">
        <f>COUNTIF(NazočnostZaOžujak[7],"N")+COUNTIF(NazočnostZaOžujak[7],"O")</f>
        <v>0</v>
      </c>
      <c r="K12" s="144">
        <f>COUNTIF(NazočnostZaOžujak[8],"N")+COUNTIF(NazočnostZaOžujak[8],"O")</f>
        <v>0</v>
      </c>
      <c r="L12" s="144">
        <f>COUNTIF(NazočnostZaOžujak[9],"N")+COUNTIF(NazočnostZaOžujak[9],"O")</f>
        <v>0</v>
      </c>
      <c r="M12" s="144">
        <f>COUNTIF(NazočnostZaOžujak[10],"N")+COUNTIF(NazočnostZaOžujak[10],"O")</f>
        <v>0</v>
      </c>
      <c r="N12" s="144">
        <f>COUNTIF(NazočnostZaOžujak[11],"N")+COUNTIF(NazočnostZaOžujak[11],"O")</f>
        <v>0</v>
      </c>
      <c r="O12" s="144">
        <f>COUNTIF(NazočnostZaOžujak[12],"N")+COUNTIF(NazočnostZaOžujak[12],"O")</f>
        <v>0</v>
      </c>
      <c r="P12" s="144">
        <f>COUNTIF(NazočnostZaOžujak[13],"N")+COUNTIF(NazočnostZaOžujak[13],"O")</f>
        <v>0</v>
      </c>
      <c r="Q12" s="144">
        <f>COUNTIF(NazočnostZaOžujak[14],"N")+COUNTIF(NazočnostZaOžujak[14],"O")</f>
        <v>0</v>
      </c>
      <c r="R12" s="144">
        <f>COUNTIF(NazočnostZaOžujak[15],"N")+COUNTIF(NazočnostZaOžujak[15],"O")</f>
        <v>0</v>
      </c>
      <c r="S12" s="144">
        <f>COUNTIF(NazočnostZaOžujak[16],"N")+COUNTIF(NazočnostZaOžujak[16],"O")</f>
        <v>0</v>
      </c>
      <c r="T12" s="144">
        <f>COUNTIF(NazočnostZaOžujak[17],"N")+COUNTIF(NazočnostZaOžujak[17],"O")</f>
        <v>0</v>
      </c>
      <c r="U12" s="144">
        <f>COUNTIF(NazočnostZaOžujak[18],"N")+COUNTIF(NazočnostZaOžujak[18],"O")</f>
        <v>0</v>
      </c>
      <c r="V12" s="144">
        <f>COUNTIF(NazočnostZaOžujak[19],"N")+COUNTIF(NazočnostZaOžujak[19],"O")</f>
        <v>0</v>
      </c>
      <c r="W12" s="144">
        <f>COUNTIF(NazočnostZaOžujak[20],"N")+COUNTIF(NazočnostZaOžujak[20],"O")</f>
        <v>0</v>
      </c>
      <c r="X12" s="144">
        <f>COUNTIF(NazočnostZaOžujak[21],"N")+COUNTIF(NazočnostZaOžujak[21],"O")</f>
        <v>0</v>
      </c>
      <c r="Y12" s="144">
        <f>COUNTIF(NazočnostZaOžujak[22],"N")+COUNTIF(NazočnostZaOžujak[22],"O")</f>
        <v>0</v>
      </c>
      <c r="Z12" s="144">
        <f>COUNTIF(NazočnostZaOžujak[23],"N")+COUNTIF(NazočnostZaOžujak[23],"O")</f>
        <v>0</v>
      </c>
      <c r="AA12" s="144">
        <f>COUNTIF(NazočnostZaOžujak[24],"N")+COUNTIF(NazočnostZaOžujak[24],"O")</f>
        <v>0</v>
      </c>
      <c r="AB12" s="144">
        <f>COUNTIF(NazočnostZaOžujak[25],"N")+COUNTIF(NazočnostZaOžujak[25],"O")</f>
        <v>0</v>
      </c>
      <c r="AC12" s="144">
        <f>COUNTIF(NazočnostZaOžujak[26],"N")+COUNTIF(NazočnostZaOžujak[26],"O")</f>
        <v>0</v>
      </c>
      <c r="AD12" s="144">
        <f>COUNTIF(NazočnostZaOžujak[27],"N")+COUNTIF(NazočnostZaOžujak[27],"O")</f>
        <v>0</v>
      </c>
      <c r="AE12" s="144">
        <f>COUNTIF(NazočnostZaOžujak[28],"N")+COUNTIF(NazočnostZaOžujak[28],"O")</f>
        <v>0</v>
      </c>
      <c r="AF12" s="144">
        <f>COUNTIF(NazočnostZaOžujak[29],"N")+COUNTIF(NazočnostZaOžujak[29],"O")</f>
        <v>0</v>
      </c>
      <c r="AG12" s="144">
        <f>COUNTIF(NazočnostZaOžujak[30],"N")+COUNTIF(NazočnostZaOžujak[30],"O")</f>
        <v>0</v>
      </c>
      <c r="AH12" s="144">
        <f>COUNTIF(NazočnostZaOžujak[31],"N")+COUNTIF(NazočnostZaOžujak[31],"O")</f>
        <v>0</v>
      </c>
      <c r="AI12" s="144">
        <f>SUBTOTAL(109,NazočnostZaOžujak[K])</f>
        <v>0</v>
      </c>
      <c r="AJ12" s="144">
        <f>SUBTOTAL(109,NazočnostZaOžujak[O])</f>
        <v>0</v>
      </c>
      <c r="AK12" s="144">
        <f>SUBTOTAL(109,NazočnostZaOžujak[N])</f>
        <v>0</v>
      </c>
      <c r="AL12" s="144">
        <f>SUBTOTAL(109,NazočnostZaOžujak[P])</f>
        <v>0</v>
      </c>
      <c r="AM12" s="144">
        <f>SUBTOTAL(109,NazočnostZaOžujak[Dani izostanaka])</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alendarskaGodina,2,1),DATE(KalendarskaGodina,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687" priority="2" stopIfTrue="1">
      <formula>D7=Šifra2</formula>
    </cfRule>
  </conditionalFormatting>
  <conditionalFormatting sqref="D7:AF11">
    <cfRule type="expression" dxfId="686" priority="3" stopIfTrue="1">
      <formula>D7=Šifra5</formula>
    </cfRule>
    <cfRule type="expression" dxfId="685" priority="4" stopIfTrue="1">
      <formula>D7=Šifra4</formula>
    </cfRule>
    <cfRule type="expression" dxfId="684" priority="5" stopIfTrue="1">
      <formula>D7=Šifra3</formula>
    </cfRule>
    <cfRule type="expression" dxfId="683" priority="6"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DATEDIF(DATE(KalendarskaGodina,2,1),DATE(KalendarskaGodina,3,1),"d")</xm:f>
              </x14:cfvo>
              <x14:borderColor theme="4"/>
              <x14:negativeFillColor rgb="FFFF0000"/>
              <x14:negativeBorderColor rgb="FFFF0000"/>
              <x14:axisColor rgb="FF000000"/>
            </x14:dataBar>
          </x14:cfRule>
          <xm:sqref>AM7:AM11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39"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39" customFormat="1" ht="13.5" x14ac:dyDescent="0.25"/>
    <row r="3" spans="1:39"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39" customFormat="1" ht="16.5" customHeight="1" x14ac:dyDescent="0.25"/>
    <row r="5" spans="1:39" s="2" customFormat="1" ht="18" customHeight="1" x14ac:dyDescent="0.3">
      <c r="B5" s="55">
        <f>DATE(KalendarskaGodina+1,4,1)</f>
        <v>41365</v>
      </c>
      <c r="C5" s="54"/>
      <c r="D5" s="37" t="str">
        <f>TEXT(WEEKDAY(DATE(KalendarskaGodina+1,4,1),1),"aaa")</f>
        <v>pon</v>
      </c>
      <c r="E5" s="37" t="str">
        <f>TEXT(WEEKDAY(DATE(KalendarskaGodina+1,4,2),1),"aaa")</f>
        <v>uto</v>
      </c>
      <c r="F5" s="37" t="str">
        <f>TEXT(WEEKDAY(DATE(KalendarskaGodina+1,4,3),1),"aaa")</f>
        <v>sri</v>
      </c>
      <c r="G5" s="37" t="str">
        <f>TEXT(WEEKDAY(DATE(KalendarskaGodina+1,4,4),1),"aaa")</f>
        <v>čet</v>
      </c>
      <c r="H5" s="37" t="str">
        <f>TEXT(WEEKDAY(DATE(KalendarskaGodina+1,4,5),1),"aaa")</f>
        <v>pet</v>
      </c>
      <c r="I5" s="37" t="str">
        <f>TEXT(WEEKDAY(DATE(KalendarskaGodina+1,4,6),1),"aaa")</f>
        <v>sub</v>
      </c>
      <c r="J5" s="37" t="str">
        <f>TEXT(WEEKDAY(DATE(KalendarskaGodina+1,4,7),1),"aaa")</f>
        <v>ned</v>
      </c>
      <c r="K5" s="37" t="str">
        <f>TEXT(WEEKDAY(DATE(KalendarskaGodina+1,4,8),1),"aaa")</f>
        <v>pon</v>
      </c>
      <c r="L5" s="37" t="str">
        <f>TEXT(WEEKDAY(DATE(KalendarskaGodina+1,4,9),1),"aaa")</f>
        <v>uto</v>
      </c>
      <c r="M5" s="37" t="str">
        <f>TEXT(WEEKDAY(DATE(KalendarskaGodina+1,4,10),1),"aaa")</f>
        <v>sri</v>
      </c>
      <c r="N5" s="37" t="str">
        <f>TEXT(WEEKDAY(DATE(KalendarskaGodina+1,4,11),1),"aaa")</f>
        <v>čet</v>
      </c>
      <c r="O5" s="37" t="str">
        <f>TEXT(WEEKDAY(DATE(KalendarskaGodina+1,4,12),1),"aaa")</f>
        <v>pet</v>
      </c>
      <c r="P5" s="37" t="str">
        <f>TEXT(WEEKDAY(DATE(KalendarskaGodina+1,4,13),1),"aaa")</f>
        <v>sub</v>
      </c>
      <c r="Q5" s="37" t="str">
        <f>TEXT(WEEKDAY(DATE(KalendarskaGodina+1,4,14),1),"aaa")</f>
        <v>ned</v>
      </c>
      <c r="R5" s="37" t="str">
        <f>TEXT(WEEKDAY(DATE(KalendarskaGodina+1,4,15),1),"aaa")</f>
        <v>pon</v>
      </c>
      <c r="S5" s="37" t="str">
        <f>TEXT(WEEKDAY(DATE(KalendarskaGodina+1,4,16),1),"aaa")</f>
        <v>uto</v>
      </c>
      <c r="T5" s="37" t="str">
        <f>TEXT(WEEKDAY(DATE(KalendarskaGodina+1,4,17),1),"aaa")</f>
        <v>sri</v>
      </c>
      <c r="U5" s="37" t="str">
        <f>TEXT(WEEKDAY(DATE(KalendarskaGodina+1,4,18),1),"aaa")</f>
        <v>čet</v>
      </c>
      <c r="V5" s="37" t="str">
        <f>TEXT(WEEKDAY(DATE(KalendarskaGodina+1,4,19),1),"aaa")</f>
        <v>pet</v>
      </c>
      <c r="W5" s="37" t="str">
        <f>TEXT(WEEKDAY(DATE(KalendarskaGodina+1,4,20),1),"aaa")</f>
        <v>sub</v>
      </c>
      <c r="X5" s="37" t="str">
        <f>TEXT(WEEKDAY(DATE(KalendarskaGodina+1,4,21),1),"aaa")</f>
        <v>ned</v>
      </c>
      <c r="Y5" s="37" t="str">
        <f>TEXT(WEEKDAY(DATE(KalendarskaGodina+1,4,22),1),"aaa")</f>
        <v>pon</v>
      </c>
      <c r="Z5" s="37" t="str">
        <f>TEXT(WEEKDAY(DATE(KalendarskaGodina+1,4,23),1),"aaa")</f>
        <v>uto</v>
      </c>
      <c r="AA5" s="37" t="str">
        <f>TEXT(WEEKDAY(DATE(KalendarskaGodina+1,4,24),1),"aaa")</f>
        <v>sri</v>
      </c>
      <c r="AB5" s="37" t="str">
        <f>TEXT(WEEKDAY(DATE(KalendarskaGodina+1,4,25),1),"aaa")</f>
        <v>čet</v>
      </c>
      <c r="AC5" s="37" t="str">
        <f>TEXT(WEEKDAY(DATE(KalendarskaGodina+1,4,26),1),"aaa")</f>
        <v>pet</v>
      </c>
      <c r="AD5" s="37" t="str">
        <f>TEXT(WEEKDAY(DATE(KalendarskaGodina+1,4,27),1),"aaa")</f>
        <v>sub</v>
      </c>
      <c r="AE5" s="37" t="str">
        <f>TEXT(WEEKDAY(DATE(KalendarskaGodina+1,4,28),1),"aaa")</f>
        <v>ned</v>
      </c>
      <c r="AF5" s="37" t="str">
        <f>TEXT(WEEKDAY(DATE(KalendarskaGodina+1,4,29),1),"aaa")</f>
        <v>pon</v>
      </c>
      <c r="AG5" s="37" t="str">
        <f>TEXT(WEEKDAY(DATE(KalendarskaGodina+1,4,30),1),"aaa")</f>
        <v>uto</v>
      </c>
      <c r="AH5" s="37"/>
      <c r="AI5" s="122" t="s">
        <v>38</v>
      </c>
      <c r="AJ5" s="122"/>
      <c r="AK5" s="122"/>
      <c r="AL5" s="122"/>
      <c r="AM5" s="122"/>
    </row>
    <row r="6" spans="1:39" ht="27" x14ac:dyDescent="0.25">
      <c r="B6" s="106" t="s">
        <v>34</v>
      </c>
      <c r="C6" s="24" t="s">
        <v>36</v>
      </c>
      <c r="D6" s="25" t="s">
        <v>0</v>
      </c>
      <c r="E6" s="25" t="s">
        <v>1</v>
      </c>
      <c r="F6" s="25" t="s">
        <v>2</v>
      </c>
      <c r="G6" s="25" t="s">
        <v>3</v>
      </c>
      <c r="H6" s="25" t="s">
        <v>4</v>
      </c>
      <c r="I6" s="25" t="s">
        <v>5</v>
      </c>
      <c r="J6" s="25" t="s">
        <v>6</v>
      </c>
      <c r="K6" s="25" t="s">
        <v>7</v>
      </c>
      <c r="L6" s="25" t="s">
        <v>8</v>
      </c>
      <c r="M6" s="25" t="s">
        <v>9</v>
      </c>
      <c r="N6" s="25" t="s">
        <v>10</v>
      </c>
      <c r="O6" s="25" t="s">
        <v>11</v>
      </c>
      <c r="P6" s="25" t="s">
        <v>12</v>
      </c>
      <c r="Q6" s="25" t="s">
        <v>13</v>
      </c>
      <c r="R6" s="25" t="s">
        <v>14</v>
      </c>
      <c r="S6" s="25" t="s">
        <v>15</v>
      </c>
      <c r="T6" s="25" t="s">
        <v>16</v>
      </c>
      <c r="U6" s="25" t="s">
        <v>17</v>
      </c>
      <c r="V6" s="25" t="s">
        <v>18</v>
      </c>
      <c r="W6" s="25" t="s">
        <v>19</v>
      </c>
      <c r="X6" s="25" t="s">
        <v>20</v>
      </c>
      <c r="Y6" s="25" t="s">
        <v>21</v>
      </c>
      <c r="Z6" s="25" t="s">
        <v>22</v>
      </c>
      <c r="AA6" s="25" t="s">
        <v>23</v>
      </c>
      <c r="AB6" s="25" t="s">
        <v>24</v>
      </c>
      <c r="AC6" s="25" t="s">
        <v>25</v>
      </c>
      <c r="AD6" s="25" t="s">
        <v>26</v>
      </c>
      <c r="AE6" s="25" t="s">
        <v>27</v>
      </c>
      <c r="AF6" s="25" t="s">
        <v>28</v>
      </c>
      <c r="AG6" s="25" t="s">
        <v>29</v>
      </c>
      <c r="AH6" s="25" t="s">
        <v>116</v>
      </c>
      <c r="AI6" s="145" t="s">
        <v>127</v>
      </c>
      <c r="AJ6" s="46" t="s">
        <v>128</v>
      </c>
      <c r="AK6" s="47" t="s">
        <v>68</v>
      </c>
      <c r="AL6" s="147" t="s">
        <v>31</v>
      </c>
      <c r="AM6" t="s">
        <v>37</v>
      </c>
    </row>
    <row r="7" spans="1:39" ht="16.5" customHeight="1" x14ac:dyDescent="0.25">
      <c r="B7" s="23"/>
      <c r="C7" s="19" t="str">
        <f>IFERROR(VLOOKUP(NazočnostZaTravanj[[#This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1">
        <f>COUNTIF(NazočnostZaTravanj[[#This Row],[1]:[ ]],Šifra1)</f>
        <v>0</v>
      </c>
      <c r="AJ7" s="31">
        <f>COUNTIF(NazočnostZaTravanj[[#This Row],[1]:[ ]],Šifra2)</f>
        <v>0</v>
      </c>
      <c r="AK7" s="31">
        <f>COUNTIF(NazočnostZaTravanj[[#This Row],[1]:[ ]],Šifra3)</f>
        <v>0</v>
      </c>
      <c r="AL7" s="31">
        <f>COUNTIF(NazočnostZaTravanj[[#This Row],[1]:[ ]],Šifra4)</f>
        <v>0</v>
      </c>
      <c r="AM7" s="6">
        <f>SUM(NazočnostZaRujan[[#This Row],[O]:[N]])</f>
        <v>0</v>
      </c>
    </row>
    <row r="8" spans="1:39" ht="16.5" customHeight="1" x14ac:dyDescent="0.25">
      <c r="B8" s="23"/>
      <c r="C8" s="19" t="str">
        <f>IFERROR(VLOOKUP(NazočnostZaTravanj[[#This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1">
        <f>COUNTIF(NazočnostZaTravanj[[#This Row],[1]:[ ]],Šifra1)</f>
        <v>0</v>
      </c>
      <c r="AJ8" s="31">
        <f>COUNTIF(NazočnostZaTravanj[[#This Row],[1]:[ ]],Šifra2)</f>
        <v>0</v>
      </c>
      <c r="AK8" s="31">
        <f>COUNTIF(NazočnostZaTravanj[[#This Row],[1]:[ ]],Šifra3)</f>
        <v>0</v>
      </c>
      <c r="AL8" s="31">
        <f>COUNTIF(NazočnostZaTravanj[[#This Row],[1]:[ ]],Šifra4)</f>
        <v>0</v>
      </c>
      <c r="AM8" s="6">
        <f>SUM(NazočnostZaRujan[[#This Row],[O]:[N]])</f>
        <v>0</v>
      </c>
    </row>
    <row r="9" spans="1:39" ht="16.5" customHeight="1" x14ac:dyDescent="0.25">
      <c r="B9" s="23"/>
      <c r="C9" s="19" t="str">
        <f>IFERROR(VLOOKUP(NazočnostZaTravanj[[#This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1">
        <f>COUNTIF(NazočnostZaTravanj[[#This Row],[1]:[ ]],Šifra1)</f>
        <v>0</v>
      </c>
      <c r="AJ9" s="31">
        <f>COUNTIF(NazočnostZaTravanj[[#This Row],[1]:[ ]],Šifra2)</f>
        <v>0</v>
      </c>
      <c r="AK9" s="31">
        <f>COUNTIF(NazočnostZaTravanj[[#This Row],[1]:[ ]],Šifra3)</f>
        <v>0</v>
      </c>
      <c r="AL9" s="31">
        <f>COUNTIF(NazočnostZaTravanj[[#This Row],[1]:[ ]],Šifra4)</f>
        <v>0</v>
      </c>
      <c r="AM9" s="6">
        <f>SUM(NazočnostZaRujan[[#This Row],[O]:[N]])</f>
        <v>0</v>
      </c>
    </row>
    <row r="10" spans="1:39" ht="16.5" customHeight="1" x14ac:dyDescent="0.25">
      <c r="B10" s="23"/>
      <c r="C10" s="19" t="str">
        <f>IFERROR(VLOOKUP(NazočnostZaTravanj[[#This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1">
        <f>COUNTIF(NazočnostZaTravanj[[#This Row],[1]:[ ]],Šifra1)</f>
        <v>0</v>
      </c>
      <c r="AJ10" s="31">
        <f>COUNTIF(NazočnostZaTravanj[[#This Row],[1]:[ ]],Šifra2)</f>
        <v>0</v>
      </c>
      <c r="AK10" s="31">
        <f>COUNTIF(NazočnostZaTravanj[[#This Row],[1]:[ ]],Šifra3)</f>
        <v>0</v>
      </c>
      <c r="AL10" s="31">
        <f>COUNTIF(NazočnostZaTravanj[[#This Row],[1]:[ ]],Šifra4)</f>
        <v>0</v>
      </c>
      <c r="AM10" s="6">
        <f>SUM(NazočnostZaRujan[[#This Row],[O]:[N]])</f>
        <v>0</v>
      </c>
    </row>
    <row r="11" spans="1:39" ht="16.5" customHeight="1" x14ac:dyDescent="0.25">
      <c r="B11" s="23"/>
      <c r="C11" s="19" t="str">
        <f>IFERROR(VLOOKUP(NazočnostZaTravanj[[#This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1">
        <f>COUNTIF(NazočnostZaTravanj[[#This Row],[1]:[ ]],Šifra1)</f>
        <v>0</v>
      </c>
      <c r="AJ11" s="31">
        <f>COUNTIF(NazočnostZaTravanj[[#This Row],[1]:[ ]],Šifra2)</f>
        <v>0</v>
      </c>
      <c r="AK11" s="31">
        <f>COUNTIF(NazočnostZaTravanj[[#This Row],[1]:[ ]],Šifra3)</f>
        <v>0</v>
      </c>
      <c r="AL11" s="31">
        <f>COUNTIF(NazočnostZaTravanj[[#This Row],[1]:[ ]],Šifra4)</f>
        <v>0</v>
      </c>
      <c r="AM11" s="6">
        <f>SUM(NazočnostZaRujan[[#This Row],[O]:[N]])</f>
        <v>0</v>
      </c>
    </row>
    <row r="12" spans="1:39" ht="16.5" customHeight="1" x14ac:dyDescent="0.25">
      <c r="B12" s="142"/>
      <c r="C12" s="143" t="s">
        <v>117</v>
      </c>
      <c r="D12" s="144">
        <f>COUNTIF(NazočnostZaTravanj[1],"N")+COUNTIF(NazočnostZaTravanj[1],"O")</f>
        <v>0</v>
      </c>
      <c r="E12" s="144">
        <f>COUNTIF(NazočnostZaTravanj[2],"N")+COUNTIF(NazočnostZaTravanj[2],"O")</f>
        <v>0</v>
      </c>
      <c r="F12" s="144">
        <f>COUNTIF(NazočnostZaTravanj[3],"N")+COUNTIF(NazočnostZaTravanj[3],"O")</f>
        <v>0</v>
      </c>
      <c r="G12" s="144">
        <f>COUNTIF(NazočnostZaTravanj[4],"N")+COUNTIF(NazočnostZaTravanj[4],"O")</f>
        <v>0</v>
      </c>
      <c r="H12" s="144">
        <f>COUNTIF(NazočnostZaTravanj[5],"N")+COUNTIF(NazočnostZaTravanj[5],"O")</f>
        <v>0</v>
      </c>
      <c r="I12" s="144">
        <f>COUNTIF(NazočnostZaTravanj[6],"N")+COUNTIF(NazočnostZaTravanj[6],"O")</f>
        <v>0</v>
      </c>
      <c r="J12" s="144">
        <f>COUNTIF(NazočnostZaTravanj[7],"N")+COUNTIF(NazočnostZaTravanj[7],"O")</f>
        <v>0</v>
      </c>
      <c r="K12" s="144">
        <f>COUNTIF(NazočnostZaTravanj[8],"N")+COUNTIF(NazočnostZaTravanj[8],"O")</f>
        <v>0</v>
      </c>
      <c r="L12" s="144">
        <f>COUNTIF(NazočnostZaTravanj[9],"N")+COUNTIF(NazočnostZaTravanj[9],"O")</f>
        <v>0</v>
      </c>
      <c r="M12" s="144">
        <f>COUNTIF(NazočnostZaTravanj[10],"N")+COUNTIF(NazočnostZaTravanj[10],"O")</f>
        <v>0</v>
      </c>
      <c r="N12" s="144">
        <f>COUNTIF(NazočnostZaTravanj[11],"N")+COUNTIF(NazočnostZaTravanj[11],"O")</f>
        <v>0</v>
      </c>
      <c r="O12" s="144">
        <f>COUNTIF(NazočnostZaTravanj[12],"N")+COUNTIF(NazočnostZaTravanj[12],"O")</f>
        <v>0</v>
      </c>
      <c r="P12" s="144">
        <f>COUNTIF(NazočnostZaTravanj[13],"N")+COUNTIF(NazočnostZaTravanj[13],"O")</f>
        <v>0</v>
      </c>
      <c r="Q12" s="144">
        <f>COUNTIF(NazočnostZaTravanj[14],"N")+COUNTIF(NazočnostZaTravanj[14],"O")</f>
        <v>0</v>
      </c>
      <c r="R12" s="144">
        <f>COUNTIF(NazočnostZaTravanj[15],"N")+COUNTIF(NazočnostZaTravanj[15],"O")</f>
        <v>0</v>
      </c>
      <c r="S12" s="144">
        <f>COUNTIF(NazočnostZaTravanj[16],"N")+COUNTIF(NazočnostZaTravanj[16],"O")</f>
        <v>0</v>
      </c>
      <c r="T12" s="144">
        <f>COUNTIF(NazočnostZaTravanj[17],"N")+COUNTIF(NazočnostZaTravanj[17],"O")</f>
        <v>0</v>
      </c>
      <c r="U12" s="144">
        <f>COUNTIF(NazočnostZaTravanj[18],"N")+COUNTIF(NazočnostZaTravanj[18],"O")</f>
        <v>0</v>
      </c>
      <c r="V12" s="144">
        <f>COUNTIF(NazočnostZaTravanj[19],"N")+COUNTIF(NazočnostZaTravanj[19],"O")</f>
        <v>0</v>
      </c>
      <c r="W12" s="144">
        <f>COUNTIF(NazočnostZaTravanj[20],"N")+COUNTIF(NazočnostZaTravanj[20],"O")</f>
        <v>0</v>
      </c>
      <c r="X12" s="144">
        <f>COUNTIF(NazočnostZaTravanj[21],"N")+COUNTIF(NazočnostZaTravanj[21],"O")</f>
        <v>0</v>
      </c>
      <c r="Y12" s="144">
        <f>COUNTIF(NazočnostZaTravanj[22],"N")+COUNTIF(NazočnostZaTravanj[22],"O")</f>
        <v>0</v>
      </c>
      <c r="Z12" s="144">
        <f>COUNTIF(NazočnostZaTravanj[23],"N")+COUNTIF(NazočnostZaTravanj[23],"O")</f>
        <v>0</v>
      </c>
      <c r="AA12" s="144">
        <f>COUNTIF(NazočnostZaTravanj[24],"N")+COUNTIF(NazočnostZaTravanj[24],"O")</f>
        <v>0</v>
      </c>
      <c r="AB12" s="144">
        <f>COUNTIF(NazočnostZaTravanj[25],"N")+COUNTIF(NazočnostZaTravanj[25],"O")</f>
        <v>0</v>
      </c>
      <c r="AC12" s="144">
        <f>COUNTIF(NazočnostZaTravanj[26],"N")+COUNTIF(NazočnostZaTravanj[26],"O")</f>
        <v>0</v>
      </c>
      <c r="AD12" s="144">
        <f>COUNTIF(NazočnostZaTravanj[27],"N")+COUNTIF(NazočnostZaTravanj[27],"O")</f>
        <v>0</v>
      </c>
      <c r="AE12" s="144">
        <f>COUNTIF(NazočnostZaTravanj[28],"N")+COUNTIF(NazočnostZaTravanj[28],"O")</f>
        <v>0</v>
      </c>
      <c r="AF12" s="144">
        <f>COUNTIF(NazočnostZaTravanj[29],"N")+COUNTIF(NazočnostZaTravanj[29],"O")</f>
        <v>0</v>
      </c>
      <c r="AG12" s="144">
        <f>COUNTIF(NazočnostZaTravanj[30],"N")+COUNTIF(NazočnostZaTravanj[30],"O")</f>
        <v>0</v>
      </c>
      <c r="AH12" s="144">
        <f>COUNTIF(NazočnostZaTravanj[[ ]],"N")+COUNTIF(NazočnostZaTravanj[[ ]],"O")</f>
        <v>0</v>
      </c>
      <c r="AI12" s="144">
        <f>SUBTOTAL(109,NazočnostZaTravanj[K])</f>
        <v>0</v>
      </c>
      <c r="AJ12" s="144">
        <f>SUBTOTAL(109,NazočnostZaTravanj[O])</f>
        <v>0</v>
      </c>
      <c r="AK12" s="144">
        <f>SUBTOTAL(109,NazočnostZaTravanj[N])</f>
        <v>0</v>
      </c>
      <c r="AL12" s="144">
        <f>SUBTOTAL(109,NazočnostZaTravanj[P])</f>
        <v>0</v>
      </c>
      <c r="AM12" s="144">
        <f>SUBTOTAL(109,NazočnostZaTravanj[Dani izostanaka])</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alendarskaGodina,2,1),DATE(KalendarskaGodina,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642" priority="2" stopIfTrue="1">
      <formula>D7=Šifra2</formula>
    </cfRule>
  </conditionalFormatting>
  <conditionalFormatting sqref="D7:AF11">
    <cfRule type="expression" dxfId="641" priority="3" stopIfTrue="1">
      <formula>D7=Šifra5</formula>
    </cfRule>
    <cfRule type="expression" dxfId="640" priority="4" stopIfTrue="1">
      <formula>D7=Šifra4</formula>
    </cfRule>
    <cfRule type="expression" dxfId="639" priority="5" stopIfTrue="1">
      <formula>D7=Šifra3</formula>
    </cfRule>
    <cfRule type="expression" dxfId="638" priority="6"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DATEDIF(DATE(KalendarskaGodina,2,1),DATE(KalendarskaGodina,3,1),"d")</xm:f>
              </x14:cfvo>
              <x14:borderColor theme="4"/>
              <x14:negativeFillColor rgb="FFFF0000"/>
              <x14:negativeBorderColor rgb="FFFF0000"/>
              <x14:axisColor rgb="FF000000"/>
            </x14:dataBar>
          </x14:cfRule>
          <xm:sqref>AM7:AM11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39"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39" customFormat="1" ht="13.5" x14ac:dyDescent="0.25"/>
    <row r="3" spans="1:39"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39" customFormat="1" ht="16.5" customHeight="1" x14ac:dyDescent="0.25"/>
    <row r="5" spans="1:39" s="2" customFormat="1" ht="18" customHeight="1" x14ac:dyDescent="0.3">
      <c r="B5" s="55">
        <f>DATE(KalendarskaGodina+1,5,1)</f>
        <v>41395</v>
      </c>
      <c r="C5" s="54"/>
      <c r="D5" s="37" t="str">
        <f>TEXT(WEEKDAY(DATE(KalendarskaGodina+1,5,1),1),"aaa")</f>
        <v>sri</v>
      </c>
      <c r="E5" s="37" t="str">
        <f>TEXT(WEEKDAY(DATE(KalendarskaGodina+1,5,2),1),"aaa")</f>
        <v>čet</v>
      </c>
      <c r="F5" s="37" t="str">
        <f>TEXT(WEEKDAY(DATE(KalendarskaGodina+1,5,3),1),"aaa")</f>
        <v>pet</v>
      </c>
      <c r="G5" s="37" t="str">
        <f>TEXT(WEEKDAY(DATE(KalendarskaGodina+1,5,4),1),"aaa")</f>
        <v>sub</v>
      </c>
      <c r="H5" s="37" t="str">
        <f>TEXT(WEEKDAY(DATE(KalendarskaGodina+1,5,5),1),"aaa")</f>
        <v>ned</v>
      </c>
      <c r="I5" s="37" t="str">
        <f>TEXT(WEEKDAY(DATE(KalendarskaGodina+1,5,6),1),"aaa")</f>
        <v>pon</v>
      </c>
      <c r="J5" s="37" t="str">
        <f>TEXT(WEEKDAY(DATE(KalendarskaGodina+1,5,7),1),"aaa")</f>
        <v>uto</v>
      </c>
      <c r="K5" s="37" t="str">
        <f>TEXT(WEEKDAY(DATE(KalendarskaGodina+1,5,8),1),"aaa")</f>
        <v>sri</v>
      </c>
      <c r="L5" s="37" t="str">
        <f>TEXT(WEEKDAY(DATE(KalendarskaGodina+1,5,9),1),"aaa")</f>
        <v>čet</v>
      </c>
      <c r="M5" s="37" t="str">
        <f>TEXT(WEEKDAY(DATE(KalendarskaGodina+1,5,10),1),"aaa")</f>
        <v>pet</v>
      </c>
      <c r="N5" s="37" t="str">
        <f>TEXT(WEEKDAY(DATE(KalendarskaGodina+1,5,11),1),"aaa")</f>
        <v>sub</v>
      </c>
      <c r="O5" s="37" t="str">
        <f>TEXT(WEEKDAY(DATE(KalendarskaGodina+1,5,12),1),"aaa")</f>
        <v>ned</v>
      </c>
      <c r="P5" s="37" t="str">
        <f>TEXT(WEEKDAY(DATE(KalendarskaGodina+1,5,13),1),"aaa")</f>
        <v>pon</v>
      </c>
      <c r="Q5" s="37" t="str">
        <f>TEXT(WEEKDAY(DATE(KalendarskaGodina+1,5,14),1),"aaa")</f>
        <v>uto</v>
      </c>
      <c r="R5" s="37" t="str">
        <f>TEXT(WEEKDAY(DATE(KalendarskaGodina+1,5,15),1),"aaa")</f>
        <v>sri</v>
      </c>
      <c r="S5" s="37" t="str">
        <f>TEXT(WEEKDAY(DATE(KalendarskaGodina+1,5,16),1),"aaa")</f>
        <v>čet</v>
      </c>
      <c r="T5" s="37" t="str">
        <f>TEXT(WEEKDAY(DATE(KalendarskaGodina+1,5,17),1),"aaa")</f>
        <v>pet</v>
      </c>
      <c r="U5" s="37" t="str">
        <f>TEXT(WEEKDAY(DATE(KalendarskaGodina+1,5,18),1),"aaa")</f>
        <v>sub</v>
      </c>
      <c r="V5" s="37" t="str">
        <f>TEXT(WEEKDAY(DATE(KalendarskaGodina+1,5,19),1),"aaa")</f>
        <v>ned</v>
      </c>
      <c r="W5" s="37" t="str">
        <f>TEXT(WEEKDAY(DATE(KalendarskaGodina+1,5,20),1),"aaa")</f>
        <v>pon</v>
      </c>
      <c r="X5" s="37" t="str">
        <f>TEXT(WEEKDAY(DATE(KalendarskaGodina+1,5,21),1),"aaa")</f>
        <v>uto</v>
      </c>
      <c r="Y5" s="37" t="str">
        <f>TEXT(WEEKDAY(DATE(KalendarskaGodina+1,5,22),1),"aaa")</f>
        <v>sri</v>
      </c>
      <c r="Z5" s="37" t="str">
        <f>TEXT(WEEKDAY(DATE(KalendarskaGodina+1,5,23),1),"aaa")</f>
        <v>čet</v>
      </c>
      <c r="AA5" s="37" t="str">
        <f>TEXT(WEEKDAY(DATE(KalendarskaGodina+1,5,24),1),"aaa")</f>
        <v>pet</v>
      </c>
      <c r="AB5" s="37" t="str">
        <f>TEXT(WEEKDAY(DATE(KalendarskaGodina+1,5,25),1),"aaa")</f>
        <v>sub</v>
      </c>
      <c r="AC5" s="37" t="str">
        <f>TEXT(WEEKDAY(DATE(KalendarskaGodina+1,5,26),1),"aaa")</f>
        <v>ned</v>
      </c>
      <c r="AD5" s="37" t="str">
        <f>TEXT(WEEKDAY(DATE(KalendarskaGodina+1,5,27),1),"aaa")</f>
        <v>pon</v>
      </c>
      <c r="AE5" s="37" t="str">
        <f>TEXT(WEEKDAY(DATE(KalendarskaGodina+1,5,28),1),"aaa")</f>
        <v>uto</v>
      </c>
      <c r="AF5" s="37" t="str">
        <f>TEXT(WEEKDAY(DATE(KalendarskaGodina+1,5,29),1),"aaa")</f>
        <v>sri</v>
      </c>
      <c r="AG5" s="37" t="str">
        <f>TEXT(WEEKDAY(DATE(KalendarskaGodina+1,5,30),1),"aaa")</f>
        <v>čet</v>
      </c>
      <c r="AH5" s="37" t="str">
        <f>TEXT(WEEKDAY(DATE(KalendarskaGodina+1,5,31),1),"aaa")</f>
        <v>pet</v>
      </c>
      <c r="AI5" s="122" t="s">
        <v>38</v>
      </c>
      <c r="AJ5" s="122"/>
      <c r="AK5" s="122"/>
      <c r="AL5" s="122"/>
      <c r="AM5" s="122"/>
    </row>
    <row r="6" spans="1:39" ht="27" x14ac:dyDescent="0.25">
      <c r="B6" s="106" t="s">
        <v>34</v>
      </c>
      <c r="C6" s="24" t="s">
        <v>36</v>
      </c>
      <c r="D6" s="25" t="s">
        <v>0</v>
      </c>
      <c r="E6" s="25" t="s">
        <v>1</v>
      </c>
      <c r="F6" s="25" t="s">
        <v>2</v>
      </c>
      <c r="G6" s="25" t="s">
        <v>3</v>
      </c>
      <c r="H6" s="25" t="s">
        <v>4</v>
      </c>
      <c r="I6" s="25" t="s">
        <v>5</v>
      </c>
      <c r="J6" s="25" t="s">
        <v>6</v>
      </c>
      <c r="K6" s="25" t="s">
        <v>7</v>
      </c>
      <c r="L6" s="25" t="s">
        <v>8</v>
      </c>
      <c r="M6" s="25" t="s">
        <v>9</v>
      </c>
      <c r="N6" s="25" t="s">
        <v>10</v>
      </c>
      <c r="O6" s="25" t="s">
        <v>11</v>
      </c>
      <c r="P6" s="25" t="s">
        <v>12</v>
      </c>
      <c r="Q6" s="25" t="s">
        <v>13</v>
      </c>
      <c r="R6" s="25" t="s">
        <v>14</v>
      </c>
      <c r="S6" s="25" t="s">
        <v>15</v>
      </c>
      <c r="T6" s="25" t="s">
        <v>16</v>
      </c>
      <c r="U6" s="25" t="s">
        <v>17</v>
      </c>
      <c r="V6" s="25" t="s">
        <v>18</v>
      </c>
      <c r="W6" s="25" t="s">
        <v>19</v>
      </c>
      <c r="X6" s="25" t="s">
        <v>20</v>
      </c>
      <c r="Y6" s="25" t="s">
        <v>21</v>
      </c>
      <c r="Z6" s="25" t="s">
        <v>22</v>
      </c>
      <c r="AA6" s="25" t="s">
        <v>23</v>
      </c>
      <c r="AB6" s="25" t="s">
        <v>24</v>
      </c>
      <c r="AC6" s="25" t="s">
        <v>25</v>
      </c>
      <c r="AD6" s="25" t="s">
        <v>26</v>
      </c>
      <c r="AE6" s="25" t="s">
        <v>27</v>
      </c>
      <c r="AF6" s="25" t="s">
        <v>28</v>
      </c>
      <c r="AG6" s="25" t="s">
        <v>29</v>
      </c>
      <c r="AH6" s="25" t="s">
        <v>30</v>
      </c>
      <c r="AI6" s="145" t="s">
        <v>127</v>
      </c>
      <c r="AJ6" s="46" t="s">
        <v>128</v>
      </c>
      <c r="AK6" s="47" t="s">
        <v>68</v>
      </c>
      <c r="AL6" s="147" t="s">
        <v>31</v>
      </c>
      <c r="AM6" t="s">
        <v>37</v>
      </c>
    </row>
    <row r="7" spans="1:39" ht="16.5" customHeight="1" x14ac:dyDescent="0.25">
      <c r="B7" s="23"/>
      <c r="C7" s="19" t="str">
        <f>IFERROR(VLOOKUP(NazočnostZaSvibanj[[#This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1">
        <f>COUNTIF(NazočnostZaSvibanj[[#This Row],[1]:[31]],Šifra1)</f>
        <v>0</v>
      </c>
      <c r="AJ7" s="31">
        <f>COUNTIF(NazočnostZaSvibanj[[#This Row],[1]:[31]],Šifra2)</f>
        <v>0</v>
      </c>
      <c r="AK7" s="31">
        <f>COUNTIF(NazočnostZaSvibanj[[#This Row],[1]:[31]],Šifra3)</f>
        <v>0</v>
      </c>
      <c r="AL7" s="31">
        <f>COUNTIF(NazočnostZaSvibanj[[#This Row],[1]:[31]],Šifra4)</f>
        <v>0</v>
      </c>
      <c r="AM7" s="6">
        <f>SUM(NazočnostZaRujan[[#This Row],[O]:[N]])</f>
        <v>0</v>
      </c>
    </row>
    <row r="8" spans="1:39" ht="16.5" customHeight="1" x14ac:dyDescent="0.25">
      <c r="B8" s="23"/>
      <c r="C8" s="19" t="str">
        <f>IFERROR(VLOOKUP(NazočnostZaSvibanj[[#This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1">
        <f>COUNTIF(NazočnostZaSvibanj[[#This Row],[1]:[31]],Šifra1)</f>
        <v>0</v>
      </c>
      <c r="AJ8" s="31">
        <f>COUNTIF(NazočnostZaSvibanj[[#This Row],[1]:[31]],Šifra2)</f>
        <v>0</v>
      </c>
      <c r="AK8" s="31">
        <f>COUNTIF(NazočnostZaSvibanj[[#This Row],[1]:[31]],Šifra3)</f>
        <v>0</v>
      </c>
      <c r="AL8" s="31">
        <f>COUNTIF(NazočnostZaSvibanj[[#This Row],[1]:[31]],Šifra4)</f>
        <v>0</v>
      </c>
      <c r="AM8" s="6">
        <f>SUM(NazočnostZaRujan[[#This Row],[O]:[N]])</f>
        <v>0</v>
      </c>
    </row>
    <row r="9" spans="1:39" ht="16.5" customHeight="1" x14ac:dyDescent="0.25">
      <c r="B9" s="23"/>
      <c r="C9" s="19" t="str">
        <f>IFERROR(VLOOKUP(NazočnostZaSvibanj[[#This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1">
        <f>COUNTIF(NazočnostZaSvibanj[[#This Row],[1]:[31]],Šifra1)</f>
        <v>0</v>
      </c>
      <c r="AJ9" s="31">
        <f>COUNTIF(NazočnostZaSvibanj[[#This Row],[1]:[31]],Šifra2)</f>
        <v>0</v>
      </c>
      <c r="AK9" s="31">
        <f>COUNTIF(NazočnostZaSvibanj[[#This Row],[1]:[31]],Šifra3)</f>
        <v>0</v>
      </c>
      <c r="AL9" s="31">
        <f>COUNTIF(NazočnostZaSvibanj[[#This Row],[1]:[31]],Šifra4)</f>
        <v>0</v>
      </c>
      <c r="AM9" s="6">
        <f>SUM(NazočnostZaRujan[[#This Row],[O]:[N]])</f>
        <v>0</v>
      </c>
    </row>
    <row r="10" spans="1:39" ht="16.5" customHeight="1" x14ac:dyDescent="0.25">
      <c r="B10" s="23"/>
      <c r="C10" s="19" t="str">
        <f>IFERROR(VLOOKUP(NazočnostZaSvibanj[[#This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1">
        <f>COUNTIF(NazočnostZaSvibanj[[#This Row],[1]:[31]],Šifra1)</f>
        <v>0</v>
      </c>
      <c r="AJ10" s="31">
        <f>COUNTIF(NazočnostZaSvibanj[[#This Row],[1]:[31]],Šifra2)</f>
        <v>0</v>
      </c>
      <c r="AK10" s="31">
        <f>COUNTIF(NazočnostZaSvibanj[[#This Row],[1]:[31]],Šifra3)</f>
        <v>0</v>
      </c>
      <c r="AL10" s="31">
        <f>COUNTIF(NazočnostZaSvibanj[[#This Row],[1]:[31]],Šifra4)</f>
        <v>0</v>
      </c>
      <c r="AM10" s="6">
        <f>SUM(NazočnostZaRujan[[#This Row],[O]:[N]])</f>
        <v>0</v>
      </c>
    </row>
    <row r="11" spans="1:39" ht="16.5" customHeight="1" x14ac:dyDescent="0.25">
      <c r="B11" s="23"/>
      <c r="C11" s="19" t="str">
        <f>IFERROR(VLOOKUP(NazočnostZaSvibanj[[#This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1">
        <f>COUNTIF(NazočnostZaSvibanj[[#This Row],[1]:[31]],Šifra1)</f>
        <v>0</v>
      </c>
      <c r="AJ11" s="31">
        <f>COUNTIF(NazočnostZaSvibanj[[#This Row],[1]:[31]],Šifra2)</f>
        <v>0</v>
      </c>
      <c r="AK11" s="31">
        <f>COUNTIF(NazočnostZaSvibanj[[#This Row],[1]:[31]],Šifra3)</f>
        <v>0</v>
      </c>
      <c r="AL11" s="31">
        <f>COUNTIF(NazočnostZaSvibanj[[#This Row],[1]:[31]],Šifra4)</f>
        <v>0</v>
      </c>
      <c r="AM11" s="6">
        <f>SUM(NazočnostZaRujan[[#This Row],[O]:[N]])</f>
        <v>0</v>
      </c>
    </row>
    <row r="12" spans="1:39" ht="16.5" customHeight="1" x14ac:dyDescent="0.25">
      <c r="B12" s="142"/>
      <c r="C12" s="143" t="s">
        <v>117</v>
      </c>
      <c r="D12" s="144">
        <f>COUNTIF(NazočnostZaSvibanj[1],"N")+COUNTIF(NazočnostZaSvibanj[1],"O")</f>
        <v>0</v>
      </c>
      <c r="E12" s="144">
        <f>COUNTIF(NazočnostZaSvibanj[2],"N")+COUNTIF(NazočnostZaSvibanj[2],"O")</f>
        <v>0</v>
      </c>
      <c r="F12" s="144">
        <f>COUNTIF(NazočnostZaSvibanj[3],"N")+COUNTIF(NazočnostZaSvibanj[3],"O")</f>
        <v>0</v>
      </c>
      <c r="G12" s="144">
        <f>COUNTIF(NazočnostZaSvibanj[4],"N")+COUNTIF(NazočnostZaSvibanj[4],"O")</f>
        <v>0</v>
      </c>
      <c r="H12" s="144">
        <f>COUNTIF(NazočnostZaSvibanj[5],"N")+COUNTIF(NazočnostZaSvibanj[5],"O")</f>
        <v>0</v>
      </c>
      <c r="I12" s="144">
        <f>COUNTIF(NazočnostZaSvibanj[6],"N")+COUNTIF(NazočnostZaSvibanj[6],"O")</f>
        <v>0</v>
      </c>
      <c r="J12" s="144">
        <f>COUNTIF(NazočnostZaSvibanj[7],"N")+COUNTIF(NazočnostZaSvibanj[7],"O")</f>
        <v>0</v>
      </c>
      <c r="K12" s="144">
        <f>COUNTIF(NazočnostZaSvibanj[8],"N")+COUNTIF(NazočnostZaSvibanj[8],"O")</f>
        <v>0</v>
      </c>
      <c r="L12" s="144">
        <f>COUNTIF(NazočnostZaSvibanj[9],"N")+COUNTIF(NazočnostZaSvibanj[9],"O")</f>
        <v>0</v>
      </c>
      <c r="M12" s="144">
        <f>COUNTIF(NazočnostZaSvibanj[10],"N")+COUNTIF(NazočnostZaSvibanj[10],"O")</f>
        <v>0</v>
      </c>
      <c r="N12" s="144">
        <f>COUNTIF(NazočnostZaSvibanj[11],"N")+COUNTIF(NazočnostZaSvibanj[11],"O")</f>
        <v>0</v>
      </c>
      <c r="O12" s="144">
        <f>COUNTIF(NazočnostZaSvibanj[12],"N")+COUNTIF(NazočnostZaSvibanj[12],"O")</f>
        <v>0</v>
      </c>
      <c r="P12" s="144">
        <f>COUNTIF(NazočnostZaSvibanj[13],"N")+COUNTIF(NazočnostZaSvibanj[13],"O")</f>
        <v>0</v>
      </c>
      <c r="Q12" s="144">
        <f>COUNTIF(NazočnostZaSvibanj[14],"N")+COUNTIF(NazočnostZaSvibanj[14],"O")</f>
        <v>0</v>
      </c>
      <c r="R12" s="144">
        <f>COUNTIF(NazočnostZaSvibanj[15],"N")+COUNTIF(NazočnostZaSvibanj[15],"O")</f>
        <v>0</v>
      </c>
      <c r="S12" s="144">
        <f>COUNTIF(NazočnostZaSvibanj[16],"N")+COUNTIF(NazočnostZaSvibanj[16],"O")</f>
        <v>0</v>
      </c>
      <c r="T12" s="144">
        <f>COUNTIF(NazočnostZaSvibanj[17],"N")+COUNTIF(NazočnostZaSvibanj[17],"O")</f>
        <v>0</v>
      </c>
      <c r="U12" s="144">
        <f>COUNTIF(NazočnostZaSvibanj[18],"N")+COUNTIF(NazočnostZaSvibanj[18],"O")</f>
        <v>0</v>
      </c>
      <c r="V12" s="144">
        <f>COUNTIF(NazočnostZaSvibanj[19],"N")+COUNTIF(NazočnostZaSvibanj[19],"O")</f>
        <v>0</v>
      </c>
      <c r="W12" s="144">
        <f>COUNTIF(NazočnostZaSvibanj[20],"N")+COUNTIF(NazočnostZaSvibanj[20],"O")</f>
        <v>0</v>
      </c>
      <c r="X12" s="144">
        <f>COUNTIF(NazočnostZaSvibanj[21],"N")+COUNTIF(NazočnostZaSvibanj[21],"O")</f>
        <v>0</v>
      </c>
      <c r="Y12" s="144">
        <f>COUNTIF(NazočnostZaSvibanj[22],"N")+COUNTIF(NazočnostZaSvibanj[22],"O")</f>
        <v>0</v>
      </c>
      <c r="Z12" s="144">
        <f>COUNTIF(NazočnostZaSvibanj[23],"N")+COUNTIF(NazočnostZaSvibanj[23],"O")</f>
        <v>0</v>
      </c>
      <c r="AA12" s="144">
        <f>COUNTIF(NazočnostZaSvibanj[24],"N")+COUNTIF(NazočnostZaSvibanj[24],"O")</f>
        <v>0</v>
      </c>
      <c r="AB12" s="144">
        <f>COUNTIF(NazočnostZaSvibanj[25],"N")+COUNTIF(NazočnostZaSvibanj[25],"O")</f>
        <v>0</v>
      </c>
      <c r="AC12" s="144">
        <f>COUNTIF(NazočnostZaSvibanj[26],"N")+COUNTIF(NazočnostZaSvibanj[26],"O")</f>
        <v>0</v>
      </c>
      <c r="AD12" s="144">
        <f>COUNTIF(NazočnostZaSvibanj[27],"N")+COUNTIF(NazočnostZaSvibanj[27],"O")</f>
        <v>0</v>
      </c>
      <c r="AE12" s="144">
        <f>COUNTIF(NazočnostZaSvibanj[28],"N")+COUNTIF(NazočnostZaSvibanj[28],"O")</f>
        <v>0</v>
      </c>
      <c r="AF12" s="144">
        <f>COUNTIF(NazočnostZaSvibanj[29],"N")+COUNTIF(NazočnostZaSvibanj[29],"O")</f>
        <v>0</v>
      </c>
      <c r="AG12" s="144">
        <f>COUNTIF(NazočnostZaSvibanj[30],"N")+COUNTIF(NazočnostZaSvibanj[30],"O")</f>
        <v>0</v>
      </c>
      <c r="AH12" s="144">
        <f>COUNTIF(NazočnostZaSvibanj[31],"N")+COUNTIF(NazočnostZaSvibanj[31],"O")</f>
        <v>0</v>
      </c>
      <c r="AI12" s="144">
        <f>SUBTOTAL(109,NazočnostZaSvibanj[K])</f>
        <v>0</v>
      </c>
      <c r="AJ12" s="144">
        <f>SUBTOTAL(109,NazočnostZaSvibanj[O])</f>
        <v>0</v>
      </c>
      <c r="AK12" s="144">
        <f>SUBTOTAL(109,NazočnostZaSvibanj[N])</f>
        <v>0</v>
      </c>
      <c r="AL12" s="144">
        <f>SUBTOTAL(109,NazočnostZaSvibanj[P])</f>
        <v>0</v>
      </c>
      <c r="AM12" s="144">
        <f>SUBTOTAL(109,NazočnostZaSvibanj[Dani izostanaka])</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alendarskaGodina,2,1),DATE(KalendarskaGodina,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597" priority="2" stopIfTrue="1">
      <formula>D7=Šifra2</formula>
    </cfRule>
  </conditionalFormatting>
  <conditionalFormatting sqref="D7:AF11">
    <cfRule type="expression" dxfId="596" priority="3" stopIfTrue="1">
      <formula>D7=Šifra5</formula>
    </cfRule>
    <cfRule type="expression" dxfId="595" priority="4" stopIfTrue="1">
      <formula>D7=Šifra4</formula>
    </cfRule>
    <cfRule type="expression" dxfId="594" priority="5" stopIfTrue="1">
      <formula>D7=Šifra3</formula>
    </cfRule>
    <cfRule type="expression" dxfId="593" priority="6"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DATEDIF(DATE(KalendarskaGodina,2,1),DATE(KalendarskaGodina,3,1),"d")</xm:f>
              </x14:cfvo>
              <x14:borderColor theme="4"/>
              <x14:negativeFillColor rgb="FFFF0000"/>
              <x14:negativeBorderColor rgb="FFFF0000"/>
              <x14:axisColor rgb="FF000000"/>
            </x14:dataBar>
          </x14:cfRule>
          <xm:sqref>AM7:AM11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39"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39" customFormat="1" ht="13.5" x14ac:dyDescent="0.25"/>
    <row r="3" spans="1:39"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39" customFormat="1" ht="16.5" customHeight="1" x14ac:dyDescent="0.25"/>
    <row r="5" spans="1:39" s="2" customFormat="1" ht="18" customHeight="1" x14ac:dyDescent="0.3">
      <c r="B5" s="55">
        <f>DATE(KalendarskaGodina+1,6,1)</f>
        <v>41426</v>
      </c>
      <c r="C5" s="54"/>
      <c r="D5" s="37" t="str">
        <f>TEXT(WEEKDAY(DATE(KalendarskaGodina+1,6,1),1),"aaa")</f>
        <v>sub</v>
      </c>
      <c r="E5" s="37" t="str">
        <f>TEXT(WEEKDAY(DATE(KalendarskaGodina+1,6,2),1),"aaa")</f>
        <v>ned</v>
      </c>
      <c r="F5" s="37" t="str">
        <f>TEXT(WEEKDAY(DATE(KalendarskaGodina+1,6,3),1),"aaa")</f>
        <v>pon</v>
      </c>
      <c r="G5" s="37" t="str">
        <f>TEXT(WEEKDAY(DATE(KalendarskaGodina+1,6,4),1),"aaa")</f>
        <v>uto</v>
      </c>
      <c r="H5" s="37" t="str">
        <f>TEXT(WEEKDAY(DATE(KalendarskaGodina+1,6,5),1),"aaa")</f>
        <v>sri</v>
      </c>
      <c r="I5" s="37" t="str">
        <f>TEXT(WEEKDAY(DATE(KalendarskaGodina+1,6,6),1),"aaa")</f>
        <v>čet</v>
      </c>
      <c r="J5" s="37" t="str">
        <f>TEXT(WEEKDAY(DATE(KalendarskaGodina+1,6,7),1),"aaa")</f>
        <v>pet</v>
      </c>
      <c r="K5" s="37" t="str">
        <f>TEXT(WEEKDAY(DATE(KalendarskaGodina+1,6,8),1),"aaa")</f>
        <v>sub</v>
      </c>
      <c r="L5" s="37" t="str">
        <f>TEXT(WEEKDAY(DATE(KalendarskaGodina+1,6,9),1),"aaa")</f>
        <v>ned</v>
      </c>
      <c r="M5" s="37" t="str">
        <f>TEXT(WEEKDAY(DATE(KalendarskaGodina+1,6,10),1),"aaa")</f>
        <v>pon</v>
      </c>
      <c r="N5" s="37" t="str">
        <f>TEXT(WEEKDAY(DATE(KalendarskaGodina+1,6,11),1),"aaa")</f>
        <v>uto</v>
      </c>
      <c r="O5" s="37" t="str">
        <f>TEXT(WEEKDAY(DATE(KalendarskaGodina+1,6,12),1),"aaa")</f>
        <v>sri</v>
      </c>
      <c r="P5" s="37" t="str">
        <f>TEXT(WEEKDAY(DATE(KalendarskaGodina+1,6,13),1),"aaa")</f>
        <v>čet</v>
      </c>
      <c r="Q5" s="37" t="str">
        <f>TEXT(WEEKDAY(DATE(KalendarskaGodina+1,6,14),1),"aaa")</f>
        <v>pet</v>
      </c>
      <c r="R5" s="37" t="str">
        <f>TEXT(WEEKDAY(DATE(KalendarskaGodina+1,6,15),1),"aaa")</f>
        <v>sub</v>
      </c>
      <c r="S5" s="37" t="str">
        <f>TEXT(WEEKDAY(DATE(KalendarskaGodina+1,6,16),1),"aaa")</f>
        <v>ned</v>
      </c>
      <c r="T5" s="37" t="str">
        <f>TEXT(WEEKDAY(DATE(KalendarskaGodina+1,6,17),1),"aaa")</f>
        <v>pon</v>
      </c>
      <c r="U5" s="37" t="str">
        <f>TEXT(WEEKDAY(DATE(KalendarskaGodina+1,6,18),1),"aaa")</f>
        <v>uto</v>
      </c>
      <c r="V5" s="37" t="str">
        <f>TEXT(WEEKDAY(DATE(KalendarskaGodina+1,6,19),1),"aaa")</f>
        <v>sri</v>
      </c>
      <c r="W5" s="37" t="str">
        <f>TEXT(WEEKDAY(DATE(KalendarskaGodina+1,6,20),1),"aaa")</f>
        <v>čet</v>
      </c>
      <c r="X5" s="37" t="str">
        <f>TEXT(WEEKDAY(DATE(KalendarskaGodina+1,6,21),1),"aaa")</f>
        <v>pet</v>
      </c>
      <c r="Y5" s="37" t="str">
        <f>TEXT(WEEKDAY(DATE(KalendarskaGodina+1,6,22),1),"aaa")</f>
        <v>sub</v>
      </c>
      <c r="Z5" s="37" t="str">
        <f>TEXT(WEEKDAY(DATE(KalendarskaGodina+1,6,23),1),"aaa")</f>
        <v>ned</v>
      </c>
      <c r="AA5" s="37" t="str">
        <f>TEXT(WEEKDAY(DATE(KalendarskaGodina+1,6,24),1),"aaa")</f>
        <v>pon</v>
      </c>
      <c r="AB5" s="37" t="str">
        <f>TEXT(WEEKDAY(DATE(KalendarskaGodina+1,6,25),1),"aaa")</f>
        <v>uto</v>
      </c>
      <c r="AC5" s="37" t="str">
        <f>TEXT(WEEKDAY(DATE(KalendarskaGodina+1,6,26),1),"aaa")</f>
        <v>sri</v>
      </c>
      <c r="AD5" s="37" t="str">
        <f>TEXT(WEEKDAY(DATE(KalendarskaGodina+1,6,27),1),"aaa")</f>
        <v>čet</v>
      </c>
      <c r="AE5" s="37" t="str">
        <f>TEXT(WEEKDAY(DATE(KalendarskaGodina+1,6,28),1),"aaa")</f>
        <v>pet</v>
      </c>
      <c r="AF5" s="37" t="str">
        <f>TEXT(WEEKDAY(DATE(KalendarskaGodina+1,6,29),1),"aaa")</f>
        <v>sub</v>
      </c>
      <c r="AG5" s="37" t="str">
        <f>TEXT(WEEKDAY(DATE(KalendarskaGodina+1,6,30),1),"aaa")</f>
        <v>ned</v>
      </c>
      <c r="AH5" s="37"/>
      <c r="AI5" s="122" t="s">
        <v>38</v>
      </c>
      <c r="AJ5" s="122"/>
      <c r="AK5" s="122"/>
      <c r="AL5" s="122"/>
      <c r="AM5" s="122"/>
    </row>
    <row r="6" spans="1:39" ht="27" x14ac:dyDescent="0.25">
      <c r="B6" s="106" t="s">
        <v>34</v>
      </c>
      <c r="C6" s="24" t="s">
        <v>36</v>
      </c>
      <c r="D6" s="25" t="s">
        <v>0</v>
      </c>
      <c r="E6" s="25" t="s">
        <v>1</v>
      </c>
      <c r="F6" s="25" t="s">
        <v>2</v>
      </c>
      <c r="G6" s="25" t="s">
        <v>3</v>
      </c>
      <c r="H6" s="25" t="s">
        <v>4</v>
      </c>
      <c r="I6" s="25" t="s">
        <v>5</v>
      </c>
      <c r="J6" s="25" t="s">
        <v>6</v>
      </c>
      <c r="K6" s="25" t="s">
        <v>7</v>
      </c>
      <c r="L6" s="25" t="s">
        <v>8</v>
      </c>
      <c r="M6" s="25" t="s">
        <v>9</v>
      </c>
      <c r="N6" s="25" t="s">
        <v>10</v>
      </c>
      <c r="O6" s="25" t="s">
        <v>11</v>
      </c>
      <c r="P6" s="25" t="s">
        <v>12</v>
      </c>
      <c r="Q6" s="25" t="s">
        <v>13</v>
      </c>
      <c r="R6" s="25" t="s">
        <v>14</v>
      </c>
      <c r="S6" s="25" t="s">
        <v>15</v>
      </c>
      <c r="T6" s="25" t="s">
        <v>16</v>
      </c>
      <c r="U6" s="25" t="s">
        <v>17</v>
      </c>
      <c r="V6" s="25" t="s">
        <v>18</v>
      </c>
      <c r="W6" s="25" t="s">
        <v>19</v>
      </c>
      <c r="X6" s="25" t="s">
        <v>20</v>
      </c>
      <c r="Y6" s="25" t="s">
        <v>21</v>
      </c>
      <c r="Z6" s="25" t="s">
        <v>22</v>
      </c>
      <c r="AA6" s="25" t="s">
        <v>23</v>
      </c>
      <c r="AB6" s="25" t="s">
        <v>24</v>
      </c>
      <c r="AC6" s="25" t="s">
        <v>25</v>
      </c>
      <c r="AD6" s="25" t="s">
        <v>26</v>
      </c>
      <c r="AE6" s="25" t="s">
        <v>27</v>
      </c>
      <c r="AF6" s="25" t="s">
        <v>28</v>
      </c>
      <c r="AG6" s="25" t="s">
        <v>29</v>
      </c>
      <c r="AH6" s="25" t="s">
        <v>116</v>
      </c>
      <c r="AI6" s="145" t="s">
        <v>127</v>
      </c>
      <c r="AJ6" s="46" t="s">
        <v>128</v>
      </c>
      <c r="AK6" s="47" t="s">
        <v>68</v>
      </c>
      <c r="AL6" s="147" t="s">
        <v>31</v>
      </c>
      <c r="AM6" t="s">
        <v>37</v>
      </c>
    </row>
    <row r="7" spans="1:39" ht="16.5" customHeight="1" x14ac:dyDescent="0.25">
      <c r="B7" s="23"/>
      <c r="C7" s="19" t="str">
        <f>IFERROR(VLOOKUP(NazočnostZaLipanj[[#This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1">
        <f>COUNTIF(NazočnostZaLipanj[[#This Row],[1]:[ ]],Šifra1)</f>
        <v>0</v>
      </c>
      <c r="AJ7" s="31">
        <f>COUNTIF(NazočnostZaLipanj[[#This Row],[1]:[ ]],Šifra2)</f>
        <v>0</v>
      </c>
      <c r="AK7" s="31">
        <f>COUNTIF(NazočnostZaLipanj[[#This Row],[1]:[ ]],Šifra3)</f>
        <v>0</v>
      </c>
      <c r="AL7" s="31">
        <f>COUNTIF(NazočnostZaLipanj[[#This Row],[1]:[ ]],Šifra4)</f>
        <v>0</v>
      </c>
      <c r="AM7" s="6">
        <f>SUM(NazočnostZaRujan[[#This Row],[O]:[N]])</f>
        <v>0</v>
      </c>
    </row>
    <row r="8" spans="1:39" ht="16.5" customHeight="1" x14ac:dyDescent="0.25">
      <c r="B8" s="23"/>
      <c r="C8" s="19" t="str">
        <f>IFERROR(VLOOKUP(NazočnostZaLipanj[[#This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1">
        <f>COUNTIF(NazočnostZaLipanj[[#This Row],[1]:[ ]],Šifra1)</f>
        <v>0</v>
      </c>
      <c r="AJ8" s="31">
        <f>COUNTIF(NazočnostZaLipanj[[#This Row],[1]:[ ]],Šifra2)</f>
        <v>0</v>
      </c>
      <c r="AK8" s="31">
        <f>COUNTIF(NazočnostZaLipanj[[#This Row],[1]:[ ]],Šifra3)</f>
        <v>0</v>
      </c>
      <c r="AL8" s="31">
        <f>COUNTIF(NazočnostZaLipanj[[#This Row],[1]:[ ]],Šifra4)</f>
        <v>0</v>
      </c>
      <c r="AM8" s="6">
        <f>SUM(NazočnostZaRujan[[#This Row],[O]:[N]])</f>
        <v>0</v>
      </c>
    </row>
    <row r="9" spans="1:39" ht="16.5" customHeight="1" x14ac:dyDescent="0.25">
      <c r="B9" s="23"/>
      <c r="C9" s="19" t="str">
        <f>IFERROR(VLOOKUP(NazočnostZaLipanj[[#This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1">
        <f>COUNTIF(NazočnostZaLipanj[[#This Row],[1]:[ ]],Šifra1)</f>
        <v>0</v>
      </c>
      <c r="AJ9" s="31">
        <f>COUNTIF(NazočnostZaLipanj[[#This Row],[1]:[ ]],Šifra2)</f>
        <v>0</v>
      </c>
      <c r="AK9" s="31">
        <f>COUNTIF(NazočnostZaLipanj[[#This Row],[1]:[ ]],Šifra3)</f>
        <v>0</v>
      </c>
      <c r="AL9" s="31">
        <f>COUNTIF(NazočnostZaLipanj[[#This Row],[1]:[ ]],Šifra4)</f>
        <v>0</v>
      </c>
      <c r="AM9" s="6">
        <f>SUM(NazočnostZaRujan[[#This Row],[O]:[N]])</f>
        <v>0</v>
      </c>
    </row>
    <row r="10" spans="1:39" ht="16.5" customHeight="1" x14ac:dyDescent="0.25">
      <c r="B10" s="23"/>
      <c r="C10" s="19" t="str">
        <f>IFERROR(VLOOKUP(NazočnostZaLipanj[[#This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1">
        <f>COUNTIF(NazočnostZaLipanj[[#This Row],[1]:[ ]],Šifra1)</f>
        <v>0</v>
      </c>
      <c r="AJ10" s="31">
        <f>COUNTIF(NazočnostZaLipanj[[#This Row],[1]:[ ]],Šifra2)</f>
        <v>0</v>
      </c>
      <c r="AK10" s="31">
        <f>COUNTIF(NazočnostZaLipanj[[#This Row],[1]:[ ]],Šifra3)</f>
        <v>0</v>
      </c>
      <c r="AL10" s="31">
        <f>COUNTIF(NazočnostZaLipanj[[#This Row],[1]:[ ]],Šifra4)</f>
        <v>0</v>
      </c>
      <c r="AM10" s="6">
        <f>SUM(NazočnostZaRujan[[#This Row],[O]:[N]])</f>
        <v>0</v>
      </c>
    </row>
    <row r="11" spans="1:39" ht="16.5" customHeight="1" x14ac:dyDescent="0.25">
      <c r="B11" s="23"/>
      <c r="C11" s="19" t="str">
        <f>IFERROR(VLOOKUP(NazočnostZaLipanj[[#This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1">
        <f>COUNTIF(NazočnostZaLipanj[[#This Row],[1]:[ ]],Šifra1)</f>
        <v>0</v>
      </c>
      <c r="AJ11" s="31">
        <f>COUNTIF(NazočnostZaLipanj[[#This Row],[1]:[ ]],Šifra2)</f>
        <v>0</v>
      </c>
      <c r="AK11" s="31">
        <f>COUNTIF(NazočnostZaLipanj[[#This Row],[1]:[ ]],Šifra3)</f>
        <v>0</v>
      </c>
      <c r="AL11" s="31">
        <f>COUNTIF(NazočnostZaLipanj[[#This Row],[1]:[ ]],Šifra4)</f>
        <v>0</v>
      </c>
      <c r="AM11" s="6">
        <f>SUM(NazočnostZaRujan[[#This Row],[O]:[N]])</f>
        <v>0</v>
      </c>
    </row>
    <row r="12" spans="1:39" ht="16.5" customHeight="1" x14ac:dyDescent="0.25">
      <c r="B12" s="142"/>
      <c r="C12" s="143" t="s">
        <v>117</v>
      </c>
      <c r="D12" s="144">
        <f>COUNTIF(NazočnostZaLipanj[1],"N")+COUNTIF(NazočnostZaLipanj[1],"O")</f>
        <v>0</v>
      </c>
      <c r="E12" s="144">
        <f>COUNTIF(NazočnostZaLipanj[2],"N")+COUNTIF(NazočnostZaLipanj[2],"O")</f>
        <v>0</v>
      </c>
      <c r="F12" s="144">
        <f>COUNTIF(NazočnostZaLipanj[3],"N")+COUNTIF(NazočnostZaLipanj[3],"O")</f>
        <v>0</v>
      </c>
      <c r="G12" s="144">
        <f>COUNTIF(NazočnostZaLipanj[4],"N")+COUNTIF(NazočnostZaLipanj[4],"O")</f>
        <v>0</v>
      </c>
      <c r="H12" s="144">
        <f>COUNTIF(NazočnostZaLipanj[5],"N")+COUNTIF(NazočnostZaLipanj[5],"O")</f>
        <v>0</v>
      </c>
      <c r="I12" s="144">
        <f>COUNTIF(NazočnostZaLipanj[6],"N")+COUNTIF(NazočnostZaLipanj[6],"O")</f>
        <v>0</v>
      </c>
      <c r="J12" s="144">
        <f>COUNTIF(NazočnostZaLipanj[7],"N")+COUNTIF(NazočnostZaLipanj[7],"O")</f>
        <v>0</v>
      </c>
      <c r="K12" s="144">
        <f>COUNTIF(NazočnostZaLipanj[8],"N")+COUNTIF(NazočnostZaLipanj[8],"O")</f>
        <v>0</v>
      </c>
      <c r="L12" s="144">
        <f>COUNTIF(NazočnostZaLipanj[9],"N")+COUNTIF(NazočnostZaLipanj[9],"O")</f>
        <v>0</v>
      </c>
      <c r="M12" s="144">
        <f>COUNTIF(NazočnostZaLipanj[10],"N")+COUNTIF(NazočnostZaLipanj[10],"O")</f>
        <v>0</v>
      </c>
      <c r="N12" s="144">
        <f>COUNTIF(NazočnostZaLipanj[11],"N")+COUNTIF(NazočnostZaLipanj[11],"O")</f>
        <v>0</v>
      </c>
      <c r="O12" s="144">
        <f>COUNTIF(NazočnostZaLipanj[12],"N")+COUNTIF(NazočnostZaLipanj[12],"O")</f>
        <v>0</v>
      </c>
      <c r="P12" s="144">
        <f>COUNTIF(NazočnostZaLipanj[13],"N")+COUNTIF(NazočnostZaLipanj[13],"O")</f>
        <v>0</v>
      </c>
      <c r="Q12" s="144">
        <f>COUNTIF(NazočnostZaLipanj[14],"N")+COUNTIF(NazočnostZaLipanj[14],"O")</f>
        <v>0</v>
      </c>
      <c r="R12" s="144">
        <f>COUNTIF(NazočnostZaLipanj[15],"N")+COUNTIF(NazočnostZaLipanj[15],"O")</f>
        <v>0</v>
      </c>
      <c r="S12" s="144">
        <f>COUNTIF(NazočnostZaLipanj[16],"N")+COUNTIF(NazočnostZaLipanj[16],"O")</f>
        <v>0</v>
      </c>
      <c r="T12" s="144">
        <f>COUNTIF(NazočnostZaLipanj[17],"N")+COUNTIF(NazočnostZaLipanj[17],"O")</f>
        <v>0</v>
      </c>
      <c r="U12" s="144">
        <f>COUNTIF(NazočnostZaLipanj[18],"N")+COUNTIF(NazočnostZaLipanj[18],"O")</f>
        <v>0</v>
      </c>
      <c r="V12" s="144">
        <f>COUNTIF(NazočnostZaLipanj[19],"N")+COUNTIF(NazočnostZaLipanj[19],"O")</f>
        <v>0</v>
      </c>
      <c r="W12" s="144">
        <f>COUNTIF(NazočnostZaLipanj[20],"N")+COUNTIF(NazočnostZaLipanj[20],"O")</f>
        <v>0</v>
      </c>
      <c r="X12" s="144">
        <f>COUNTIF(NazočnostZaLipanj[21],"N")+COUNTIF(NazočnostZaLipanj[21],"O")</f>
        <v>0</v>
      </c>
      <c r="Y12" s="144">
        <f>COUNTIF(NazočnostZaLipanj[22],"N")+COUNTIF(NazočnostZaLipanj[22],"O")</f>
        <v>0</v>
      </c>
      <c r="Z12" s="144">
        <f>COUNTIF(NazočnostZaLipanj[23],"N")+COUNTIF(NazočnostZaLipanj[23],"O")</f>
        <v>0</v>
      </c>
      <c r="AA12" s="144">
        <f>COUNTIF(NazočnostZaLipanj[24],"N")+COUNTIF(NazočnostZaLipanj[24],"O")</f>
        <v>0</v>
      </c>
      <c r="AB12" s="144">
        <f>COUNTIF(NazočnostZaLipanj[25],"N")+COUNTIF(NazočnostZaLipanj[25],"O")</f>
        <v>0</v>
      </c>
      <c r="AC12" s="144">
        <f>COUNTIF(NazočnostZaLipanj[26],"N")+COUNTIF(NazočnostZaLipanj[26],"O")</f>
        <v>0</v>
      </c>
      <c r="AD12" s="144">
        <f>COUNTIF(NazočnostZaLipanj[27],"N")+COUNTIF(NazočnostZaLipanj[27],"O")</f>
        <v>0</v>
      </c>
      <c r="AE12" s="144">
        <f>COUNTIF(NazočnostZaLipanj[28],"N")+COUNTIF(NazočnostZaLipanj[28],"O")</f>
        <v>0</v>
      </c>
      <c r="AF12" s="144">
        <f>COUNTIF(NazočnostZaLipanj[29],"N")+COUNTIF(NazočnostZaLipanj[29],"O")</f>
        <v>0</v>
      </c>
      <c r="AG12" s="144">
        <f>COUNTIF(NazočnostZaLipanj[30],"N")+COUNTIF(NazočnostZaLipanj[30],"O")</f>
        <v>0</v>
      </c>
      <c r="AH12" s="144">
        <f>COUNTIF(NazočnostZaLipanj[[ ]],"N")+COUNTIF(NazočnostZaLipanj[[ ]],"O")</f>
        <v>0</v>
      </c>
      <c r="AI12" s="144">
        <f>SUBTOTAL(109,NazočnostZaLipanj[K])</f>
        <v>0</v>
      </c>
      <c r="AJ12" s="144">
        <f>SUBTOTAL(109,NazočnostZaLipanj[O])</f>
        <v>0</v>
      </c>
      <c r="AK12" s="144">
        <f>SUBTOTAL(109,NazočnostZaLipanj[N])</f>
        <v>0</v>
      </c>
      <c r="AL12" s="144">
        <f>SUBTOTAL(109,NazočnostZaLipanj[P])</f>
        <v>0</v>
      </c>
      <c r="AM12" s="144">
        <f>SUBTOTAL(109,NazočnostZaLipanj[Dani izostanaka])</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alendarskaGodina,2,1),DATE(KalendarskaGodina,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552" priority="2" stopIfTrue="1">
      <formula>D7=Šifra2</formula>
    </cfRule>
  </conditionalFormatting>
  <conditionalFormatting sqref="D7:AF11">
    <cfRule type="expression" dxfId="551" priority="3" stopIfTrue="1">
      <formula>D7=Šifra5</formula>
    </cfRule>
    <cfRule type="expression" dxfId="550" priority="4" stopIfTrue="1">
      <formula>D7=Šifra4</formula>
    </cfRule>
    <cfRule type="expression" dxfId="549" priority="5" stopIfTrue="1">
      <formula>D7=Šifra3</formula>
    </cfRule>
    <cfRule type="expression" dxfId="548" priority="6"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DATEDIF(DATE(KalendarskaGodina,2,1),DATE(KalendarskaGodina,3,1),"d")</xm:f>
              </x14:cfvo>
              <x14:borderColor theme="4"/>
              <x14:negativeFillColor rgb="FFFF0000"/>
              <x14:negativeBorderColor rgb="FFFF0000"/>
              <x14:axisColor rgb="FF000000"/>
            </x14:dataBar>
          </x14:cfRule>
          <xm:sqref>AM7:AM11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39"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39" customFormat="1" ht="13.5" x14ac:dyDescent="0.25"/>
    <row r="3" spans="1:39"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39" customFormat="1" ht="16.5" customHeight="1" x14ac:dyDescent="0.25"/>
    <row r="5" spans="1:39" s="2" customFormat="1" ht="18" customHeight="1" x14ac:dyDescent="0.3">
      <c r="B5" s="55">
        <f>DATE(KalendarskaGodina+1,7,1)</f>
        <v>41456</v>
      </c>
      <c r="C5" s="54"/>
      <c r="D5" s="37" t="str">
        <f>TEXT(WEEKDAY(DATE(KalendarskaGodina+1,7,1),1),"aaa")</f>
        <v>pon</v>
      </c>
      <c r="E5" s="37" t="str">
        <f>TEXT(WEEKDAY(DATE(KalendarskaGodina+1,7,2),1),"aaa")</f>
        <v>uto</v>
      </c>
      <c r="F5" s="37" t="str">
        <f>TEXT(WEEKDAY(DATE(KalendarskaGodina+1,7,3),1),"aaa")</f>
        <v>sri</v>
      </c>
      <c r="G5" s="37" t="str">
        <f>TEXT(WEEKDAY(DATE(KalendarskaGodina+1,7,4),1),"aaa")</f>
        <v>čet</v>
      </c>
      <c r="H5" s="37" t="str">
        <f>TEXT(WEEKDAY(DATE(KalendarskaGodina+1,7,5),1),"aaa")</f>
        <v>pet</v>
      </c>
      <c r="I5" s="37" t="str">
        <f>TEXT(WEEKDAY(DATE(KalendarskaGodina+1,7,6),1),"aaa")</f>
        <v>sub</v>
      </c>
      <c r="J5" s="37" t="str">
        <f>TEXT(WEEKDAY(DATE(KalendarskaGodina+1,7,7),1),"aaa")</f>
        <v>ned</v>
      </c>
      <c r="K5" s="37" t="str">
        <f>TEXT(WEEKDAY(DATE(KalendarskaGodina+1,7,8),1),"aaa")</f>
        <v>pon</v>
      </c>
      <c r="L5" s="37" t="str">
        <f>TEXT(WEEKDAY(DATE(KalendarskaGodina+1,7,9),1),"aaa")</f>
        <v>uto</v>
      </c>
      <c r="M5" s="37" t="str">
        <f>TEXT(WEEKDAY(DATE(KalendarskaGodina+1,7,10),1),"aaa")</f>
        <v>sri</v>
      </c>
      <c r="N5" s="37" t="str">
        <f>TEXT(WEEKDAY(DATE(KalendarskaGodina+1,7,11),1),"aaa")</f>
        <v>čet</v>
      </c>
      <c r="O5" s="37" t="str">
        <f>TEXT(WEEKDAY(DATE(KalendarskaGodina+1,7,12),1),"aaa")</f>
        <v>pet</v>
      </c>
      <c r="P5" s="37" t="str">
        <f>TEXT(WEEKDAY(DATE(KalendarskaGodina+1,7,13),1),"aaa")</f>
        <v>sub</v>
      </c>
      <c r="Q5" s="37" t="str">
        <f>TEXT(WEEKDAY(DATE(KalendarskaGodina+1,7,14),1),"aaa")</f>
        <v>ned</v>
      </c>
      <c r="R5" s="37" t="str">
        <f>TEXT(WEEKDAY(DATE(KalendarskaGodina+1,7,15),1),"aaa")</f>
        <v>pon</v>
      </c>
      <c r="S5" s="37" t="str">
        <f>TEXT(WEEKDAY(DATE(KalendarskaGodina+1,7,16),1),"aaa")</f>
        <v>uto</v>
      </c>
      <c r="T5" s="37" t="str">
        <f>TEXT(WEEKDAY(DATE(KalendarskaGodina+1,7,17),1),"aaa")</f>
        <v>sri</v>
      </c>
      <c r="U5" s="37" t="str">
        <f>TEXT(WEEKDAY(DATE(KalendarskaGodina+1,7,18),1),"aaa")</f>
        <v>čet</v>
      </c>
      <c r="V5" s="37" t="str">
        <f>TEXT(WEEKDAY(DATE(KalendarskaGodina+1,7,19),1),"aaa")</f>
        <v>pet</v>
      </c>
      <c r="W5" s="37" t="str">
        <f>TEXT(WEEKDAY(DATE(KalendarskaGodina+1,7,20),1),"aaa")</f>
        <v>sub</v>
      </c>
      <c r="X5" s="37" t="str">
        <f>TEXT(WEEKDAY(DATE(KalendarskaGodina+1,7,21),1),"aaa")</f>
        <v>ned</v>
      </c>
      <c r="Y5" s="37" t="str">
        <f>TEXT(WEEKDAY(DATE(KalendarskaGodina+1,7,22),1),"aaa")</f>
        <v>pon</v>
      </c>
      <c r="Z5" s="37" t="str">
        <f>TEXT(WEEKDAY(DATE(KalendarskaGodina+1,7,23),1),"aaa")</f>
        <v>uto</v>
      </c>
      <c r="AA5" s="37" t="str">
        <f>TEXT(WEEKDAY(DATE(KalendarskaGodina+1,7,24),1),"aaa")</f>
        <v>sri</v>
      </c>
      <c r="AB5" s="37" t="str">
        <f>TEXT(WEEKDAY(DATE(KalendarskaGodina+1,7,25),1),"aaa")</f>
        <v>čet</v>
      </c>
      <c r="AC5" s="37" t="str">
        <f>TEXT(WEEKDAY(DATE(KalendarskaGodina+1,7,26),1),"aaa")</f>
        <v>pet</v>
      </c>
      <c r="AD5" s="37" t="str">
        <f>TEXT(WEEKDAY(DATE(KalendarskaGodina+1,7,27),1),"aaa")</f>
        <v>sub</v>
      </c>
      <c r="AE5" s="37" t="str">
        <f>TEXT(WEEKDAY(DATE(KalendarskaGodina+1,7,28),1),"aaa")</f>
        <v>ned</v>
      </c>
      <c r="AF5" s="37" t="str">
        <f>TEXT(WEEKDAY(DATE(KalendarskaGodina+1,7,29),1),"aaa")</f>
        <v>pon</v>
      </c>
      <c r="AG5" s="37" t="str">
        <f>TEXT(WEEKDAY(DATE(KalendarskaGodina+1,7,30),1),"aaa")</f>
        <v>uto</v>
      </c>
      <c r="AH5" s="37" t="str">
        <f>TEXT(WEEKDAY(DATE(KalendarskaGodina+1,7,31),1),"aaa")</f>
        <v>sri</v>
      </c>
      <c r="AI5" s="122" t="s">
        <v>38</v>
      </c>
      <c r="AJ5" s="122"/>
      <c r="AK5" s="122"/>
      <c r="AL5" s="122"/>
      <c r="AM5" s="122"/>
    </row>
    <row r="6" spans="1:39" ht="27" x14ac:dyDescent="0.25">
      <c r="B6" s="106" t="s">
        <v>34</v>
      </c>
      <c r="C6" s="24" t="s">
        <v>36</v>
      </c>
      <c r="D6" s="25" t="s">
        <v>0</v>
      </c>
      <c r="E6" s="25" t="s">
        <v>1</v>
      </c>
      <c r="F6" s="25" t="s">
        <v>2</v>
      </c>
      <c r="G6" s="25" t="s">
        <v>3</v>
      </c>
      <c r="H6" s="25" t="s">
        <v>4</v>
      </c>
      <c r="I6" s="25" t="s">
        <v>5</v>
      </c>
      <c r="J6" s="25" t="s">
        <v>6</v>
      </c>
      <c r="K6" s="25" t="s">
        <v>7</v>
      </c>
      <c r="L6" s="25" t="s">
        <v>8</v>
      </c>
      <c r="M6" s="25" t="s">
        <v>9</v>
      </c>
      <c r="N6" s="25" t="s">
        <v>10</v>
      </c>
      <c r="O6" s="25" t="s">
        <v>11</v>
      </c>
      <c r="P6" s="25" t="s">
        <v>12</v>
      </c>
      <c r="Q6" s="25" t="s">
        <v>13</v>
      </c>
      <c r="R6" s="25" t="s">
        <v>14</v>
      </c>
      <c r="S6" s="25" t="s">
        <v>15</v>
      </c>
      <c r="T6" s="25" t="s">
        <v>16</v>
      </c>
      <c r="U6" s="25" t="s">
        <v>17</v>
      </c>
      <c r="V6" s="25" t="s">
        <v>18</v>
      </c>
      <c r="W6" s="25" t="s">
        <v>19</v>
      </c>
      <c r="X6" s="25" t="s">
        <v>20</v>
      </c>
      <c r="Y6" s="25" t="s">
        <v>21</v>
      </c>
      <c r="Z6" s="25" t="s">
        <v>22</v>
      </c>
      <c r="AA6" s="25" t="s">
        <v>23</v>
      </c>
      <c r="AB6" s="25" t="s">
        <v>24</v>
      </c>
      <c r="AC6" s="25" t="s">
        <v>25</v>
      </c>
      <c r="AD6" s="25" t="s">
        <v>26</v>
      </c>
      <c r="AE6" s="25" t="s">
        <v>27</v>
      </c>
      <c r="AF6" s="25" t="s">
        <v>28</v>
      </c>
      <c r="AG6" s="25" t="s">
        <v>29</v>
      </c>
      <c r="AH6" s="25" t="s">
        <v>30</v>
      </c>
      <c r="AI6" s="145" t="s">
        <v>127</v>
      </c>
      <c r="AJ6" s="46" t="s">
        <v>128</v>
      </c>
      <c r="AK6" s="47" t="s">
        <v>68</v>
      </c>
      <c r="AL6" s="147" t="s">
        <v>31</v>
      </c>
      <c r="AM6" t="s">
        <v>37</v>
      </c>
    </row>
    <row r="7" spans="1:39" ht="16.5" customHeight="1" x14ac:dyDescent="0.25">
      <c r="B7" s="23"/>
      <c r="C7" s="19" t="str">
        <f>IFERROR(VLOOKUP(NazočnostZaSrpanj[[#This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1">
        <f>COUNTIF(NazočnostZaSrpanj[[#This Row],[1]:[31]],Šifra1)</f>
        <v>0</v>
      </c>
      <c r="AJ7" s="31">
        <f>COUNTIF(NazočnostZaSrpanj[[#This Row],[1]:[31]],Šifra2)</f>
        <v>0</v>
      </c>
      <c r="AK7" s="31">
        <f>COUNTIF(NazočnostZaSrpanj[[#This Row],[1]:[31]],Šifra3)</f>
        <v>0</v>
      </c>
      <c r="AL7" s="31">
        <f>COUNTIF(NazočnostZaSrpanj[[#This Row],[1]:[31]],Šifra4)</f>
        <v>0</v>
      </c>
      <c r="AM7" s="6">
        <f>SUM(NazočnostZaRujan[[#This Row],[O]:[N]])</f>
        <v>0</v>
      </c>
    </row>
    <row r="8" spans="1:39" ht="16.5" customHeight="1" x14ac:dyDescent="0.25">
      <c r="B8" s="23"/>
      <c r="C8" s="19" t="str">
        <f>IFERROR(VLOOKUP(NazočnostZaSrpanj[[#This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1">
        <f>COUNTIF(NazočnostZaSrpanj[[#This Row],[1]:[31]],Šifra1)</f>
        <v>0</v>
      </c>
      <c r="AJ8" s="31">
        <f>COUNTIF(NazočnostZaSrpanj[[#This Row],[1]:[31]],Šifra2)</f>
        <v>0</v>
      </c>
      <c r="AK8" s="31">
        <f>COUNTIF(NazočnostZaSrpanj[[#This Row],[1]:[31]],Šifra3)</f>
        <v>0</v>
      </c>
      <c r="AL8" s="31">
        <f>COUNTIF(NazočnostZaSrpanj[[#This Row],[1]:[31]],Šifra4)</f>
        <v>0</v>
      </c>
      <c r="AM8" s="6">
        <f>SUM(NazočnostZaRujan[[#This Row],[O]:[N]])</f>
        <v>0</v>
      </c>
    </row>
    <row r="9" spans="1:39" ht="16.5" customHeight="1" x14ac:dyDescent="0.25">
      <c r="B9" s="23"/>
      <c r="C9" s="19" t="str">
        <f>IFERROR(VLOOKUP(NazočnostZaSrpanj[[#This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1">
        <f>COUNTIF(NazočnostZaSrpanj[[#This Row],[1]:[31]],Šifra1)</f>
        <v>0</v>
      </c>
      <c r="AJ9" s="31">
        <f>COUNTIF(NazočnostZaSrpanj[[#This Row],[1]:[31]],Šifra2)</f>
        <v>0</v>
      </c>
      <c r="AK9" s="31">
        <f>COUNTIF(NazočnostZaSrpanj[[#This Row],[1]:[31]],Šifra3)</f>
        <v>0</v>
      </c>
      <c r="AL9" s="31">
        <f>COUNTIF(NazočnostZaSrpanj[[#This Row],[1]:[31]],Šifra4)</f>
        <v>0</v>
      </c>
      <c r="AM9" s="6">
        <f>SUM(NazočnostZaRujan[[#This Row],[O]:[N]])</f>
        <v>0</v>
      </c>
    </row>
    <row r="10" spans="1:39" ht="16.5" customHeight="1" x14ac:dyDescent="0.25">
      <c r="B10" s="23"/>
      <c r="C10" s="19" t="str">
        <f>IFERROR(VLOOKUP(NazočnostZaSrpanj[[#This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1">
        <f>COUNTIF(NazočnostZaSrpanj[[#This Row],[1]:[31]],Šifra1)</f>
        <v>0</v>
      </c>
      <c r="AJ10" s="31">
        <f>COUNTIF(NazočnostZaSrpanj[[#This Row],[1]:[31]],Šifra2)</f>
        <v>0</v>
      </c>
      <c r="AK10" s="31">
        <f>COUNTIF(NazočnostZaSrpanj[[#This Row],[1]:[31]],Šifra3)</f>
        <v>0</v>
      </c>
      <c r="AL10" s="31">
        <f>COUNTIF(NazočnostZaSrpanj[[#This Row],[1]:[31]],Šifra4)</f>
        <v>0</v>
      </c>
      <c r="AM10" s="6">
        <f>SUM(NazočnostZaRujan[[#This Row],[O]:[N]])</f>
        <v>0</v>
      </c>
    </row>
    <row r="11" spans="1:39" ht="16.5" customHeight="1" x14ac:dyDescent="0.25">
      <c r="B11" s="23"/>
      <c r="C11" s="19" t="str">
        <f>IFERROR(VLOOKUP(NazočnostZaSrpanj[[#This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1">
        <f>COUNTIF(NazočnostZaSrpanj[[#This Row],[1]:[31]],Šifra1)</f>
        <v>0</v>
      </c>
      <c r="AJ11" s="31">
        <f>COUNTIF(NazočnostZaSrpanj[[#This Row],[1]:[31]],Šifra2)</f>
        <v>0</v>
      </c>
      <c r="AK11" s="31">
        <f>COUNTIF(NazočnostZaSrpanj[[#This Row],[1]:[31]],Šifra3)</f>
        <v>0</v>
      </c>
      <c r="AL11" s="31">
        <f>COUNTIF(NazočnostZaSrpanj[[#This Row],[1]:[31]],Šifra4)</f>
        <v>0</v>
      </c>
      <c r="AM11" s="6">
        <f>SUM(NazočnostZaRujan[[#This Row],[O]:[N]])</f>
        <v>0</v>
      </c>
    </row>
    <row r="12" spans="1:39" ht="16.5" customHeight="1" x14ac:dyDescent="0.25">
      <c r="B12" s="142"/>
      <c r="C12" s="143" t="s">
        <v>117</v>
      </c>
      <c r="D12" s="144">
        <f>COUNTIF(NazočnostZaSrpanj[1],"N")+COUNTIF(NazočnostZaSrpanj[1],"O")</f>
        <v>0</v>
      </c>
      <c r="E12" s="144">
        <f>COUNTIF(NazočnostZaSrpanj[2],"N")+COUNTIF(NazočnostZaSrpanj[2],"O")</f>
        <v>0</v>
      </c>
      <c r="F12" s="144">
        <f>COUNTIF(NazočnostZaSrpanj[3],"N")+COUNTIF(NazočnostZaSrpanj[3],"O")</f>
        <v>0</v>
      </c>
      <c r="G12" s="144">
        <f>COUNTIF(NazočnostZaSrpanj[4],"N")+COUNTIF(NazočnostZaSrpanj[4],"O")</f>
        <v>0</v>
      </c>
      <c r="H12" s="144">
        <f>COUNTIF(NazočnostZaSrpanj[5],"N")+COUNTIF(NazočnostZaSrpanj[5],"O")</f>
        <v>0</v>
      </c>
      <c r="I12" s="144">
        <f>COUNTIF(NazočnostZaSrpanj[6],"N")+COUNTIF(NazočnostZaSrpanj[6],"O")</f>
        <v>0</v>
      </c>
      <c r="J12" s="144">
        <f>COUNTIF(NazočnostZaSrpanj[7],"N")+COUNTIF(NazočnostZaSrpanj[7],"O")</f>
        <v>0</v>
      </c>
      <c r="K12" s="144">
        <f>COUNTIF(NazočnostZaSrpanj[8],"N")+COUNTIF(NazočnostZaSrpanj[8],"O")</f>
        <v>0</v>
      </c>
      <c r="L12" s="144">
        <f>COUNTIF(NazočnostZaSrpanj[9],"N")+COUNTIF(NazočnostZaSrpanj[9],"O")</f>
        <v>0</v>
      </c>
      <c r="M12" s="144">
        <f>COUNTIF(NazočnostZaSrpanj[10],"N")+COUNTIF(NazočnostZaSrpanj[10],"O")</f>
        <v>0</v>
      </c>
      <c r="N12" s="144">
        <f>COUNTIF(NazočnostZaSrpanj[11],"N")+COUNTIF(NazočnostZaSrpanj[11],"O")</f>
        <v>0</v>
      </c>
      <c r="O12" s="144">
        <f>COUNTIF(NazočnostZaSrpanj[12],"N")+COUNTIF(NazočnostZaSrpanj[12],"O")</f>
        <v>0</v>
      </c>
      <c r="P12" s="144">
        <f>COUNTIF(NazočnostZaSrpanj[13],"N")+COUNTIF(NazočnostZaSrpanj[13],"O")</f>
        <v>0</v>
      </c>
      <c r="Q12" s="144">
        <f>COUNTIF(NazočnostZaSrpanj[14],"N")+COUNTIF(NazočnostZaSrpanj[14],"O")</f>
        <v>0</v>
      </c>
      <c r="R12" s="144">
        <f>COUNTIF(NazočnostZaSrpanj[15],"N")+COUNTIF(NazočnostZaSrpanj[15],"O")</f>
        <v>0</v>
      </c>
      <c r="S12" s="144">
        <f>COUNTIF(NazočnostZaSrpanj[16],"N")+COUNTIF(NazočnostZaSrpanj[16],"O")</f>
        <v>0</v>
      </c>
      <c r="T12" s="144">
        <f>COUNTIF(NazočnostZaSrpanj[17],"N")+COUNTIF(NazočnostZaSrpanj[17],"O")</f>
        <v>0</v>
      </c>
      <c r="U12" s="144">
        <f>COUNTIF(NazočnostZaSrpanj[18],"N")+COUNTIF(NazočnostZaSrpanj[18],"O")</f>
        <v>0</v>
      </c>
      <c r="V12" s="144">
        <f>COUNTIF(NazočnostZaSrpanj[19],"N")+COUNTIF(NazočnostZaSrpanj[19],"O")</f>
        <v>0</v>
      </c>
      <c r="W12" s="144">
        <f>COUNTIF(NazočnostZaSrpanj[20],"N")+COUNTIF(NazočnostZaSrpanj[20],"O")</f>
        <v>0</v>
      </c>
      <c r="X12" s="144">
        <f>COUNTIF(NazočnostZaSrpanj[21],"N")+COUNTIF(NazočnostZaSrpanj[21],"O")</f>
        <v>0</v>
      </c>
      <c r="Y12" s="144">
        <f>COUNTIF(NazočnostZaSrpanj[22],"N")+COUNTIF(NazočnostZaSrpanj[22],"O")</f>
        <v>0</v>
      </c>
      <c r="Z12" s="144">
        <f>COUNTIF(NazočnostZaSrpanj[23],"N")+COUNTIF(NazočnostZaSrpanj[23],"O")</f>
        <v>0</v>
      </c>
      <c r="AA12" s="144">
        <f>COUNTIF(NazočnostZaSrpanj[24],"N")+COUNTIF(NazočnostZaSrpanj[24],"O")</f>
        <v>0</v>
      </c>
      <c r="AB12" s="144">
        <f>COUNTIF(NazočnostZaSrpanj[25],"N")+COUNTIF(NazočnostZaSrpanj[25],"O")</f>
        <v>0</v>
      </c>
      <c r="AC12" s="144">
        <f>COUNTIF(NazočnostZaSrpanj[26],"N")+COUNTIF(NazočnostZaSrpanj[26],"O")</f>
        <v>0</v>
      </c>
      <c r="AD12" s="144">
        <f>COUNTIF(NazočnostZaSrpanj[27],"N")+COUNTIF(NazočnostZaSrpanj[27],"O")</f>
        <v>0</v>
      </c>
      <c r="AE12" s="144">
        <f>COUNTIF(NazočnostZaSrpanj[28],"N")+COUNTIF(NazočnostZaSrpanj[28],"O")</f>
        <v>0</v>
      </c>
      <c r="AF12" s="144">
        <f>COUNTIF(NazočnostZaSrpanj[29],"N")+COUNTIF(NazočnostZaSrpanj[29],"O")</f>
        <v>0</v>
      </c>
      <c r="AG12" s="144">
        <f>COUNTIF(NazočnostZaSrpanj[30],"N")+COUNTIF(NazočnostZaSrpanj[30],"O")</f>
        <v>0</v>
      </c>
      <c r="AH12" s="144">
        <f>COUNTIF(NazočnostZaSrpanj[31],"N")+COUNTIF(NazočnostZaSrpanj[31],"O")</f>
        <v>0</v>
      </c>
      <c r="AI12" s="144">
        <f>SUBTOTAL(109,NazočnostZaSrpanj[K])</f>
        <v>0</v>
      </c>
      <c r="AJ12" s="144">
        <f>SUBTOTAL(109,NazočnostZaSrpanj[O])</f>
        <v>0</v>
      </c>
      <c r="AK12" s="144">
        <f>SUBTOTAL(109,NazočnostZaSrpanj[N])</f>
        <v>0</v>
      </c>
      <c r="AL12" s="144">
        <f>SUBTOTAL(109,NazočnostZaSrpanj[P])</f>
        <v>0</v>
      </c>
      <c r="AM12" s="144">
        <f>SUBTOTAL(109,NazočnostZaSrpanj[Dani izostanaka])</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1">
      <dataBar>
        <cfvo type="min"/>
        <cfvo type="num" val="DATEDIF(DATE(KalendarskaGodina,2,1),DATE(KalendarskaGodina,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507" priority="2" stopIfTrue="1">
      <formula>D7=Šifra2</formula>
    </cfRule>
  </conditionalFormatting>
  <conditionalFormatting sqref="D7:AF11">
    <cfRule type="expression" dxfId="506" priority="3" stopIfTrue="1">
      <formula>D7=Šifra5</formula>
    </cfRule>
    <cfRule type="expression" dxfId="505" priority="4" stopIfTrue="1">
      <formula>D7=Šifra4</formula>
    </cfRule>
    <cfRule type="expression" dxfId="504" priority="5" stopIfTrue="1">
      <formula>D7=Šifra3</formula>
    </cfRule>
    <cfRule type="expression" dxfId="503" priority="6"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DATEDIF(DATE(KalendarskaGodina,2,1),DATE(KalendarskaGodina,3,1),"d")</xm:f>
              </x14:cfvo>
              <x14:borderColor theme="4"/>
              <x14:negativeFillColor rgb="FFFF0000"/>
              <x14:negativeBorderColor rgb="FFFF0000"/>
              <x14:axisColor rgb="FF000000"/>
            </x14:dataBar>
          </x14:cfRule>
          <xm:sqref>AM7:AM11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AK40"/>
  <sheetViews>
    <sheetView showGridLines="0" zoomScaleNormal="100" workbookViewId="0">
      <selection activeCell="B4" sqref="B4:C4"/>
    </sheetView>
  </sheetViews>
  <sheetFormatPr defaultRowHeight="13.5" x14ac:dyDescent="0.25"/>
  <cols>
    <col min="1" max="1" width="3.42578125" style="17" customWidth="1"/>
    <col min="2" max="2" width="21.140625" style="17" customWidth="1"/>
    <col min="3" max="21" width="3.28515625" style="17" customWidth="1"/>
    <col min="22" max="22" width="3.85546875" style="17" customWidth="1"/>
    <col min="23" max="33" width="3.28515625" style="17" customWidth="1"/>
    <col min="34" max="37" width="6.140625" style="17" customWidth="1"/>
    <col min="38" max="16384" width="9.140625" style="17"/>
  </cols>
  <sheetData>
    <row r="1" spans="1:37" ht="33" customHeight="1" x14ac:dyDescent="0.25">
      <c r="A1" s="74" t="str">
        <f>"Evidencija nazočnosti za učenika "</f>
        <v xml:space="preserve">Evidencija nazočnosti za učenika </v>
      </c>
      <c r="B1" s="58"/>
      <c r="C1" s="59"/>
      <c r="D1" s="59"/>
      <c r="E1" s="59"/>
      <c r="F1" s="59"/>
      <c r="G1" s="59"/>
      <c r="H1" s="59"/>
      <c r="I1" s="58"/>
      <c r="J1" s="58"/>
      <c r="K1" s="73" t="str">
        <f>D4</f>
        <v>Neven Tomić</v>
      </c>
      <c r="L1" s="56"/>
      <c r="M1" s="59"/>
      <c r="N1" s="56"/>
      <c r="O1" s="56"/>
      <c r="P1" s="56"/>
      <c r="Q1" s="56"/>
      <c r="R1" s="56"/>
      <c r="S1" s="56"/>
      <c r="T1" s="56"/>
      <c r="U1" s="56"/>
      <c r="V1" s="56"/>
      <c r="W1" s="56"/>
      <c r="X1" s="56"/>
      <c r="Y1" s="56"/>
      <c r="Z1" s="56"/>
      <c r="AA1" s="56"/>
      <c r="AB1" s="56"/>
      <c r="AC1" s="56"/>
      <c r="AD1" s="56"/>
      <c r="AE1" s="56"/>
      <c r="AF1" s="56"/>
      <c r="AG1" s="56"/>
      <c r="AH1" s="56"/>
      <c r="AI1" s="56"/>
      <c r="AJ1" s="56"/>
      <c r="AK1" s="57"/>
    </row>
    <row r="2" spans="1:37" customFormat="1" ht="15" customHeight="1" x14ac:dyDescent="0.25"/>
    <row r="3" spans="1:37" ht="17.25" customHeight="1" x14ac:dyDescent="0.25">
      <c r="B3" s="90" t="s">
        <v>34</v>
      </c>
      <c r="C3" s="91"/>
      <c r="D3" s="129" t="s">
        <v>32</v>
      </c>
      <c r="E3" s="129"/>
      <c r="F3" s="129"/>
      <c r="G3" s="129"/>
      <c r="H3" s="129"/>
      <c r="I3" s="129"/>
      <c r="J3" s="129"/>
      <c r="K3" s="129"/>
      <c r="L3" s="129"/>
      <c r="M3" s="129"/>
      <c r="N3" s="129"/>
      <c r="O3" s="129"/>
      <c r="P3" s="123" t="s">
        <v>39</v>
      </c>
      <c r="Q3" s="123"/>
      <c r="R3" s="123"/>
      <c r="S3" s="123" t="s">
        <v>40</v>
      </c>
      <c r="T3" s="123"/>
      <c r="U3" s="123"/>
      <c r="V3" s="123"/>
      <c r="W3" s="123" t="s">
        <v>41</v>
      </c>
      <c r="X3" s="123"/>
      <c r="Y3" s="123"/>
      <c r="Z3" s="123"/>
      <c r="AA3" s="123"/>
      <c r="AB3" s="123"/>
      <c r="AC3" s="123"/>
      <c r="AD3" s="123"/>
      <c r="AE3" s="132" t="s">
        <v>42</v>
      </c>
      <c r="AF3" s="132"/>
      <c r="AG3" s="123" t="s">
        <v>43</v>
      </c>
      <c r="AH3" s="123"/>
      <c r="AI3" s="123"/>
      <c r="AJ3" s="123"/>
      <c r="AK3" s="99" t="s">
        <v>44</v>
      </c>
    </row>
    <row r="4" spans="1:37" ht="17.25" customHeight="1" x14ac:dyDescent="0.25">
      <c r="B4" s="128" t="s">
        <v>89</v>
      </c>
      <c r="C4" s="128"/>
      <c r="D4" s="124" t="str">
        <f>IFERROR(VLOOKUP(TraženjeUčenika,PopisUčenika[],18,FALSE),"")</f>
        <v>Neven Tomić</v>
      </c>
      <c r="E4" s="124"/>
      <c r="F4" s="124"/>
      <c r="G4" s="124"/>
      <c r="H4" s="124"/>
      <c r="I4" s="124"/>
      <c r="J4" s="124"/>
      <c r="K4" s="124"/>
      <c r="L4" s="124"/>
      <c r="M4" s="124"/>
      <c r="N4" s="124"/>
      <c r="O4" s="124"/>
      <c r="P4" s="126" t="str">
        <f>IFERROR(VLOOKUP(TraženjeUčenika,PopisUčenika[],4,FALSE),"")</f>
        <v>M</v>
      </c>
      <c r="Q4" s="126"/>
      <c r="R4" s="126"/>
      <c r="S4" s="127">
        <f>IFERROR(VLOOKUP(TraženjeUčenika,PopisUčenika[],5,FALSE),"")</f>
        <v>35517</v>
      </c>
      <c r="T4" s="127"/>
      <c r="U4" s="127"/>
      <c r="V4" s="127"/>
      <c r="W4" s="128" t="s">
        <v>96</v>
      </c>
      <c r="X4" s="128"/>
      <c r="Y4" s="128"/>
      <c r="Z4" s="128"/>
      <c r="AA4" s="128"/>
      <c r="AB4" s="128"/>
      <c r="AC4" s="128"/>
      <c r="AD4" s="128"/>
      <c r="AE4" s="133">
        <v>7</v>
      </c>
      <c r="AF4" s="133"/>
      <c r="AG4" s="128" t="s">
        <v>97</v>
      </c>
      <c r="AH4" s="128"/>
      <c r="AI4" s="128"/>
      <c r="AJ4" s="128"/>
      <c r="AK4" s="92">
        <v>123</v>
      </c>
    </row>
    <row r="5" spans="1:37" ht="17.25" customHeight="1" x14ac:dyDescent="0.25">
      <c r="B5" s="123" t="s">
        <v>78</v>
      </c>
      <c r="C5" s="123"/>
      <c r="D5" s="123"/>
      <c r="E5" s="123"/>
      <c r="F5" s="123"/>
      <c r="G5" s="123"/>
      <c r="H5" s="123"/>
      <c r="I5" s="123"/>
      <c r="J5" s="123"/>
      <c r="K5" s="123" t="s">
        <v>45</v>
      </c>
      <c r="L5" s="123"/>
      <c r="M5" s="123"/>
      <c r="N5" s="123"/>
      <c r="O5" s="123"/>
      <c r="P5" s="123"/>
      <c r="Q5" s="123"/>
      <c r="R5" s="123"/>
      <c r="S5" s="123"/>
      <c r="T5" s="123"/>
      <c r="U5" s="123"/>
      <c r="V5" s="123"/>
      <c r="W5" s="123" t="s">
        <v>46</v>
      </c>
      <c r="X5" s="123"/>
      <c r="Y5" s="123"/>
      <c r="Z5" s="123"/>
      <c r="AA5" s="123"/>
      <c r="AB5" s="123"/>
      <c r="AC5" s="123"/>
      <c r="AD5" s="123"/>
      <c r="AE5" s="123" t="s">
        <v>47</v>
      </c>
      <c r="AF5" s="123"/>
      <c r="AG5" s="123"/>
      <c r="AH5" s="123"/>
      <c r="AI5" s="123"/>
      <c r="AJ5" s="123"/>
      <c r="AK5" s="123"/>
    </row>
    <row r="6" spans="1:37" ht="17.25" customHeight="1" x14ac:dyDescent="0.25">
      <c r="B6" s="124" t="str">
        <f>IFERROR(VLOOKUP(TraženjeUčenika,PopisUčenika[],6,FALSE),"")</f>
        <v>Dragan</v>
      </c>
      <c r="C6" s="124"/>
      <c r="D6" s="124"/>
      <c r="E6" s="124"/>
      <c r="F6" s="124"/>
      <c r="G6" s="124"/>
      <c r="H6" s="124"/>
      <c r="I6" s="124"/>
      <c r="J6" s="124"/>
      <c r="K6" s="124" t="str">
        <f>IFERROR(VLOOKUP(TraženjeUčenika,PopisUčenika[],7,FALSE),"")</f>
        <v>Tomić</v>
      </c>
      <c r="L6" s="124"/>
      <c r="M6" s="124"/>
      <c r="N6" s="124"/>
      <c r="O6" s="124"/>
      <c r="P6" s="124"/>
      <c r="Q6" s="124"/>
      <c r="R6" s="124"/>
      <c r="S6" s="124"/>
      <c r="T6" s="124"/>
      <c r="U6" s="124"/>
      <c r="V6" s="124"/>
      <c r="W6" s="125">
        <f>IFERROR(VLOOKUP(TraženjeUčenika,PopisUčenika[],8,FALSE),"")</f>
        <v>1235550134</v>
      </c>
      <c r="X6" s="125"/>
      <c r="Y6" s="125"/>
      <c r="Z6" s="125"/>
      <c r="AA6" s="125"/>
      <c r="AB6" s="125"/>
      <c r="AC6" s="125"/>
      <c r="AD6" s="125"/>
      <c r="AE6" s="125">
        <f>IFERROR(VLOOKUP(TraženjeUčenika,PopisUčenika[],9,FALSE),"")</f>
        <v>2345550134</v>
      </c>
      <c r="AF6" s="125"/>
      <c r="AG6" s="125"/>
      <c r="AH6" s="125"/>
      <c r="AI6" s="125"/>
      <c r="AJ6" s="125"/>
      <c r="AK6" s="125"/>
    </row>
    <row r="7" spans="1:37" ht="17.25" customHeight="1" x14ac:dyDescent="0.25">
      <c r="B7" s="123" t="s">
        <v>79</v>
      </c>
      <c r="C7" s="123"/>
      <c r="D7" s="123"/>
      <c r="E7" s="123"/>
      <c r="F7" s="123"/>
      <c r="G7" s="123"/>
      <c r="H7" s="123"/>
      <c r="I7" s="123"/>
      <c r="J7" s="123"/>
      <c r="K7" s="123" t="s">
        <v>45</v>
      </c>
      <c r="L7" s="123"/>
      <c r="M7" s="123"/>
      <c r="N7" s="123"/>
      <c r="O7" s="123"/>
      <c r="P7" s="123"/>
      <c r="Q7" s="123"/>
      <c r="R7" s="123"/>
      <c r="S7" s="123"/>
      <c r="T7" s="123"/>
      <c r="U7" s="123"/>
      <c r="V7" s="123"/>
      <c r="W7" s="123" t="s">
        <v>46</v>
      </c>
      <c r="X7" s="123"/>
      <c r="Y7" s="123"/>
      <c r="Z7" s="123"/>
      <c r="AA7" s="123"/>
      <c r="AB7" s="123"/>
      <c r="AC7" s="123"/>
      <c r="AD7" s="123"/>
      <c r="AE7" s="123" t="s">
        <v>47</v>
      </c>
      <c r="AF7" s="123"/>
      <c r="AG7" s="123"/>
      <c r="AH7" s="123"/>
      <c r="AI7" s="123"/>
      <c r="AJ7" s="123"/>
      <c r="AK7" s="123"/>
    </row>
    <row r="8" spans="1:37" ht="17.25" customHeight="1" x14ac:dyDescent="0.25">
      <c r="B8" s="124" t="str">
        <f>IFERROR(VLOOKUP(TraženjeUčenika,PopisUčenika[],10,FALSE),"")</f>
        <v>Dragan Tomić</v>
      </c>
      <c r="C8" s="124"/>
      <c r="D8" s="124"/>
      <c r="E8" s="124"/>
      <c r="F8" s="124"/>
      <c r="G8" s="124"/>
      <c r="H8" s="124"/>
      <c r="I8" s="124"/>
      <c r="J8" s="124"/>
      <c r="K8" s="124" t="str">
        <f>IFERROR(VLOOKUP(TraženjeUčenika,PopisUčenika[],11,FALSE),"")</f>
        <v>Otac</v>
      </c>
      <c r="L8" s="124"/>
      <c r="M8" s="124"/>
      <c r="N8" s="124"/>
      <c r="O8" s="124"/>
      <c r="P8" s="124"/>
      <c r="Q8" s="124"/>
      <c r="R8" s="124"/>
      <c r="S8" s="124"/>
      <c r="T8" s="124"/>
      <c r="U8" s="124"/>
      <c r="V8" s="124"/>
      <c r="W8" s="125">
        <f>IFERROR(VLOOKUP(TraženjeUčenika,PopisUčenika[],12,FALSE),"")</f>
        <v>1235550134</v>
      </c>
      <c r="X8" s="125"/>
      <c r="Y8" s="125"/>
      <c r="Z8" s="125"/>
      <c r="AA8" s="125"/>
      <c r="AB8" s="125"/>
      <c r="AC8" s="125"/>
      <c r="AD8" s="125"/>
      <c r="AE8" s="125">
        <f>IFERROR(VLOOKUP(TraženjeUčenika,PopisUčenika[],13,FALSE),"")</f>
        <v>2345550134</v>
      </c>
      <c r="AF8" s="125"/>
      <c r="AG8" s="125"/>
      <c r="AH8" s="125"/>
      <c r="AI8" s="125"/>
      <c r="AJ8" s="125"/>
      <c r="AK8" s="125"/>
    </row>
    <row r="9" spans="1:37" ht="17.25" customHeight="1" x14ac:dyDescent="0.25">
      <c r="B9" s="123" t="s">
        <v>48</v>
      </c>
      <c r="C9" s="123"/>
      <c r="D9" s="123"/>
      <c r="E9" s="123"/>
      <c r="F9" s="123"/>
      <c r="G9" s="123"/>
      <c r="H9" s="123"/>
      <c r="I9" s="123"/>
      <c r="J9" s="123"/>
      <c r="K9" s="123" t="s">
        <v>45</v>
      </c>
      <c r="L9" s="123"/>
      <c r="M9" s="123"/>
      <c r="N9" s="123"/>
      <c r="O9" s="123"/>
      <c r="P9" s="123"/>
      <c r="Q9" s="123"/>
      <c r="R9" s="123"/>
      <c r="S9" s="123"/>
      <c r="T9" s="123"/>
      <c r="U9" s="123"/>
      <c r="V9" s="123"/>
      <c r="W9" s="123" t="s">
        <v>46</v>
      </c>
      <c r="X9" s="123"/>
      <c r="Y9" s="123"/>
      <c r="Z9" s="123"/>
      <c r="AA9" s="123"/>
      <c r="AB9" s="123"/>
      <c r="AC9" s="123"/>
      <c r="AD9" s="123"/>
      <c r="AE9" s="123" t="s">
        <v>47</v>
      </c>
      <c r="AF9" s="123"/>
      <c r="AG9" s="123"/>
      <c r="AH9" s="123"/>
      <c r="AI9" s="123"/>
      <c r="AJ9" s="123"/>
      <c r="AK9" s="123"/>
    </row>
    <row r="10" spans="1:37" ht="17.25" customHeight="1" x14ac:dyDescent="0.25">
      <c r="B10" s="124" t="str">
        <f>IFERROR(VLOOKUP(TraženjeUčenika,PopisUčenika[],14,FALSE),"")</f>
        <v>Tihomir Sasić</v>
      </c>
      <c r="C10" s="124"/>
      <c r="D10" s="124"/>
      <c r="E10" s="124"/>
      <c r="F10" s="124"/>
      <c r="G10" s="124"/>
      <c r="H10" s="124"/>
      <c r="I10" s="124"/>
      <c r="J10" s="124"/>
      <c r="K10" s="124" t="str">
        <f>IFERROR(VLOOKUP(TraženjeUčenika,PopisUčenika[],15,FALSE),"")</f>
        <v>Djed</v>
      </c>
      <c r="L10" s="124"/>
      <c r="M10" s="124"/>
      <c r="N10" s="124"/>
      <c r="O10" s="124"/>
      <c r="P10" s="124"/>
      <c r="Q10" s="124"/>
      <c r="R10" s="124"/>
      <c r="S10" s="124"/>
      <c r="T10" s="124"/>
      <c r="U10" s="124"/>
      <c r="V10" s="124"/>
      <c r="W10" s="125">
        <f>IFERROR(VLOOKUP(TraženjeUčenika,PopisUčenika[],16,FALSE),"")</f>
        <v>7895550189</v>
      </c>
      <c r="X10" s="125"/>
      <c r="Y10" s="125"/>
      <c r="Z10" s="125"/>
      <c r="AA10" s="125"/>
      <c r="AB10" s="125"/>
      <c r="AC10" s="125"/>
      <c r="AD10" s="125"/>
      <c r="AE10" s="125">
        <f>IFERROR(VLOOKUP(TraženjeUčenika,PopisUčenika[],17,FALSE),"")</f>
        <v>7895550134</v>
      </c>
      <c r="AF10" s="125"/>
      <c r="AG10" s="125"/>
      <c r="AH10" s="125"/>
      <c r="AI10" s="125"/>
      <c r="AJ10" s="125"/>
      <c r="AK10" s="125"/>
    </row>
    <row r="11" spans="1:37" ht="10.5" customHeight="1" x14ac:dyDescent="0.25">
      <c r="B11" s="60"/>
      <c r="C11" s="60"/>
      <c r="D11" s="60"/>
      <c r="E11" s="60"/>
      <c r="F11" s="60"/>
      <c r="G11" s="60"/>
      <c r="H11" s="60"/>
      <c r="I11" s="60"/>
      <c r="J11" s="60"/>
      <c r="K11" s="60"/>
      <c r="L11" s="60"/>
      <c r="M11" s="60"/>
      <c r="N11" s="60"/>
      <c r="O11" s="60"/>
      <c r="P11" s="60"/>
      <c r="Q11" s="60"/>
      <c r="R11" s="60"/>
      <c r="S11" s="60"/>
      <c r="T11" s="60"/>
      <c r="U11" s="60"/>
      <c r="V11" s="60"/>
      <c r="W11" s="61"/>
      <c r="X11" s="61"/>
      <c r="Y11" s="61"/>
      <c r="Z11" s="61"/>
      <c r="AA11" s="61"/>
      <c r="AB11" s="61"/>
      <c r="AC11" s="61"/>
      <c r="AD11" s="61"/>
      <c r="AE11" s="61"/>
      <c r="AF11" s="61"/>
      <c r="AG11" s="61"/>
      <c r="AH11" s="61"/>
      <c r="AI11" s="61"/>
      <c r="AJ11" s="61"/>
      <c r="AK11" s="61"/>
    </row>
    <row r="12" spans="1:37" ht="15.75" customHeight="1" x14ac:dyDescent="0.3">
      <c r="B12" s="63" t="str">
        <f>Kolovoz!C3</f>
        <v xml:space="preserve">OPIS BOJA </v>
      </c>
      <c r="C12" s="64" t="str">
        <f>Kolovoz!D3</f>
        <v>K</v>
      </c>
      <c r="D12" s="63" t="str">
        <f>Kolovoz!E3</f>
        <v>Kašnjenje</v>
      </c>
      <c r="E12" s="63"/>
      <c r="F12" s="63"/>
      <c r="G12" s="65" t="str">
        <f>Kolovoz!H3</f>
        <v>O</v>
      </c>
      <c r="H12" s="63" t="str">
        <f>Kolovoz!I3</f>
        <v>Opravdani</v>
      </c>
      <c r="I12" s="63"/>
      <c r="J12" s="63"/>
      <c r="L12" s="66" t="str">
        <f>Kolovoz!L3</f>
        <v>N</v>
      </c>
      <c r="M12" s="63" t="str">
        <f>Kolovoz!M3</f>
        <v>Neopravdani</v>
      </c>
      <c r="N12" s="63"/>
      <c r="O12" s="63"/>
      <c r="P12" s="67"/>
      <c r="Q12" s="68" t="str">
        <f>Kolovoz!P3</f>
        <v>P</v>
      </c>
      <c r="R12" s="63" t="str">
        <f>Kolovoz!Q3</f>
        <v>Prisutan</v>
      </c>
      <c r="S12" s="63"/>
      <c r="T12" s="63"/>
      <c r="U12" s="69" t="str">
        <f>Kolovoz!T3</f>
        <v>Ne</v>
      </c>
      <c r="V12" s="70" t="str">
        <f>Kolovoz!U3</f>
        <v>Nema škole</v>
      </c>
      <c r="W12" s="71"/>
      <c r="X12" s="72"/>
      <c r="Y12" s="61"/>
      <c r="Z12" s="61"/>
      <c r="AA12" s="61"/>
      <c r="AB12" s="61"/>
      <c r="AC12" s="61"/>
      <c r="AD12" s="61"/>
      <c r="AE12" s="61"/>
      <c r="AF12" s="61"/>
      <c r="AG12" s="61"/>
      <c r="AH12" s="61"/>
      <c r="AI12" s="61"/>
      <c r="AJ12" s="61"/>
      <c r="AK12" s="61"/>
    </row>
    <row r="13" spans="1:37" ht="6" customHeight="1" x14ac:dyDescent="0.25"/>
    <row r="14" spans="1:37" ht="16.5" customHeight="1" x14ac:dyDescent="0.25">
      <c r="B14" s="130" t="s">
        <v>85</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4" t="s">
        <v>55</v>
      </c>
      <c r="AI14" s="134"/>
      <c r="AJ14" s="134"/>
      <c r="AK14" s="134"/>
    </row>
    <row r="15" spans="1:37" ht="14.25" thickBot="1" x14ac:dyDescent="0.3">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00" t="s">
        <v>127</v>
      </c>
      <c r="AI15" s="101" t="s">
        <v>128</v>
      </c>
      <c r="AJ15" s="102" t="s">
        <v>68</v>
      </c>
      <c r="AK15" s="103" t="s">
        <v>31</v>
      </c>
    </row>
    <row r="16" spans="1:37" ht="14.25" x14ac:dyDescent="0.25">
      <c r="B16" s="135" t="s">
        <v>56</v>
      </c>
      <c r="C16" s="93">
        <v>1</v>
      </c>
      <c r="D16" s="93">
        <v>2</v>
      </c>
      <c r="E16" s="93">
        <v>3</v>
      </c>
      <c r="F16" s="93">
        <v>4</v>
      </c>
      <c r="G16" s="93">
        <v>5</v>
      </c>
      <c r="H16" s="93">
        <v>6</v>
      </c>
      <c r="I16" s="93">
        <v>7</v>
      </c>
      <c r="J16" s="93">
        <v>8</v>
      </c>
      <c r="K16" s="93">
        <v>9</v>
      </c>
      <c r="L16" s="93">
        <v>10</v>
      </c>
      <c r="M16" s="93">
        <v>11</v>
      </c>
      <c r="N16" s="93">
        <v>12</v>
      </c>
      <c r="O16" s="93">
        <v>13</v>
      </c>
      <c r="P16" s="93">
        <v>14</v>
      </c>
      <c r="Q16" s="93">
        <v>15</v>
      </c>
      <c r="R16" s="93">
        <v>16</v>
      </c>
      <c r="S16" s="93">
        <v>17</v>
      </c>
      <c r="T16" s="93">
        <v>18</v>
      </c>
      <c r="U16" s="93">
        <v>19</v>
      </c>
      <c r="V16" s="93">
        <v>20</v>
      </c>
      <c r="W16" s="93">
        <v>21</v>
      </c>
      <c r="X16" s="93">
        <v>22</v>
      </c>
      <c r="Y16" s="93">
        <v>23</v>
      </c>
      <c r="Z16" s="93">
        <v>24</v>
      </c>
      <c r="AA16" s="93">
        <v>25</v>
      </c>
      <c r="AB16" s="93">
        <v>26</v>
      </c>
      <c r="AC16" s="93">
        <v>27</v>
      </c>
      <c r="AD16" s="93">
        <v>28</v>
      </c>
      <c r="AE16" s="93">
        <v>29</v>
      </c>
      <c r="AF16" s="93">
        <v>30</v>
      </c>
      <c r="AG16" s="93">
        <v>31</v>
      </c>
      <c r="AH16" s="137">
        <f>COUNTIF($D17:$AH17,Šifra1)</f>
        <v>2</v>
      </c>
      <c r="AI16" s="137">
        <f>COUNTIF($D17:$AH17,Šifra2)</f>
        <v>1</v>
      </c>
      <c r="AJ16" s="137">
        <f>COUNTIF($D17:$AH17,Šifra3)</f>
        <v>0</v>
      </c>
      <c r="AK16" s="137">
        <f>COUNTIF($D17:$AH17,Šifra4)</f>
        <v>19</v>
      </c>
    </row>
    <row r="17" spans="2:37" ht="14.25" x14ac:dyDescent="0.25">
      <c r="B17" s="136"/>
      <c r="C17" s="94" t="str">
        <f>IFERROR(VLOOKUP(TraženjeUčenika,NazočnostZaKolovoz[],3,FALSE),"")</f>
        <v>P</v>
      </c>
      <c r="D17" s="94" t="str">
        <f>IFERROR(VLOOKUP(TraženjeUčenika,NazočnostZaKolovoz[],4,FALSE),"")</f>
        <v>P</v>
      </c>
      <c r="E17" s="94" t="str">
        <f>IFERROR(VLOOKUP(TraženjeUčenika,NazočnostZaKolovoz[],5,FALSE),"")</f>
        <v>K</v>
      </c>
      <c r="F17" s="94" t="str">
        <f>IFERROR(VLOOKUP(TraženjeUčenika,NazočnostZaKolovoz[],6,FALSE),"")</f>
        <v>K</v>
      </c>
      <c r="G17" s="94" t="str">
        <f>IFERROR(VLOOKUP(TraženjeUčenika,NazočnostZaKolovoz[],7,FALSE),"")</f>
        <v>P</v>
      </c>
      <c r="H17" s="94" t="str">
        <f>IFERROR(VLOOKUP(TraženjeUčenika,NazočnostZaKolovoz[],8,FALSE),"")</f>
        <v>Ne</v>
      </c>
      <c r="I17" s="94" t="str">
        <f>IFERROR(VLOOKUP(TraženjeUčenika,NazočnostZaKolovoz[],9,FALSE),"")</f>
        <v>Ne</v>
      </c>
      <c r="J17" s="94" t="str">
        <f>IFERROR(VLOOKUP(TraženjeUčenika,NazočnostZaKolovoz[],10,FALSE),"")</f>
        <v>P</v>
      </c>
      <c r="K17" s="94" t="str">
        <f>IFERROR(VLOOKUP(TraženjeUčenika,NazočnostZaKolovoz[],11,FALSE),"")</f>
        <v>P</v>
      </c>
      <c r="L17" s="94" t="str">
        <f>IFERROR(VLOOKUP(TraženjeUčenika,NazočnostZaKolovoz[],12,FALSE),"")</f>
        <v>O</v>
      </c>
      <c r="M17" s="94" t="str">
        <f>IFERROR(VLOOKUP(TraženjeUčenika,NazočnostZaKolovoz[],13,FALSE),"")</f>
        <v>P</v>
      </c>
      <c r="N17" s="94" t="str">
        <f>IFERROR(VLOOKUP(TraženjeUčenika,NazočnostZaKolovoz[],14,FALSE),"")</f>
        <v>P</v>
      </c>
      <c r="O17" s="94" t="str">
        <f>IFERROR(VLOOKUP(TraženjeUčenika,NazočnostZaKolovoz[],15,FALSE),"")</f>
        <v>Ne</v>
      </c>
      <c r="P17" s="94" t="str">
        <f>IFERROR(VLOOKUP(TraženjeUčenika,NazočnostZaKolovoz[],16,FALSE),"")</f>
        <v>Ne</v>
      </c>
      <c r="Q17" s="94" t="str">
        <f>IFERROR(VLOOKUP(TraženjeUčenika,NazočnostZaKolovoz[],17,FALSE),"")</f>
        <v>P</v>
      </c>
      <c r="R17" s="94" t="str">
        <f>IFERROR(VLOOKUP(TraženjeUčenika,NazočnostZaKolovoz[],18,FALSE),"")</f>
        <v>P</v>
      </c>
      <c r="S17" s="94" t="str">
        <f>IFERROR(VLOOKUP(TraženjeUčenika,NazočnostZaKolovoz[],19,FALSE),"")</f>
        <v>P</v>
      </c>
      <c r="T17" s="94" t="str">
        <f>IFERROR(VLOOKUP(TraženjeUčenika,NazočnostZaKolovoz[],20,FALSE),"")</f>
        <v>P</v>
      </c>
      <c r="U17" s="94" t="str">
        <f>IFERROR(VLOOKUP(TraženjeUčenika,NazočnostZaKolovoz[],21,FALSE),"")</f>
        <v>P</v>
      </c>
      <c r="V17" s="94" t="str">
        <f>IFERROR(VLOOKUP(TraženjeUčenika,NazočnostZaKolovoz[],22,FALSE),"")</f>
        <v>Ne</v>
      </c>
      <c r="W17" s="94" t="str">
        <f>IFERROR(VLOOKUP(TraženjeUčenika,NazočnostZaKolovoz[],23,FALSE),"")</f>
        <v>Ne</v>
      </c>
      <c r="X17" s="94" t="str">
        <f>IFERROR(VLOOKUP(TraženjeUčenika,NazočnostZaKolovoz[],24,FALSE),"")</f>
        <v>P</v>
      </c>
      <c r="Y17" s="94" t="str">
        <f>IFERROR(VLOOKUP(TraženjeUčenika,NazočnostZaKolovoz[],25,FALSE),"")</f>
        <v>P</v>
      </c>
      <c r="Z17" s="94" t="str">
        <f>IFERROR(VLOOKUP(TraženjeUčenika,NazočnostZaKolovoz[],26,FALSE),"")</f>
        <v>P</v>
      </c>
      <c r="AA17" s="94" t="str">
        <f>IFERROR(VLOOKUP(TraženjeUčenika,NazočnostZaKolovoz[],27,FALSE),"")</f>
        <v>P</v>
      </c>
      <c r="AB17" s="94" t="str">
        <f>IFERROR(VLOOKUP(TraženjeUčenika,NazočnostZaKolovoz[],28,FALSE),"")</f>
        <v>P</v>
      </c>
      <c r="AC17" s="94" t="str">
        <f>IFERROR(VLOOKUP(TraženjeUčenika,NazočnostZaKolovoz[],29,FALSE),"")</f>
        <v>Ne</v>
      </c>
      <c r="AD17" s="94" t="str">
        <f>IFERROR(VLOOKUP(TraženjeUčenika,NazočnostZaKolovoz[],30,FALSE),"")</f>
        <v>Ne</v>
      </c>
      <c r="AE17" s="94" t="str">
        <f>IFERROR(VLOOKUP(TraženjeUčenika,NazočnostZaKolovoz[],31,FALSE),"")</f>
        <v>P</v>
      </c>
      <c r="AF17" s="94" t="str">
        <f>IFERROR(VLOOKUP(TraženjeUčenika,NazočnostZaKolovoz[],32,FALSE),"")</f>
        <v>P</v>
      </c>
      <c r="AG17" s="94" t="str">
        <f>IFERROR(VLOOKUP(TraženjeUčenika,NazočnostZaKolovoz[],33,FALSE),"")</f>
        <v>P</v>
      </c>
      <c r="AH17" s="138"/>
      <c r="AI17" s="138"/>
      <c r="AJ17" s="138"/>
      <c r="AK17" s="138"/>
    </row>
    <row r="18" spans="2:37" ht="14.25" x14ac:dyDescent="0.25">
      <c r="B18" s="136" t="s">
        <v>57</v>
      </c>
      <c r="C18" s="95">
        <v>1</v>
      </c>
      <c r="D18" s="95">
        <v>2</v>
      </c>
      <c r="E18" s="95">
        <v>3</v>
      </c>
      <c r="F18" s="95">
        <v>4</v>
      </c>
      <c r="G18" s="95">
        <v>5</v>
      </c>
      <c r="H18" s="95">
        <v>6</v>
      </c>
      <c r="I18" s="95">
        <v>7</v>
      </c>
      <c r="J18" s="95">
        <v>8</v>
      </c>
      <c r="K18" s="95">
        <v>9</v>
      </c>
      <c r="L18" s="95">
        <v>10</v>
      </c>
      <c r="M18" s="95">
        <v>11</v>
      </c>
      <c r="N18" s="95">
        <v>12</v>
      </c>
      <c r="O18" s="95">
        <v>13</v>
      </c>
      <c r="P18" s="95">
        <v>14</v>
      </c>
      <c r="Q18" s="95">
        <v>15</v>
      </c>
      <c r="R18" s="95">
        <v>16</v>
      </c>
      <c r="S18" s="95">
        <v>17</v>
      </c>
      <c r="T18" s="95">
        <v>18</v>
      </c>
      <c r="U18" s="95">
        <v>19</v>
      </c>
      <c r="V18" s="95">
        <v>20</v>
      </c>
      <c r="W18" s="95">
        <v>21</v>
      </c>
      <c r="X18" s="95">
        <v>22</v>
      </c>
      <c r="Y18" s="95">
        <v>23</v>
      </c>
      <c r="Z18" s="95">
        <v>24</v>
      </c>
      <c r="AA18" s="95">
        <v>25</v>
      </c>
      <c r="AB18" s="95">
        <v>26</v>
      </c>
      <c r="AC18" s="95">
        <v>27</v>
      </c>
      <c r="AD18" s="95">
        <v>28</v>
      </c>
      <c r="AE18" s="95">
        <v>29</v>
      </c>
      <c r="AF18" s="95">
        <v>30</v>
      </c>
      <c r="AG18" s="95"/>
      <c r="AH18" s="138">
        <f>COUNTIF($D19:$AH19,Šifra1)</f>
        <v>0</v>
      </c>
      <c r="AI18" s="138">
        <f>COUNTIF($D19:$AH19,Šifra2)</f>
        <v>0</v>
      </c>
      <c r="AJ18" s="138">
        <f>COUNTIF($D19:$AH19,Šifra3)</f>
        <v>0</v>
      </c>
      <c r="AK18" s="138">
        <f>COUNTIF($D19:$AH19,Šifra4)</f>
        <v>0</v>
      </c>
    </row>
    <row r="19" spans="2:37" ht="14.25" x14ac:dyDescent="0.25">
      <c r="B19" s="136"/>
      <c r="C19" s="94" t="str">
        <f>IFERROR(VLOOKUP(TraženjeUčenika,NazočnostZaRujan[],3,FALSE),"")</f>
        <v/>
      </c>
      <c r="D19" s="94" t="str">
        <f>IFERROR(VLOOKUP(TraženjeUčenika,NazočnostZaRujan[],4,FALSE),"")</f>
        <v/>
      </c>
      <c r="E19" s="94" t="str">
        <f>IFERROR(VLOOKUP(TraženjeUčenika,NazočnostZaRujan[],5,FALSE),"")</f>
        <v/>
      </c>
      <c r="F19" s="94" t="str">
        <f>IFERROR(VLOOKUP(TraženjeUčenika,NazočnostZaRujan[],6,FALSE),"")</f>
        <v/>
      </c>
      <c r="G19" s="94" t="str">
        <f>IFERROR(VLOOKUP(TraženjeUčenika,NazočnostZaRujan[],7,FALSE),"")</f>
        <v/>
      </c>
      <c r="H19" s="94" t="str">
        <f>IFERROR(VLOOKUP(TraženjeUčenika,NazočnostZaRujan[],8,FALSE),"")</f>
        <v/>
      </c>
      <c r="I19" s="94" t="str">
        <f>IFERROR(VLOOKUP(TraženjeUčenika,NazočnostZaRujan[],9,FALSE),"")</f>
        <v/>
      </c>
      <c r="J19" s="94" t="str">
        <f>IFERROR(VLOOKUP(TraženjeUčenika,NazočnostZaRujan[],10,FALSE),"")</f>
        <v/>
      </c>
      <c r="K19" s="94" t="str">
        <f>IFERROR(VLOOKUP(TraženjeUčenika,NazočnostZaRujan[],11,FALSE),"")</f>
        <v/>
      </c>
      <c r="L19" s="94" t="str">
        <f>IFERROR(VLOOKUP(TraženjeUčenika,NazočnostZaRujan[],12,FALSE),"")</f>
        <v/>
      </c>
      <c r="M19" s="94" t="str">
        <f>IFERROR(VLOOKUP(TraženjeUčenika,NazočnostZaRujan[],13,FALSE),"")</f>
        <v/>
      </c>
      <c r="N19" s="94" t="str">
        <f>IFERROR(VLOOKUP(TraženjeUčenika,NazočnostZaRujan[],14,FALSE),"")</f>
        <v/>
      </c>
      <c r="O19" s="94" t="str">
        <f>IFERROR(VLOOKUP(TraženjeUčenika,NazočnostZaRujan[],15,FALSE),"")</f>
        <v/>
      </c>
      <c r="P19" s="94" t="str">
        <f>IFERROR(VLOOKUP(TraženjeUčenika,NazočnostZaRujan[],16,FALSE),"")</f>
        <v/>
      </c>
      <c r="Q19" s="94" t="str">
        <f>IFERROR(VLOOKUP(TraženjeUčenika,NazočnostZaRujan[],17,FALSE),"")</f>
        <v/>
      </c>
      <c r="R19" s="94" t="str">
        <f>IFERROR(VLOOKUP(TraženjeUčenika,NazočnostZaRujan[],18,FALSE),"")</f>
        <v/>
      </c>
      <c r="S19" s="94" t="str">
        <f>IFERROR(VLOOKUP(TraženjeUčenika,NazočnostZaRujan[],19,FALSE),"")</f>
        <v/>
      </c>
      <c r="T19" s="94" t="str">
        <f>IFERROR(VLOOKUP(TraženjeUčenika,NazočnostZaRujan[],20,FALSE),"")</f>
        <v/>
      </c>
      <c r="U19" s="94" t="str">
        <f>IFERROR(VLOOKUP(TraženjeUčenika,NazočnostZaRujan[],21,FALSE),"")</f>
        <v/>
      </c>
      <c r="V19" s="94" t="str">
        <f>IFERROR(VLOOKUP(TraženjeUčenika,NazočnostZaRujan[],22,FALSE),"")</f>
        <v/>
      </c>
      <c r="W19" s="94" t="str">
        <f>IFERROR(VLOOKUP(TraženjeUčenika,NazočnostZaRujan[],23,FALSE),"")</f>
        <v/>
      </c>
      <c r="X19" s="94" t="str">
        <f>IFERROR(VLOOKUP(TraženjeUčenika,NazočnostZaRujan[],24,FALSE),"")</f>
        <v/>
      </c>
      <c r="Y19" s="94" t="str">
        <f>IFERROR(VLOOKUP(TraženjeUčenika,NazočnostZaRujan[],25,FALSE),"")</f>
        <v/>
      </c>
      <c r="Z19" s="94" t="str">
        <f>IFERROR(VLOOKUP(TraženjeUčenika,NazočnostZaRujan[],26,FALSE),"")</f>
        <v/>
      </c>
      <c r="AA19" s="94" t="str">
        <f>IFERROR(VLOOKUP(TraženjeUčenika,NazočnostZaRujan[],27,FALSE),"")</f>
        <v/>
      </c>
      <c r="AB19" s="94" t="str">
        <f>IFERROR(VLOOKUP(TraženjeUčenika,NazočnostZaRujan[],28,FALSE),"")</f>
        <v/>
      </c>
      <c r="AC19" s="94" t="str">
        <f>IFERROR(VLOOKUP(TraženjeUčenika,NazočnostZaRujan[],29,FALSE),"")</f>
        <v/>
      </c>
      <c r="AD19" s="94" t="str">
        <f>IFERROR(VLOOKUP(TraženjeUčenika,NazočnostZaRujan[],30,FALSE),"")</f>
        <v/>
      </c>
      <c r="AE19" s="94" t="str">
        <f>IFERROR(VLOOKUP(TraženjeUčenika,NazočnostZaRujan[],31,FALSE),"")</f>
        <v/>
      </c>
      <c r="AF19" s="94" t="str">
        <f>IFERROR(VLOOKUP(TraženjeUčenika,NazočnostZaRujan[],32,FALSE),"")</f>
        <v/>
      </c>
      <c r="AG19" s="94"/>
      <c r="AH19" s="138"/>
      <c r="AI19" s="138"/>
      <c r="AJ19" s="138"/>
      <c r="AK19" s="138"/>
    </row>
    <row r="20" spans="2:37" ht="14.25" x14ac:dyDescent="0.25">
      <c r="B20" s="136" t="s">
        <v>58</v>
      </c>
      <c r="C20" s="95">
        <v>1</v>
      </c>
      <c r="D20" s="95">
        <v>2</v>
      </c>
      <c r="E20" s="95">
        <v>3</v>
      </c>
      <c r="F20" s="95">
        <v>4</v>
      </c>
      <c r="G20" s="95">
        <v>5</v>
      </c>
      <c r="H20" s="95">
        <v>6</v>
      </c>
      <c r="I20" s="95">
        <v>7</v>
      </c>
      <c r="J20" s="95">
        <v>8</v>
      </c>
      <c r="K20" s="95">
        <v>9</v>
      </c>
      <c r="L20" s="95">
        <v>10</v>
      </c>
      <c r="M20" s="95">
        <v>11</v>
      </c>
      <c r="N20" s="95">
        <v>12</v>
      </c>
      <c r="O20" s="95">
        <v>13</v>
      </c>
      <c r="P20" s="95">
        <v>14</v>
      </c>
      <c r="Q20" s="95">
        <v>15</v>
      </c>
      <c r="R20" s="95">
        <v>16</v>
      </c>
      <c r="S20" s="95">
        <v>17</v>
      </c>
      <c r="T20" s="95">
        <v>18</v>
      </c>
      <c r="U20" s="95">
        <v>19</v>
      </c>
      <c r="V20" s="95">
        <v>20</v>
      </c>
      <c r="W20" s="95">
        <v>21</v>
      </c>
      <c r="X20" s="95">
        <v>22</v>
      </c>
      <c r="Y20" s="95">
        <v>23</v>
      </c>
      <c r="Z20" s="95">
        <v>24</v>
      </c>
      <c r="AA20" s="95">
        <v>25</v>
      </c>
      <c r="AB20" s="95">
        <v>26</v>
      </c>
      <c r="AC20" s="95">
        <v>27</v>
      </c>
      <c r="AD20" s="95">
        <v>28</v>
      </c>
      <c r="AE20" s="95">
        <v>29</v>
      </c>
      <c r="AF20" s="95">
        <v>30</v>
      </c>
      <c r="AG20" s="95">
        <v>31</v>
      </c>
      <c r="AH20" s="138">
        <f>COUNTIF($D21:$AH21,Šifra1)</f>
        <v>0</v>
      </c>
      <c r="AI20" s="138">
        <f>COUNTIF($D21:$AH21,Šifra2)</f>
        <v>0</v>
      </c>
      <c r="AJ20" s="138">
        <f>COUNTIF($D21:$AH21,Šifra3)</f>
        <v>0</v>
      </c>
      <c r="AK20" s="138">
        <f>COUNTIF($D21:$AH21,Šifra4)</f>
        <v>0</v>
      </c>
    </row>
    <row r="21" spans="2:37" ht="14.25" x14ac:dyDescent="0.25">
      <c r="B21" s="136"/>
      <c r="C21" s="94" t="str">
        <f>IFERROR(VLOOKUP(TraženjeUčenika,NazočnostZaListopad[],3,FALSE),"")</f>
        <v/>
      </c>
      <c r="D21" s="94" t="str">
        <f>IFERROR(VLOOKUP(TraženjeUčenika,NazočnostZaListopad[],4,FALSE),"")</f>
        <v/>
      </c>
      <c r="E21" s="94" t="str">
        <f>IFERROR(VLOOKUP(TraženjeUčenika,NazočnostZaListopad[],5,FALSE),"")</f>
        <v/>
      </c>
      <c r="F21" s="94" t="str">
        <f>IFERROR(VLOOKUP(TraženjeUčenika,NazočnostZaListopad[],6,FALSE),"")</f>
        <v/>
      </c>
      <c r="G21" s="94" t="str">
        <f>IFERROR(VLOOKUP(TraženjeUčenika,NazočnostZaListopad[],7,FALSE),"")</f>
        <v/>
      </c>
      <c r="H21" s="94" t="str">
        <f>IFERROR(VLOOKUP(TraženjeUčenika,NazočnostZaListopad[],8,FALSE),"")</f>
        <v/>
      </c>
      <c r="I21" s="94" t="str">
        <f>IFERROR(VLOOKUP(TraženjeUčenika,NazočnostZaListopad[],9,FALSE),"")</f>
        <v/>
      </c>
      <c r="J21" s="94" t="str">
        <f>IFERROR(VLOOKUP(TraženjeUčenika,NazočnostZaListopad[],10,FALSE),"")</f>
        <v/>
      </c>
      <c r="K21" s="94" t="str">
        <f>IFERROR(VLOOKUP(TraženjeUčenika,NazočnostZaListopad[],11,FALSE),"")</f>
        <v/>
      </c>
      <c r="L21" s="94" t="str">
        <f>IFERROR(VLOOKUP(TraženjeUčenika,NazočnostZaListopad[],12,FALSE),"")</f>
        <v/>
      </c>
      <c r="M21" s="94" t="str">
        <f>IFERROR(VLOOKUP(TraženjeUčenika,NazočnostZaListopad[],13,FALSE),"")</f>
        <v/>
      </c>
      <c r="N21" s="94" t="str">
        <f>IFERROR(VLOOKUP(TraženjeUčenika,NazočnostZaListopad[],14,FALSE),"")</f>
        <v/>
      </c>
      <c r="O21" s="94" t="str">
        <f>IFERROR(VLOOKUP(TraženjeUčenika,NazočnostZaListopad[],15,FALSE),"")</f>
        <v/>
      </c>
      <c r="P21" s="94" t="str">
        <f>IFERROR(VLOOKUP(TraženjeUčenika,NazočnostZaListopad[],16,FALSE),"")</f>
        <v/>
      </c>
      <c r="Q21" s="94" t="str">
        <f>IFERROR(VLOOKUP(TraženjeUčenika,NazočnostZaListopad[],17,FALSE),"")</f>
        <v/>
      </c>
      <c r="R21" s="94" t="str">
        <f>IFERROR(VLOOKUP(TraženjeUčenika,NazočnostZaListopad[],18,FALSE),"")</f>
        <v/>
      </c>
      <c r="S21" s="94" t="str">
        <f>IFERROR(VLOOKUP(TraženjeUčenika,NazočnostZaListopad[],19,FALSE),"")</f>
        <v/>
      </c>
      <c r="T21" s="94" t="str">
        <f>IFERROR(VLOOKUP(TraženjeUčenika,NazočnostZaListopad[],20,FALSE),"")</f>
        <v/>
      </c>
      <c r="U21" s="94" t="str">
        <f>IFERROR(VLOOKUP(TraženjeUčenika,NazočnostZaListopad[],21,FALSE),"")</f>
        <v/>
      </c>
      <c r="V21" s="94" t="str">
        <f>IFERROR(VLOOKUP(TraženjeUčenika,NazočnostZaListopad[],22,FALSE),"")</f>
        <v/>
      </c>
      <c r="W21" s="94" t="str">
        <f>IFERROR(VLOOKUP(TraženjeUčenika,NazočnostZaListopad[],23,FALSE),"")</f>
        <v/>
      </c>
      <c r="X21" s="94" t="str">
        <f>IFERROR(VLOOKUP(TraženjeUčenika,NazočnostZaListopad[],24,FALSE),"")</f>
        <v/>
      </c>
      <c r="Y21" s="94" t="str">
        <f>IFERROR(VLOOKUP(TraženjeUčenika,NazočnostZaListopad[],25,FALSE),"")</f>
        <v/>
      </c>
      <c r="Z21" s="94" t="str">
        <f>IFERROR(VLOOKUP(TraženjeUčenika,NazočnostZaListopad[],26,FALSE),"")</f>
        <v/>
      </c>
      <c r="AA21" s="94" t="str">
        <f>IFERROR(VLOOKUP(TraženjeUčenika,NazočnostZaListopad[],27,FALSE),"")</f>
        <v/>
      </c>
      <c r="AB21" s="94" t="str">
        <f>IFERROR(VLOOKUP(TraženjeUčenika,NazočnostZaListopad[],28,FALSE),"")</f>
        <v/>
      </c>
      <c r="AC21" s="94" t="str">
        <f>IFERROR(VLOOKUP(TraženjeUčenika,NazočnostZaListopad[],29,FALSE),"")</f>
        <v/>
      </c>
      <c r="AD21" s="94" t="str">
        <f>IFERROR(VLOOKUP(TraženjeUčenika,NazočnostZaListopad[],30,FALSE),"")</f>
        <v/>
      </c>
      <c r="AE21" s="94" t="str">
        <f>IFERROR(VLOOKUP(TraženjeUčenika,NazočnostZaListopad[],31,FALSE),"")</f>
        <v/>
      </c>
      <c r="AF21" s="94" t="str">
        <f>IFERROR(VLOOKUP(TraženjeUčenika,NazočnostZaListopad[],32,FALSE),"")</f>
        <v/>
      </c>
      <c r="AG21" s="94" t="str">
        <f>IFERROR(VLOOKUP(TraženjeUčenika,NazočnostZaListopad[],33,FALSE),"")</f>
        <v/>
      </c>
      <c r="AH21" s="138"/>
      <c r="AI21" s="138"/>
      <c r="AJ21" s="138"/>
      <c r="AK21" s="138"/>
    </row>
    <row r="22" spans="2:37" ht="14.25" x14ac:dyDescent="0.25">
      <c r="B22" s="136" t="s">
        <v>59</v>
      </c>
      <c r="C22" s="95">
        <v>1</v>
      </c>
      <c r="D22" s="95">
        <v>2</v>
      </c>
      <c r="E22" s="95">
        <v>3</v>
      </c>
      <c r="F22" s="95">
        <v>4</v>
      </c>
      <c r="G22" s="95">
        <v>5</v>
      </c>
      <c r="H22" s="95">
        <v>6</v>
      </c>
      <c r="I22" s="95">
        <v>7</v>
      </c>
      <c r="J22" s="95">
        <v>8</v>
      </c>
      <c r="K22" s="95">
        <v>9</v>
      </c>
      <c r="L22" s="95">
        <v>10</v>
      </c>
      <c r="M22" s="95">
        <v>11</v>
      </c>
      <c r="N22" s="95">
        <v>12</v>
      </c>
      <c r="O22" s="95">
        <v>13</v>
      </c>
      <c r="P22" s="95">
        <v>14</v>
      </c>
      <c r="Q22" s="95">
        <v>15</v>
      </c>
      <c r="R22" s="95">
        <v>16</v>
      </c>
      <c r="S22" s="95">
        <v>17</v>
      </c>
      <c r="T22" s="95">
        <v>18</v>
      </c>
      <c r="U22" s="95">
        <v>19</v>
      </c>
      <c r="V22" s="95">
        <v>20</v>
      </c>
      <c r="W22" s="95">
        <v>21</v>
      </c>
      <c r="X22" s="95">
        <v>22</v>
      </c>
      <c r="Y22" s="95">
        <v>23</v>
      </c>
      <c r="Z22" s="95">
        <v>24</v>
      </c>
      <c r="AA22" s="95">
        <v>25</v>
      </c>
      <c r="AB22" s="95">
        <v>26</v>
      </c>
      <c r="AC22" s="95">
        <v>27</v>
      </c>
      <c r="AD22" s="95">
        <v>28</v>
      </c>
      <c r="AE22" s="95">
        <v>29</v>
      </c>
      <c r="AF22" s="95">
        <v>30</v>
      </c>
      <c r="AG22" s="95"/>
      <c r="AH22" s="138">
        <f>COUNTIF($D23:$AH23,Šifra1)</f>
        <v>0</v>
      </c>
      <c r="AI22" s="138">
        <f>COUNTIF($D23:$AH23,Šifra2)</f>
        <v>0</v>
      </c>
      <c r="AJ22" s="138">
        <f>COUNTIF($D23:$AH23,Šifra3)</f>
        <v>0</v>
      </c>
      <c r="AK22" s="138">
        <f>COUNTIF($D23:$AH23,Šifra4)</f>
        <v>0</v>
      </c>
    </row>
    <row r="23" spans="2:37" ht="14.25" x14ac:dyDescent="0.25">
      <c r="B23" s="136"/>
      <c r="C23" s="94" t="str">
        <f>IFERROR(VLOOKUP(TraženjeUčenika,NazočnostZaStudeni[],3,FALSE),"")</f>
        <v/>
      </c>
      <c r="D23" s="94" t="str">
        <f>IFERROR(VLOOKUP(TraženjeUčenika,NazočnostZaStudeni[],4,FALSE),"")</f>
        <v/>
      </c>
      <c r="E23" s="94" t="str">
        <f>IFERROR(VLOOKUP(TraženjeUčenika,NazočnostZaStudeni[],5,FALSE),"")</f>
        <v/>
      </c>
      <c r="F23" s="94" t="str">
        <f>IFERROR(VLOOKUP(TraženjeUčenika,NazočnostZaStudeni[],6,FALSE),"")</f>
        <v/>
      </c>
      <c r="G23" s="94" t="str">
        <f>IFERROR(VLOOKUP(TraženjeUčenika,NazočnostZaStudeni[],7,FALSE),"")</f>
        <v/>
      </c>
      <c r="H23" s="94" t="str">
        <f>IFERROR(VLOOKUP(TraženjeUčenika,NazočnostZaStudeni[],8,FALSE),"")</f>
        <v/>
      </c>
      <c r="I23" s="94" t="str">
        <f>IFERROR(VLOOKUP(TraženjeUčenika,NazočnostZaStudeni[],9,FALSE),"")</f>
        <v/>
      </c>
      <c r="J23" s="94" t="str">
        <f>IFERROR(VLOOKUP(TraženjeUčenika,NazočnostZaStudeni[],10,FALSE),"")</f>
        <v/>
      </c>
      <c r="K23" s="94" t="str">
        <f>IFERROR(VLOOKUP(TraženjeUčenika,NazočnostZaStudeni[],11,FALSE),"")</f>
        <v/>
      </c>
      <c r="L23" s="94" t="str">
        <f>IFERROR(VLOOKUP(TraženjeUčenika,NazočnostZaStudeni[],12,FALSE),"")</f>
        <v/>
      </c>
      <c r="M23" s="94" t="str">
        <f>IFERROR(VLOOKUP(TraženjeUčenika,NazočnostZaStudeni[],13,FALSE),"")</f>
        <v/>
      </c>
      <c r="N23" s="94" t="str">
        <f>IFERROR(VLOOKUP(TraženjeUčenika,NazočnostZaStudeni[],14,FALSE),"")</f>
        <v/>
      </c>
      <c r="O23" s="94" t="str">
        <f>IFERROR(VLOOKUP(TraženjeUčenika,NazočnostZaStudeni[],15,FALSE),"")</f>
        <v/>
      </c>
      <c r="P23" s="94" t="str">
        <f>IFERROR(VLOOKUP(TraženjeUčenika,NazočnostZaStudeni[],16,FALSE),"")</f>
        <v/>
      </c>
      <c r="Q23" s="94" t="str">
        <f>IFERROR(VLOOKUP(TraženjeUčenika,NazočnostZaStudeni[],17,FALSE),"")</f>
        <v/>
      </c>
      <c r="R23" s="94" t="str">
        <f>IFERROR(VLOOKUP(TraženjeUčenika,NazočnostZaStudeni[],18,FALSE),"")</f>
        <v/>
      </c>
      <c r="S23" s="94" t="str">
        <f>IFERROR(VLOOKUP(TraženjeUčenika,NazočnostZaStudeni[],19,FALSE),"")</f>
        <v/>
      </c>
      <c r="T23" s="94" t="str">
        <f>IFERROR(VLOOKUP(TraženjeUčenika,NazočnostZaStudeni[],20,FALSE),"")</f>
        <v/>
      </c>
      <c r="U23" s="94" t="str">
        <f>IFERROR(VLOOKUP(TraženjeUčenika,NazočnostZaStudeni[],21,FALSE),"")</f>
        <v/>
      </c>
      <c r="V23" s="94" t="str">
        <f>IFERROR(VLOOKUP(TraženjeUčenika,NazočnostZaStudeni[],22,FALSE),"")</f>
        <v/>
      </c>
      <c r="W23" s="94" t="str">
        <f>IFERROR(VLOOKUP(TraženjeUčenika,NazočnostZaStudeni[],23,FALSE),"")</f>
        <v/>
      </c>
      <c r="X23" s="94" t="str">
        <f>IFERROR(VLOOKUP(TraženjeUčenika,NazočnostZaStudeni[],24,FALSE),"")</f>
        <v/>
      </c>
      <c r="Y23" s="94" t="str">
        <f>IFERROR(VLOOKUP(TraženjeUčenika,NazočnostZaStudeni[],25,FALSE),"")</f>
        <v/>
      </c>
      <c r="Z23" s="94" t="str">
        <f>IFERROR(VLOOKUP(TraženjeUčenika,NazočnostZaStudeni[],26,FALSE),"")</f>
        <v/>
      </c>
      <c r="AA23" s="94" t="str">
        <f>IFERROR(VLOOKUP(TraženjeUčenika,NazočnostZaStudeni[],27,FALSE),"")</f>
        <v/>
      </c>
      <c r="AB23" s="94" t="str">
        <f>IFERROR(VLOOKUP(TraženjeUčenika,NazočnostZaStudeni[],28,FALSE),"")</f>
        <v/>
      </c>
      <c r="AC23" s="94" t="str">
        <f>IFERROR(VLOOKUP(TraženjeUčenika,NazočnostZaStudeni[],29,FALSE),"")</f>
        <v/>
      </c>
      <c r="AD23" s="94" t="str">
        <f>IFERROR(VLOOKUP(TraženjeUčenika,NazočnostZaStudeni[],30,FALSE),"")</f>
        <v/>
      </c>
      <c r="AE23" s="94" t="str">
        <f>IFERROR(VLOOKUP(TraženjeUčenika,NazočnostZaStudeni[],31,FALSE),"")</f>
        <v/>
      </c>
      <c r="AF23" s="94" t="str">
        <f>IFERROR(VLOOKUP(TraženjeUčenika,NazočnostZaStudeni[],32,FALSE),"")</f>
        <v/>
      </c>
      <c r="AG23" s="94"/>
      <c r="AH23" s="138"/>
      <c r="AI23" s="138"/>
      <c r="AJ23" s="138"/>
      <c r="AK23" s="138"/>
    </row>
    <row r="24" spans="2:37" ht="14.25" x14ac:dyDescent="0.25">
      <c r="B24" s="136" t="s">
        <v>60</v>
      </c>
      <c r="C24" s="95">
        <v>1</v>
      </c>
      <c r="D24" s="95">
        <v>2</v>
      </c>
      <c r="E24" s="95">
        <v>3</v>
      </c>
      <c r="F24" s="95">
        <v>4</v>
      </c>
      <c r="G24" s="95">
        <v>5</v>
      </c>
      <c r="H24" s="95">
        <v>6</v>
      </c>
      <c r="I24" s="95">
        <v>7</v>
      </c>
      <c r="J24" s="95">
        <v>8</v>
      </c>
      <c r="K24" s="95">
        <v>9</v>
      </c>
      <c r="L24" s="95">
        <v>10</v>
      </c>
      <c r="M24" s="95">
        <v>11</v>
      </c>
      <c r="N24" s="95">
        <v>12</v>
      </c>
      <c r="O24" s="95">
        <v>13</v>
      </c>
      <c r="P24" s="95">
        <v>14</v>
      </c>
      <c r="Q24" s="95">
        <v>15</v>
      </c>
      <c r="R24" s="95">
        <v>16</v>
      </c>
      <c r="S24" s="95">
        <v>17</v>
      </c>
      <c r="T24" s="95">
        <v>18</v>
      </c>
      <c r="U24" s="95">
        <v>19</v>
      </c>
      <c r="V24" s="95">
        <v>20</v>
      </c>
      <c r="W24" s="95">
        <v>21</v>
      </c>
      <c r="X24" s="95">
        <v>22</v>
      </c>
      <c r="Y24" s="95">
        <v>23</v>
      </c>
      <c r="Z24" s="95">
        <v>24</v>
      </c>
      <c r="AA24" s="95">
        <v>25</v>
      </c>
      <c r="AB24" s="95">
        <v>26</v>
      </c>
      <c r="AC24" s="95">
        <v>27</v>
      </c>
      <c r="AD24" s="95">
        <v>28</v>
      </c>
      <c r="AE24" s="95">
        <v>29</v>
      </c>
      <c r="AF24" s="95">
        <v>30</v>
      </c>
      <c r="AG24" s="95">
        <v>31</v>
      </c>
      <c r="AH24" s="138">
        <f>COUNTIF($D25:$AH25,Šifra1)</f>
        <v>0</v>
      </c>
      <c r="AI24" s="138">
        <f>COUNTIF($D25:$AH25,Šifra2)</f>
        <v>0</v>
      </c>
      <c r="AJ24" s="138">
        <f>COUNTIF($D25:$AH25,Šifra3)</f>
        <v>0</v>
      </c>
      <c r="AK24" s="138">
        <f>COUNTIF($D25:$AH25,Šifra4)</f>
        <v>0</v>
      </c>
    </row>
    <row r="25" spans="2:37" ht="14.25" x14ac:dyDescent="0.25">
      <c r="B25" s="136"/>
      <c r="C25" s="94" t="str">
        <f>IFERROR(VLOOKUP(TraženjeUčenika,NazočnostZaProsinac[],3,FALSE),"")</f>
        <v/>
      </c>
      <c r="D25" s="94" t="str">
        <f>IFERROR(VLOOKUP(TraženjeUčenika,NazočnostZaProsinac[],4,FALSE),"")</f>
        <v/>
      </c>
      <c r="E25" s="94" t="str">
        <f>IFERROR(VLOOKUP(TraženjeUčenika,NazočnostZaProsinac[],5,FALSE),"")</f>
        <v/>
      </c>
      <c r="F25" s="94" t="str">
        <f>IFERROR(VLOOKUP(TraženjeUčenika,NazočnostZaProsinac[],6,FALSE),"")</f>
        <v/>
      </c>
      <c r="G25" s="94" t="str">
        <f>IFERROR(VLOOKUP(TraženjeUčenika,NazočnostZaProsinac[],7,FALSE),"")</f>
        <v/>
      </c>
      <c r="H25" s="94" t="str">
        <f>IFERROR(VLOOKUP(TraženjeUčenika,NazočnostZaProsinac[],8,FALSE),"")</f>
        <v/>
      </c>
      <c r="I25" s="94" t="str">
        <f>IFERROR(VLOOKUP(TraženjeUčenika,NazočnostZaProsinac[],9,FALSE),"")</f>
        <v/>
      </c>
      <c r="J25" s="94" t="str">
        <f>IFERROR(VLOOKUP(TraženjeUčenika,NazočnostZaProsinac[],10,FALSE),"")</f>
        <v/>
      </c>
      <c r="K25" s="94" t="str">
        <f>IFERROR(VLOOKUP(TraženjeUčenika,NazočnostZaProsinac[],11,FALSE),"")</f>
        <v/>
      </c>
      <c r="L25" s="94" t="str">
        <f>IFERROR(VLOOKUP(TraženjeUčenika,NazočnostZaProsinac[],12,FALSE),"")</f>
        <v/>
      </c>
      <c r="M25" s="94" t="str">
        <f>IFERROR(VLOOKUP(TraženjeUčenika,NazočnostZaProsinac[],13,FALSE),"")</f>
        <v/>
      </c>
      <c r="N25" s="94" t="str">
        <f>IFERROR(VLOOKUP(TraženjeUčenika,NazočnostZaProsinac[],14,FALSE),"")</f>
        <v/>
      </c>
      <c r="O25" s="94" t="str">
        <f>IFERROR(VLOOKUP(TraženjeUčenika,NazočnostZaProsinac[],15,FALSE),"")</f>
        <v/>
      </c>
      <c r="P25" s="94" t="str">
        <f>IFERROR(VLOOKUP(TraženjeUčenika,NazočnostZaProsinac[],16,FALSE),"")</f>
        <v/>
      </c>
      <c r="Q25" s="94" t="str">
        <f>IFERROR(VLOOKUP(TraženjeUčenika,NazočnostZaProsinac[],17,FALSE),"")</f>
        <v/>
      </c>
      <c r="R25" s="94" t="str">
        <f>IFERROR(VLOOKUP(TraženjeUčenika,NazočnostZaProsinac[],18,FALSE),"")</f>
        <v/>
      </c>
      <c r="S25" s="94" t="str">
        <f>IFERROR(VLOOKUP(TraženjeUčenika,NazočnostZaProsinac[],19,FALSE),"")</f>
        <v/>
      </c>
      <c r="T25" s="94" t="str">
        <f>IFERROR(VLOOKUP(TraženjeUčenika,NazočnostZaProsinac[],20,FALSE),"")</f>
        <v/>
      </c>
      <c r="U25" s="94" t="str">
        <f>IFERROR(VLOOKUP(TraženjeUčenika,NazočnostZaProsinac[],21,FALSE),"")</f>
        <v/>
      </c>
      <c r="V25" s="94" t="str">
        <f>IFERROR(VLOOKUP(TraženjeUčenika,NazočnostZaProsinac[],22,FALSE),"")</f>
        <v/>
      </c>
      <c r="W25" s="94" t="str">
        <f>IFERROR(VLOOKUP(TraženjeUčenika,NazočnostZaProsinac[],23,FALSE),"")</f>
        <v/>
      </c>
      <c r="X25" s="94" t="str">
        <f>IFERROR(VLOOKUP(TraženjeUčenika,NazočnostZaProsinac[],24,FALSE),"")</f>
        <v/>
      </c>
      <c r="Y25" s="94" t="str">
        <f>IFERROR(VLOOKUP(TraženjeUčenika,NazočnostZaProsinac[],25,FALSE),"")</f>
        <v/>
      </c>
      <c r="Z25" s="94" t="str">
        <f>IFERROR(VLOOKUP(TraženjeUčenika,NazočnostZaProsinac[],26,FALSE),"")</f>
        <v/>
      </c>
      <c r="AA25" s="94" t="str">
        <f>IFERROR(VLOOKUP(TraženjeUčenika,NazočnostZaProsinac[],27,FALSE),"")</f>
        <v/>
      </c>
      <c r="AB25" s="94" t="str">
        <f>IFERROR(VLOOKUP(TraženjeUčenika,NazočnostZaProsinac[],28,FALSE),"")</f>
        <v/>
      </c>
      <c r="AC25" s="94" t="str">
        <f>IFERROR(VLOOKUP(TraženjeUčenika,NazočnostZaProsinac[],29,FALSE),"")</f>
        <v/>
      </c>
      <c r="AD25" s="94" t="str">
        <f>IFERROR(VLOOKUP(TraženjeUčenika,NazočnostZaProsinac[],30,FALSE),"")</f>
        <v/>
      </c>
      <c r="AE25" s="94" t="str">
        <f>IFERROR(VLOOKUP(TraženjeUčenika,NazočnostZaProsinac[],31,FALSE),"")</f>
        <v/>
      </c>
      <c r="AF25" s="94" t="str">
        <f>IFERROR(VLOOKUP(TraženjeUčenika,NazočnostZaProsinac[],32,FALSE),"")</f>
        <v/>
      </c>
      <c r="AG25" s="94" t="str">
        <f>IFERROR(VLOOKUP(TraženjeUčenika,NazočnostZaProsinac[],33,FALSE),"")</f>
        <v/>
      </c>
      <c r="AH25" s="138"/>
      <c r="AI25" s="138"/>
      <c r="AJ25" s="138"/>
      <c r="AK25" s="138"/>
    </row>
    <row r="26" spans="2:37" ht="14.25" x14ac:dyDescent="0.25">
      <c r="B26" s="136" t="s">
        <v>61</v>
      </c>
      <c r="C26" s="95">
        <v>1</v>
      </c>
      <c r="D26" s="95">
        <v>2</v>
      </c>
      <c r="E26" s="95">
        <v>3</v>
      </c>
      <c r="F26" s="95">
        <v>4</v>
      </c>
      <c r="G26" s="95">
        <v>5</v>
      </c>
      <c r="H26" s="95">
        <v>6</v>
      </c>
      <c r="I26" s="95">
        <v>7</v>
      </c>
      <c r="J26" s="95">
        <v>8</v>
      </c>
      <c r="K26" s="95">
        <v>9</v>
      </c>
      <c r="L26" s="95">
        <v>10</v>
      </c>
      <c r="M26" s="95">
        <v>11</v>
      </c>
      <c r="N26" s="95">
        <v>12</v>
      </c>
      <c r="O26" s="95">
        <v>13</v>
      </c>
      <c r="P26" s="95">
        <v>14</v>
      </c>
      <c r="Q26" s="95">
        <v>15</v>
      </c>
      <c r="R26" s="95">
        <v>16</v>
      </c>
      <c r="S26" s="95">
        <v>17</v>
      </c>
      <c r="T26" s="95">
        <v>18</v>
      </c>
      <c r="U26" s="95">
        <v>19</v>
      </c>
      <c r="V26" s="95">
        <v>20</v>
      </c>
      <c r="W26" s="95">
        <v>21</v>
      </c>
      <c r="X26" s="95">
        <v>22</v>
      </c>
      <c r="Y26" s="95">
        <v>23</v>
      </c>
      <c r="Z26" s="95">
        <v>24</v>
      </c>
      <c r="AA26" s="95">
        <v>25</v>
      </c>
      <c r="AB26" s="95">
        <v>26</v>
      </c>
      <c r="AC26" s="95">
        <v>27</v>
      </c>
      <c r="AD26" s="95">
        <v>28</v>
      </c>
      <c r="AE26" s="95">
        <v>29</v>
      </c>
      <c r="AF26" s="95">
        <v>30</v>
      </c>
      <c r="AG26" s="95">
        <v>31</v>
      </c>
      <c r="AH26" s="138">
        <f>COUNTIF($D27:$AH27,Šifra1)</f>
        <v>0</v>
      </c>
      <c r="AI26" s="138">
        <f>COUNTIF($D27:$AH27,Šifra2)</f>
        <v>0</v>
      </c>
      <c r="AJ26" s="138">
        <f>COUNTIF($D27:$AH27,Šifra3)</f>
        <v>0</v>
      </c>
      <c r="AK26" s="138">
        <f>COUNTIF($D27:$AH27,Šifra4)</f>
        <v>0</v>
      </c>
    </row>
    <row r="27" spans="2:37" ht="14.25" x14ac:dyDescent="0.25">
      <c r="B27" s="136"/>
      <c r="C27" s="94" t="str">
        <f>IFERROR(VLOOKUP(TraženjeUčenika,NazočnostZaSiječanj[],3,FALSE),"")</f>
        <v/>
      </c>
      <c r="D27" s="94" t="str">
        <f>IFERROR(VLOOKUP(TraženjeUčenika,NazočnostZaSiječanj[],4,FALSE),"")</f>
        <v/>
      </c>
      <c r="E27" s="94" t="str">
        <f>IFERROR(VLOOKUP(TraženjeUčenika,NazočnostZaSiječanj[],5,FALSE),"")</f>
        <v/>
      </c>
      <c r="F27" s="94" t="str">
        <f>IFERROR(VLOOKUP(TraženjeUčenika,NazočnostZaSiječanj[],6,FALSE),"")</f>
        <v/>
      </c>
      <c r="G27" s="94" t="str">
        <f>IFERROR(VLOOKUP(TraženjeUčenika,NazočnostZaSiječanj[],7,FALSE),"")</f>
        <v/>
      </c>
      <c r="H27" s="94" t="str">
        <f>IFERROR(VLOOKUP(TraženjeUčenika,NazočnostZaSiječanj[],8,FALSE),"")</f>
        <v/>
      </c>
      <c r="I27" s="94" t="str">
        <f>IFERROR(VLOOKUP(TraženjeUčenika,NazočnostZaSiječanj[],9,FALSE),"")</f>
        <v/>
      </c>
      <c r="J27" s="94" t="str">
        <f>IFERROR(VLOOKUP(TraženjeUčenika,NazočnostZaSiječanj[],10,FALSE),"")</f>
        <v/>
      </c>
      <c r="K27" s="94" t="str">
        <f>IFERROR(VLOOKUP(TraženjeUčenika,NazočnostZaSiječanj[],11,FALSE),"")</f>
        <v/>
      </c>
      <c r="L27" s="94" t="str">
        <f>IFERROR(VLOOKUP(TraženjeUčenika,NazočnostZaSiječanj[],12,FALSE),"")</f>
        <v/>
      </c>
      <c r="M27" s="94" t="str">
        <f>IFERROR(VLOOKUP(TraženjeUčenika,NazočnostZaSiječanj[],13,FALSE),"")</f>
        <v/>
      </c>
      <c r="N27" s="94" t="str">
        <f>IFERROR(VLOOKUP(TraženjeUčenika,NazočnostZaSiječanj[],14,FALSE),"")</f>
        <v/>
      </c>
      <c r="O27" s="94" t="str">
        <f>IFERROR(VLOOKUP(TraženjeUčenika,NazočnostZaSiječanj[],15,FALSE),"")</f>
        <v/>
      </c>
      <c r="P27" s="94" t="str">
        <f>IFERROR(VLOOKUP(TraženjeUčenika,NazočnostZaSiječanj[],16,FALSE),"")</f>
        <v/>
      </c>
      <c r="Q27" s="94" t="str">
        <f>IFERROR(VLOOKUP(TraženjeUčenika,NazočnostZaSiječanj[],17,FALSE),"")</f>
        <v/>
      </c>
      <c r="R27" s="94" t="str">
        <f>IFERROR(VLOOKUP(TraženjeUčenika,NazočnostZaSiječanj[],18,FALSE),"")</f>
        <v/>
      </c>
      <c r="S27" s="94" t="str">
        <f>IFERROR(VLOOKUP(TraženjeUčenika,NazočnostZaSiječanj[],19,FALSE),"")</f>
        <v/>
      </c>
      <c r="T27" s="94" t="str">
        <f>IFERROR(VLOOKUP(TraženjeUčenika,NazočnostZaSiječanj[],20,FALSE),"")</f>
        <v/>
      </c>
      <c r="U27" s="94" t="str">
        <f>IFERROR(VLOOKUP(TraženjeUčenika,NazočnostZaSiječanj[],21,FALSE),"")</f>
        <v/>
      </c>
      <c r="V27" s="94" t="str">
        <f>IFERROR(VLOOKUP(TraženjeUčenika,NazočnostZaSiječanj[],22,FALSE),"")</f>
        <v/>
      </c>
      <c r="W27" s="94" t="str">
        <f>IFERROR(VLOOKUP(TraženjeUčenika,NazočnostZaSiječanj[],23,FALSE),"")</f>
        <v/>
      </c>
      <c r="X27" s="94" t="str">
        <f>IFERROR(VLOOKUP(TraženjeUčenika,NazočnostZaSiječanj[],24,FALSE),"")</f>
        <v/>
      </c>
      <c r="Y27" s="94" t="str">
        <f>IFERROR(VLOOKUP(TraženjeUčenika,NazočnostZaSiječanj[],25,FALSE),"")</f>
        <v/>
      </c>
      <c r="Z27" s="94" t="str">
        <f>IFERROR(VLOOKUP(TraženjeUčenika,NazočnostZaSiječanj[],26,FALSE),"")</f>
        <v/>
      </c>
      <c r="AA27" s="94" t="str">
        <f>IFERROR(VLOOKUP(TraženjeUčenika,NazočnostZaSiječanj[],27,FALSE),"")</f>
        <v/>
      </c>
      <c r="AB27" s="94" t="str">
        <f>IFERROR(VLOOKUP(TraženjeUčenika,NazočnostZaSiječanj[],28,FALSE),"")</f>
        <v/>
      </c>
      <c r="AC27" s="94" t="str">
        <f>IFERROR(VLOOKUP(TraženjeUčenika,NazočnostZaSiječanj[],29,FALSE),"")</f>
        <v/>
      </c>
      <c r="AD27" s="94" t="str">
        <f>IFERROR(VLOOKUP(TraženjeUčenika,NazočnostZaSiječanj[],30,FALSE),"")</f>
        <v/>
      </c>
      <c r="AE27" s="94" t="str">
        <f>IFERROR(VLOOKUP(TraženjeUčenika,NazočnostZaSiječanj[],31,FALSE),"")</f>
        <v/>
      </c>
      <c r="AF27" s="94" t="str">
        <f>IFERROR(VLOOKUP(TraženjeUčenika,NazočnostZaSiječanj[],32,FALSE),"")</f>
        <v/>
      </c>
      <c r="AG27" s="94" t="str">
        <f>IFERROR(VLOOKUP(TraženjeUčenika,NazočnostZaSiječanj[],33,FALSE),"")</f>
        <v/>
      </c>
      <c r="AH27" s="138"/>
      <c r="AI27" s="138"/>
      <c r="AJ27" s="138"/>
      <c r="AK27" s="138"/>
    </row>
    <row r="28" spans="2:37" ht="14.25" x14ac:dyDescent="0.25">
      <c r="B28" s="136" t="s">
        <v>62</v>
      </c>
      <c r="C28" s="95">
        <v>1</v>
      </c>
      <c r="D28" s="95">
        <v>2</v>
      </c>
      <c r="E28" s="95">
        <v>3</v>
      </c>
      <c r="F28" s="95">
        <v>4</v>
      </c>
      <c r="G28" s="95">
        <v>5</v>
      </c>
      <c r="H28" s="95">
        <v>6</v>
      </c>
      <c r="I28" s="95">
        <v>7</v>
      </c>
      <c r="J28" s="95">
        <v>8</v>
      </c>
      <c r="K28" s="95">
        <v>9</v>
      </c>
      <c r="L28" s="95">
        <v>10</v>
      </c>
      <c r="M28" s="95">
        <v>11</v>
      </c>
      <c r="N28" s="95">
        <v>12</v>
      </c>
      <c r="O28" s="95">
        <v>13</v>
      </c>
      <c r="P28" s="95">
        <v>14</v>
      </c>
      <c r="Q28" s="95">
        <v>15</v>
      </c>
      <c r="R28" s="95">
        <v>16</v>
      </c>
      <c r="S28" s="95">
        <v>17</v>
      </c>
      <c r="T28" s="95">
        <v>18</v>
      </c>
      <c r="U28" s="95">
        <v>19</v>
      </c>
      <c r="V28" s="95">
        <v>20</v>
      </c>
      <c r="W28" s="95">
        <v>21</v>
      </c>
      <c r="X28" s="95">
        <v>22</v>
      </c>
      <c r="Y28" s="95">
        <v>23</v>
      </c>
      <c r="Z28" s="95">
        <v>24</v>
      </c>
      <c r="AA28" s="95">
        <v>25</v>
      </c>
      <c r="AB28" s="95">
        <v>26</v>
      </c>
      <c r="AC28" s="95">
        <v>27</v>
      </c>
      <c r="AD28" s="95">
        <v>28</v>
      </c>
      <c r="AE28" s="95">
        <v>29</v>
      </c>
      <c r="AF28" s="95"/>
      <c r="AG28" s="95"/>
      <c r="AH28" s="138">
        <f>COUNTIF($D29:$AH29,Šifra1)</f>
        <v>0</v>
      </c>
      <c r="AI28" s="138">
        <f>COUNTIF($D29:$AH29,Šifra2)</f>
        <v>0</v>
      </c>
      <c r="AJ28" s="138">
        <f>COUNTIF($D29:$AH29,Šifra3)</f>
        <v>0</v>
      </c>
      <c r="AK28" s="138">
        <f>COUNTIF($D29:$AH29,Šifra4)</f>
        <v>0</v>
      </c>
    </row>
    <row r="29" spans="2:37" ht="14.25" x14ac:dyDescent="0.25">
      <c r="B29" s="136"/>
      <c r="C29" s="94" t="str">
        <f>IFERROR(VLOOKUP(TraženjeUčenika,NazočnostZaVeljaču[],3,FALSE),"")</f>
        <v/>
      </c>
      <c r="D29" s="94" t="str">
        <f>IFERROR(VLOOKUP(TraženjeUčenika,NazočnostZaVeljaču[],4,FALSE),"")</f>
        <v/>
      </c>
      <c r="E29" s="94" t="str">
        <f>IFERROR(VLOOKUP(TraženjeUčenika,NazočnostZaVeljaču[],5,FALSE),"")</f>
        <v/>
      </c>
      <c r="F29" s="94" t="str">
        <f>IFERROR(VLOOKUP(TraženjeUčenika,NazočnostZaVeljaču[],6,FALSE),"")</f>
        <v/>
      </c>
      <c r="G29" s="94" t="str">
        <f>IFERROR(VLOOKUP(TraženjeUčenika,NazočnostZaVeljaču[],7,FALSE),"")</f>
        <v/>
      </c>
      <c r="H29" s="94" t="str">
        <f>IFERROR(VLOOKUP(TraženjeUčenika,NazočnostZaVeljaču[],8,FALSE),"")</f>
        <v/>
      </c>
      <c r="I29" s="94" t="str">
        <f>IFERROR(VLOOKUP(TraženjeUčenika,NazočnostZaVeljaču[],9,FALSE),"")</f>
        <v/>
      </c>
      <c r="J29" s="94" t="str">
        <f>IFERROR(VLOOKUP(TraženjeUčenika,NazočnostZaVeljaču[],10,FALSE),"")</f>
        <v/>
      </c>
      <c r="K29" s="94" t="str">
        <f>IFERROR(VLOOKUP(TraženjeUčenika,NazočnostZaVeljaču[],11,FALSE),"")</f>
        <v/>
      </c>
      <c r="L29" s="94" t="str">
        <f>IFERROR(VLOOKUP(TraženjeUčenika,NazočnostZaVeljaču[],12,FALSE),"")</f>
        <v/>
      </c>
      <c r="M29" s="94" t="str">
        <f>IFERROR(VLOOKUP(TraženjeUčenika,NazočnostZaVeljaču[],13,FALSE),"")</f>
        <v/>
      </c>
      <c r="N29" s="94" t="str">
        <f>IFERROR(VLOOKUP(TraženjeUčenika,NazočnostZaVeljaču[],14,FALSE),"")</f>
        <v/>
      </c>
      <c r="O29" s="94" t="str">
        <f>IFERROR(VLOOKUP(TraženjeUčenika,NazočnostZaVeljaču[],15,FALSE),"")</f>
        <v/>
      </c>
      <c r="P29" s="94" t="str">
        <f>IFERROR(VLOOKUP(TraženjeUčenika,NazočnostZaVeljaču[],16,FALSE),"")</f>
        <v/>
      </c>
      <c r="Q29" s="94" t="str">
        <f>IFERROR(VLOOKUP(TraženjeUčenika,NazočnostZaVeljaču[],17,FALSE),"")</f>
        <v/>
      </c>
      <c r="R29" s="94" t="str">
        <f>IFERROR(VLOOKUP(TraženjeUčenika,NazočnostZaVeljaču[],18,FALSE),"")</f>
        <v/>
      </c>
      <c r="S29" s="94" t="str">
        <f>IFERROR(VLOOKUP(TraženjeUčenika,NazočnostZaVeljaču[],19,FALSE),"")</f>
        <v/>
      </c>
      <c r="T29" s="94" t="str">
        <f>IFERROR(VLOOKUP(TraženjeUčenika,NazočnostZaVeljaču[],20,FALSE),"")</f>
        <v/>
      </c>
      <c r="U29" s="94" t="str">
        <f>IFERROR(VLOOKUP(TraženjeUčenika,NazočnostZaVeljaču[],21,FALSE),"")</f>
        <v/>
      </c>
      <c r="V29" s="94" t="str">
        <f>IFERROR(VLOOKUP(TraženjeUčenika,NazočnostZaVeljaču[],22,FALSE),"")</f>
        <v/>
      </c>
      <c r="W29" s="94" t="str">
        <f>IFERROR(VLOOKUP(TraženjeUčenika,NazočnostZaVeljaču[],23,FALSE),"")</f>
        <v/>
      </c>
      <c r="X29" s="94" t="str">
        <f>IFERROR(VLOOKUP(TraženjeUčenika,NazočnostZaVeljaču[],24,FALSE),"")</f>
        <v/>
      </c>
      <c r="Y29" s="94" t="str">
        <f>IFERROR(VLOOKUP(TraženjeUčenika,NazočnostZaVeljaču[],25,FALSE),"")</f>
        <v/>
      </c>
      <c r="Z29" s="94" t="str">
        <f>IFERROR(VLOOKUP(TraženjeUčenika,NazočnostZaVeljaču[],26,FALSE),"")</f>
        <v/>
      </c>
      <c r="AA29" s="94" t="str">
        <f>IFERROR(VLOOKUP(TraženjeUčenika,NazočnostZaVeljaču[],27,FALSE),"")</f>
        <v/>
      </c>
      <c r="AB29" s="94" t="str">
        <f>IFERROR(VLOOKUP(TraženjeUčenika,NazočnostZaVeljaču[],28,FALSE),"")</f>
        <v/>
      </c>
      <c r="AC29" s="94" t="str">
        <f>IFERROR(VLOOKUP(TraženjeUčenika,NazočnostZaVeljaču[],29,FALSE),"")</f>
        <v/>
      </c>
      <c r="AD29" s="94" t="str">
        <f>IFERROR(VLOOKUP(TraženjeUčenika,NazočnostZaVeljaču[],30,FALSE),"")</f>
        <v/>
      </c>
      <c r="AE29" s="94" t="str">
        <f>IFERROR(VLOOKUP(TraženjeUčenika,NazočnostZaVeljaču[],31,FALSE),"")</f>
        <v/>
      </c>
      <c r="AF29" s="94"/>
      <c r="AG29" s="94"/>
      <c r="AH29" s="138"/>
      <c r="AI29" s="138"/>
      <c r="AJ29" s="138"/>
      <c r="AK29" s="138"/>
    </row>
    <row r="30" spans="2:37" ht="14.25" x14ac:dyDescent="0.25">
      <c r="B30" s="136" t="s">
        <v>63</v>
      </c>
      <c r="C30" s="95">
        <v>1</v>
      </c>
      <c r="D30" s="95">
        <v>2</v>
      </c>
      <c r="E30" s="95">
        <v>3</v>
      </c>
      <c r="F30" s="95">
        <v>4</v>
      </c>
      <c r="G30" s="95">
        <v>5</v>
      </c>
      <c r="H30" s="95">
        <v>6</v>
      </c>
      <c r="I30" s="95">
        <v>7</v>
      </c>
      <c r="J30" s="95">
        <v>8</v>
      </c>
      <c r="K30" s="95">
        <v>9</v>
      </c>
      <c r="L30" s="95">
        <v>10</v>
      </c>
      <c r="M30" s="95">
        <v>11</v>
      </c>
      <c r="N30" s="95">
        <v>12</v>
      </c>
      <c r="O30" s="95">
        <v>13</v>
      </c>
      <c r="P30" s="95">
        <v>14</v>
      </c>
      <c r="Q30" s="95">
        <v>15</v>
      </c>
      <c r="R30" s="95">
        <v>16</v>
      </c>
      <c r="S30" s="95">
        <v>17</v>
      </c>
      <c r="T30" s="95">
        <v>18</v>
      </c>
      <c r="U30" s="95">
        <v>19</v>
      </c>
      <c r="V30" s="95">
        <v>20</v>
      </c>
      <c r="W30" s="95">
        <v>21</v>
      </c>
      <c r="X30" s="95">
        <v>22</v>
      </c>
      <c r="Y30" s="95">
        <v>23</v>
      </c>
      <c r="Z30" s="95">
        <v>24</v>
      </c>
      <c r="AA30" s="95">
        <v>25</v>
      </c>
      <c r="AB30" s="95">
        <v>26</v>
      </c>
      <c r="AC30" s="95">
        <v>27</v>
      </c>
      <c r="AD30" s="95">
        <v>28</v>
      </c>
      <c r="AE30" s="95">
        <v>29</v>
      </c>
      <c r="AF30" s="95">
        <v>30</v>
      </c>
      <c r="AG30" s="95">
        <v>31</v>
      </c>
      <c r="AH30" s="138">
        <f>COUNTIF($D31:$AH31,Šifra1)</f>
        <v>0</v>
      </c>
      <c r="AI30" s="138">
        <f>COUNTIF($D31:$AH31,Šifra2)</f>
        <v>0</v>
      </c>
      <c r="AJ30" s="138">
        <f>COUNTIF($D31:$AH31,Šifra3)</f>
        <v>0</v>
      </c>
      <c r="AK30" s="138">
        <f>COUNTIF($D31:$AH31,Šifra4)</f>
        <v>0</v>
      </c>
    </row>
    <row r="31" spans="2:37" ht="14.25" x14ac:dyDescent="0.25">
      <c r="B31" s="136"/>
      <c r="C31" s="94" t="str">
        <f>IFERROR(VLOOKUP(TraženjeUčenika,NazočnostZaOžujak[],3,FALSE),"")</f>
        <v/>
      </c>
      <c r="D31" s="94" t="str">
        <f>IFERROR(VLOOKUP(TraženjeUčenika,NazočnostZaOžujak[],4,FALSE),"")</f>
        <v/>
      </c>
      <c r="E31" s="94" t="str">
        <f>IFERROR(VLOOKUP(TraženjeUčenika,NazočnostZaOžujak[],5,FALSE),"")</f>
        <v/>
      </c>
      <c r="F31" s="94" t="str">
        <f>IFERROR(VLOOKUP(TraženjeUčenika,NazočnostZaOžujak[],6,FALSE),"")</f>
        <v/>
      </c>
      <c r="G31" s="94" t="str">
        <f>IFERROR(VLOOKUP(TraženjeUčenika,NazočnostZaOžujak[],7,FALSE),"")</f>
        <v/>
      </c>
      <c r="H31" s="94" t="str">
        <f>IFERROR(VLOOKUP(TraženjeUčenika,NazočnostZaOžujak[],8,FALSE),"")</f>
        <v/>
      </c>
      <c r="I31" s="94" t="str">
        <f>IFERROR(VLOOKUP(TraženjeUčenika,NazočnostZaOžujak[],9,FALSE),"")</f>
        <v/>
      </c>
      <c r="J31" s="94" t="str">
        <f>IFERROR(VLOOKUP(TraženjeUčenika,NazočnostZaOžujak[],10,FALSE),"")</f>
        <v/>
      </c>
      <c r="K31" s="94" t="str">
        <f>IFERROR(VLOOKUP(TraženjeUčenika,NazočnostZaOžujak[],11,FALSE),"")</f>
        <v/>
      </c>
      <c r="L31" s="94" t="str">
        <f>IFERROR(VLOOKUP(TraženjeUčenika,NazočnostZaOžujak[],12,FALSE),"")</f>
        <v/>
      </c>
      <c r="M31" s="94" t="str">
        <f>IFERROR(VLOOKUP(TraženjeUčenika,NazočnostZaOžujak[],13,FALSE),"")</f>
        <v/>
      </c>
      <c r="N31" s="94" t="str">
        <f>IFERROR(VLOOKUP(TraženjeUčenika,NazočnostZaOžujak[],14,FALSE),"")</f>
        <v/>
      </c>
      <c r="O31" s="94" t="str">
        <f>IFERROR(VLOOKUP(TraženjeUčenika,NazočnostZaOžujak[],15,FALSE),"")</f>
        <v/>
      </c>
      <c r="P31" s="94" t="str">
        <f>IFERROR(VLOOKUP(TraženjeUčenika,NazočnostZaOžujak[],16,FALSE),"")</f>
        <v/>
      </c>
      <c r="Q31" s="94" t="str">
        <f>IFERROR(VLOOKUP(TraženjeUčenika,NazočnostZaOžujak[],17,FALSE),"")</f>
        <v/>
      </c>
      <c r="R31" s="94" t="str">
        <f>IFERROR(VLOOKUP(TraženjeUčenika,NazočnostZaOžujak[],18,FALSE),"")</f>
        <v/>
      </c>
      <c r="S31" s="94" t="str">
        <f>IFERROR(VLOOKUP(TraženjeUčenika,NazočnostZaOžujak[],19,FALSE),"")</f>
        <v/>
      </c>
      <c r="T31" s="94" t="str">
        <f>IFERROR(VLOOKUP(TraženjeUčenika,NazočnostZaOžujak[],20,FALSE),"")</f>
        <v/>
      </c>
      <c r="U31" s="94" t="str">
        <f>IFERROR(VLOOKUP(TraženjeUčenika,NazočnostZaOžujak[],21,FALSE),"")</f>
        <v/>
      </c>
      <c r="V31" s="94" t="str">
        <f>IFERROR(VLOOKUP(TraženjeUčenika,NazočnostZaOžujak[],22,FALSE),"")</f>
        <v/>
      </c>
      <c r="W31" s="94" t="str">
        <f>IFERROR(VLOOKUP(TraženjeUčenika,NazočnostZaOžujak[],23,FALSE),"")</f>
        <v/>
      </c>
      <c r="X31" s="94" t="str">
        <f>IFERROR(VLOOKUP(TraženjeUčenika,NazočnostZaOžujak[],24,FALSE),"")</f>
        <v/>
      </c>
      <c r="Y31" s="94" t="str">
        <f>IFERROR(VLOOKUP(TraženjeUčenika,NazočnostZaOžujak[],25,FALSE),"")</f>
        <v/>
      </c>
      <c r="Z31" s="94" t="str">
        <f>IFERROR(VLOOKUP(TraženjeUčenika,NazočnostZaOžujak[],26,FALSE),"")</f>
        <v/>
      </c>
      <c r="AA31" s="94" t="str">
        <f>IFERROR(VLOOKUP(TraženjeUčenika,NazočnostZaOžujak[],27,FALSE),"")</f>
        <v/>
      </c>
      <c r="AB31" s="94" t="str">
        <f>IFERROR(VLOOKUP(TraženjeUčenika,NazočnostZaOžujak[],28,FALSE),"")</f>
        <v/>
      </c>
      <c r="AC31" s="94" t="str">
        <f>IFERROR(VLOOKUP(TraženjeUčenika,NazočnostZaOžujak[],29,FALSE),"")</f>
        <v/>
      </c>
      <c r="AD31" s="94" t="str">
        <f>IFERROR(VLOOKUP(TraženjeUčenika,NazočnostZaOžujak[],30,FALSE),"")</f>
        <v/>
      </c>
      <c r="AE31" s="94" t="str">
        <f>IFERROR(VLOOKUP(TraženjeUčenika,NazočnostZaOžujak[],31,FALSE),"")</f>
        <v/>
      </c>
      <c r="AF31" s="94" t="str">
        <f>IFERROR(VLOOKUP(TraženjeUčenika,NazočnostZaOžujak[],32,FALSE),"")</f>
        <v/>
      </c>
      <c r="AG31" s="94" t="str">
        <f>IFERROR(VLOOKUP(TraženjeUčenika,NazočnostZaOžujak[],33,FALSE),"")</f>
        <v/>
      </c>
      <c r="AH31" s="138"/>
      <c r="AI31" s="138"/>
      <c r="AJ31" s="138"/>
      <c r="AK31" s="138"/>
    </row>
    <row r="32" spans="2:37" ht="14.25" x14ac:dyDescent="0.25">
      <c r="B32" s="136" t="s">
        <v>64</v>
      </c>
      <c r="C32" s="95">
        <v>1</v>
      </c>
      <c r="D32" s="95">
        <v>2</v>
      </c>
      <c r="E32" s="95">
        <v>3</v>
      </c>
      <c r="F32" s="95">
        <v>4</v>
      </c>
      <c r="G32" s="95">
        <v>5</v>
      </c>
      <c r="H32" s="95">
        <v>6</v>
      </c>
      <c r="I32" s="95">
        <v>7</v>
      </c>
      <c r="J32" s="95">
        <v>8</v>
      </c>
      <c r="K32" s="95">
        <v>9</v>
      </c>
      <c r="L32" s="95">
        <v>10</v>
      </c>
      <c r="M32" s="95">
        <v>11</v>
      </c>
      <c r="N32" s="95">
        <v>12</v>
      </c>
      <c r="O32" s="95">
        <v>13</v>
      </c>
      <c r="P32" s="95">
        <v>14</v>
      </c>
      <c r="Q32" s="95">
        <v>15</v>
      </c>
      <c r="R32" s="95">
        <v>16</v>
      </c>
      <c r="S32" s="95">
        <v>17</v>
      </c>
      <c r="T32" s="95">
        <v>18</v>
      </c>
      <c r="U32" s="95">
        <v>19</v>
      </c>
      <c r="V32" s="95">
        <v>20</v>
      </c>
      <c r="W32" s="95">
        <v>21</v>
      </c>
      <c r="X32" s="95">
        <v>22</v>
      </c>
      <c r="Y32" s="95">
        <v>23</v>
      </c>
      <c r="Z32" s="95">
        <v>24</v>
      </c>
      <c r="AA32" s="95">
        <v>25</v>
      </c>
      <c r="AB32" s="95">
        <v>26</v>
      </c>
      <c r="AC32" s="95">
        <v>27</v>
      </c>
      <c r="AD32" s="95">
        <v>28</v>
      </c>
      <c r="AE32" s="95">
        <v>29</v>
      </c>
      <c r="AF32" s="95">
        <v>30</v>
      </c>
      <c r="AG32" s="95"/>
      <c r="AH32" s="138">
        <f>COUNTIF($D33:$AH33,Šifra1)</f>
        <v>0</v>
      </c>
      <c r="AI32" s="138">
        <f>COUNTIF($D33:$AH33,Šifra2)</f>
        <v>0</v>
      </c>
      <c r="AJ32" s="138">
        <f>COUNTIF($D33:$AH33,Šifra3)</f>
        <v>0</v>
      </c>
      <c r="AK32" s="138">
        <f>COUNTIF($D33:$AH33,Šifra4)</f>
        <v>0</v>
      </c>
    </row>
    <row r="33" spans="2:37" ht="14.25" x14ac:dyDescent="0.25">
      <c r="B33" s="136"/>
      <c r="C33" s="94" t="str">
        <f>IFERROR(VLOOKUP(TraženjeUčenika,NazočnostZaTravanj[],3,FALSE),"")</f>
        <v/>
      </c>
      <c r="D33" s="94" t="str">
        <f>IFERROR(VLOOKUP(TraženjeUčenika,NazočnostZaTravanj[],4,FALSE),"")</f>
        <v/>
      </c>
      <c r="E33" s="94" t="str">
        <f>IFERROR(VLOOKUP(TraženjeUčenika,NazočnostZaTravanj[],5,FALSE),"")</f>
        <v/>
      </c>
      <c r="F33" s="94" t="str">
        <f>IFERROR(VLOOKUP(TraženjeUčenika,NazočnostZaTravanj[],6,FALSE),"")</f>
        <v/>
      </c>
      <c r="G33" s="94" t="str">
        <f>IFERROR(VLOOKUP(TraženjeUčenika,NazočnostZaTravanj[],7,FALSE),"")</f>
        <v/>
      </c>
      <c r="H33" s="94" t="str">
        <f>IFERROR(VLOOKUP(TraženjeUčenika,NazočnostZaTravanj[],8,FALSE),"")</f>
        <v/>
      </c>
      <c r="I33" s="94" t="str">
        <f>IFERROR(VLOOKUP(TraženjeUčenika,NazočnostZaTravanj[],9,FALSE),"")</f>
        <v/>
      </c>
      <c r="J33" s="94" t="str">
        <f>IFERROR(VLOOKUP(TraženjeUčenika,NazočnostZaTravanj[],10,FALSE),"")</f>
        <v/>
      </c>
      <c r="K33" s="94" t="str">
        <f>IFERROR(VLOOKUP(TraženjeUčenika,NazočnostZaTravanj[],11,FALSE),"")</f>
        <v/>
      </c>
      <c r="L33" s="94" t="str">
        <f>IFERROR(VLOOKUP(TraženjeUčenika,NazočnostZaTravanj[],12,FALSE),"")</f>
        <v/>
      </c>
      <c r="M33" s="94" t="str">
        <f>IFERROR(VLOOKUP(TraženjeUčenika,NazočnostZaTravanj[],13,FALSE),"")</f>
        <v/>
      </c>
      <c r="N33" s="94" t="str">
        <f>IFERROR(VLOOKUP(TraženjeUčenika,NazočnostZaTravanj[],14,FALSE),"")</f>
        <v/>
      </c>
      <c r="O33" s="94" t="str">
        <f>IFERROR(VLOOKUP(TraženjeUčenika,NazočnostZaTravanj[],15,FALSE),"")</f>
        <v/>
      </c>
      <c r="P33" s="94" t="str">
        <f>IFERROR(VLOOKUP(TraženjeUčenika,NazočnostZaTravanj[],16,FALSE),"")</f>
        <v/>
      </c>
      <c r="Q33" s="94" t="str">
        <f>IFERROR(VLOOKUP(TraženjeUčenika,NazočnostZaTravanj[],17,FALSE),"")</f>
        <v/>
      </c>
      <c r="R33" s="94" t="str">
        <f>IFERROR(VLOOKUP(TraženjeUčenika,NazočnostZaTravanj[],18,FALSE),"")</f>
        <v/>
      </c>
      <c r="S33" s="94" t="str">
        <f>IFERROR(VLOOKUP(TraženjeUčenika,NazočnostZaTravanj[],19,FALSE),"")</f>
        <v/>
      </c>
      <c r="T33" s="94" t="str">
        <f>IFERROR(VLOOKUP(TraženjeUčenika,NazočnostZaTravanj[],20,FALSE),"")</f>
        <v/>
      </c>
      <c r="U33" s="94" t="str">
        <f>IFERROR(VLOOKUP(TraženjeUčenika,NazočnostZaTravanj[],21,FALSE),"")</f>
        <v/>
      </c>
      <c r="V33" s="94" t="str">
        <f>IFERROR(VLOOKUP(TraženjeUčenika,NazočnostZaTravanj[],22,FALSE),"")</f>
        <v/>
      </c>
      <c r="W33" s="94" t="str">
        <f>IFERROR(VLOOKUP(TraženjeUčenika,NazočnostZaTravanj[],23,FALSE),"")</f>
        <v/>
      </c>
      <c r="X33" s="94" t="str">
        <f>IFERROR(VLOOKUP(TraženjeUčenika,NazočnostZaTravanj[],24,FALSE),"")</f>
        <v/>
      </c>
      <c r="Y33" s="94" t="str">
        <f>IFERROR(VLOOKUP(TraženjeUčenika,NazočnostZaTravanj[],25,FALSE),"")</f>
        <v/>
      </c>
      <c r="Z33" s="94" t="str">
        <f>IFERROR(VLOOKUP(TraženjeUčenika,NazočnostZaTravanj[],26,FALSE),"")</f>
        <v/>
      </c>
      <c r="AA33" s="94" t="str">
        <f>IFERROR(VLOOKUP(TraženjeUčenika,NazočnostZaTravanj[],27,FALSE),"")</f>
        <v/>
      </c>
      <c r="AB33" s="94" t="str">
        <f>IFERROR(VLOOKUP(TraženjeUčenika,NazočnostZaTravanj[],28,FALSE),"")</f>
        <v/>
      </c>
      <c r="AC33" s="94" t="str">
        <f>IFERROR(VLOOKUP(TraženjeUčenika,NazočnostZaTravanj[],29,FALSE),"")</f>
        <v/>
      </c>
      <c r="AD33" s="94" t="str">
        <f>IFERROR(VLOOKUP(TraženjeUčenika,NazočnostZaTravanj[],30,FALSE),"")</f>
        <v/>
      </c>
      <c r="AE33" s="94" t="str">
        <f>IFERROR(VLOOKUP(TraženjeUčenika,NazočnostZaTravanj[],31,FALSE),"")</f>
        <v/>
      </c>
      <c r="AF33" s="94" t="str">
        <f>IFERROR(VLOOKUP(TraženjeUčenika,NazočnostZaTravanj[],32,FALSE),"")</f>
        <v/>
      </c>
      <c r="AG33" s="94"/>
      <c r="AH33" s="138"/>
      <c r="AI33" s="138"/>
      <c r="AJ33" s="138"/>
      <c r="AK33" s="138"/>
    </row>
    <row r="34" spans="2:37" ht="14.25" x14ac:dyDescent="0.25">
      <c r="B34" s="136" t="s">
        <v>65</v>
      </c>
      <c r="C34" s="95">
        <v>1</v>
      </c>
      <c r="D34" s="95">
        <v>2</v>
      </c>
      <c r="E34" s="95">
        <v>3</v>
      </c>
      <c r="F34" s="95">
        <v>4</v>
      </c>
      <c r="G34" s="95">
        <v>5</v>
      </c>
      <c r="H34" s="95">
        <v>6</v>
      </c>
      <c r="I34" s="95">
        <v>7</v>
      </c>
      <c r="J34" s="95">
        <v>8</v>
      </c>
      <c r="K34" s="95">
        <v>9</v>
      </c>
      <c r="L34" s="95">
        <v>10</v>
      </c>
      <c r="M34" s="95">
        <v>11</v>
      </c>
      <c r="N34" s="95">
        <v>12</v>
      </c>
      <c r="O34" s="95">
        <v>13</v>
      </c>
      <c r="P34" s="95">
        <v>14</v>
      </c>
      <c r="Q34" s="95">
        <v>15</v>
      </c>
      <c r="R34" s="95">
        <v>16</v>
      </c>
      <c r="S34" s="95">
        <v>17</v>
      </c>
      <c r="T34" s="95">
        <v>18</v>
      </c>
      <c r="U34" s="95">
        <v>19</v>
      </c>
      <c r="V34" s="95">
        <v>20</v>
      </c>
      <c r="W34" s="95">
        <v>21</v>
      </c>
      <c r="X34" s="95">
        <v>22</v>
      </c>
      <c r="Y34" s="95">
        <v>23</v>
      </c>
      <c r="Z34" s="95">
        <v>24</v>
      </c>
      <c r="AA34" s="95">
        <v>25</v>
      </c>
      <c r="AB34" s="95">
        <v>26</v>
      </c>
      <c r="AC34" s="95">
        <v>27</v>
      </c>
      <c r="AD34" s="95">
        <v>28</v>
      </c>
      <c r="AE34" s="95">
        <v>29</v>
      </c>
      <c r="AF34" s="95">
        <v>30</v>
      </c>
      <c r="AG34" s="95">
        <v>31</v>
      </c>
      <c r="AH34" s="138">
        <f>COUNTIF($D35:$AH35,Šifra1)</f>
        <v>0</v>
      </c>
      <c r="AI34" s="138">
        <f>COUNTIF($D35:$AH35,Šifra2)</f>
        <v>0</v>
      </c>
      <c r="AJ34" s="138">
        <f>COUNTIF($D35:$AH35,Šifra3)</f>
        <v>0</v>
      </c>
      <c r="AK34" s="138">
        <f>COUNTIF($D35:$AH35,Šifra4)</f>
        <v>0</v>
      </c>
    </row>
    <row r="35" spans="2:37" ht="14.25" x14ac:dyDescent="0.25">
      <c r="B35" s="136"/>
      <c r="C35" s="94" t="str">
        <f>IFERROR(VLOOKUP(TraženjeUčenika,NazočnostZaSvibanj[],3,FALSE),"")</f>
        <v/>
      </c>
      <c r="D35" s="94" t="str">
        <f>IFERROR(VLOOKUP(TraženjeUčenika,NazočnostZaSvibanj[],4,FALSE),"")</f>
        <v/>
      </c>
      <c r="E35" s="94" t="str">
        <f>IFERROR(VLOOKUP(TraženjeUčenika,NazočnostZaSvibanj[],5,FALSE),"")</f>
        <v/>
      </c>
      <c r="F35" s="94" t="str">
        <f>IFERROR(VLOOKUP(TraženjeUčenika,NazočnostZaSvibanj[],6,FALSE),"")</f>
        <v/>
      </c>
      <c r="G35" s="94" t="str">
        <f>IFERROR(VLOOKUP(TraženjeUčenika,NazočnostZaSvibanj[],7,FALSE),"")</f>
        <v/>
      </c>
      <c r="H35" s="94" t="str">
        <f>IFERROR(VLOOKUP(TraženjeUčenika,NazočnostZaSvibanj[],8,FALSE),"")</f>
        <v/>
      </c>
      <c r="I35" s="94" t="str">
        <f>IFERROR(VLOOKUP(TraženjeUčenika,NazočnostZaSvibanj[],9,FALSE),"")</f>
        <v/>
      </c>
      <c r="J35" s="94" t="str">
        <f>IFERROR(VLOOKUP(TraženjeUčenika,NazočnostZaSvibanj[],10,FALSE),"")</f>
        <v/>
      </c>
      <c r="K35" s="94" t="str">
        <f>IFERROR(VLOOKUP(TraženjeUčenika,NazočnostZaSvibanj[],11,FALSE),"")</f>
        <v/>
      </c>
      <c r="L35" s="94" t="str">
        <f>IFERROR(VLOOKUP(TraženjeUčenika,NazočnostZaSvibanj[],12,FALSE),"")</f>
        <v/>
      </c>
      <c r="M35" s="94" t="str">
        <f>IFERROR(VLOOKUP(TraženjeUčenika,NazočnostZaSvibanj[],13,FALSE),"")</f>
        <v/>
      </c>
      <c r="N35" s="94" t="str">
        <f>IFERROR(VLOOKUP(TraženjeUčenika,NazočnostZaSvibanj[],14,FALSE),"")</f>
        <v/>
      </c>
      <c r="O35" s="94" t="str">
        <f>IFERROR(VLOOKUP(TraženjeUčenika,NazočnostZaSvibanj[],15,FALSE),"")</f>
        <v/>
      </c>
      <c r="P35" s="94" t="str">
        <f>IFERROR(VLOOKUP(TraženjeUčenika,NazočnostZaSvibanj[],16,FALSE),"")</f>
        <v/>
      </c>
      <c r="Q35" s="94" t="str">
        <f>IFERROR(VLOOKUP(TraženjeUčenika,NazočnostZaSvibanj[],17,FALSE),"")</f>
        <v/>
      </c>
      <c r="R35" s="94" t="str">
        <f>IFERROR(VLOOKUP(TraženjeUčenika,NazočnostZaSvibanj[],18,FALSE),"")</f>
        <v/>
      </c>
      <c r="S35" s="94" t="str">
        <f>IFERROR(VLOOKUP(TraženjeUčenika,NazočnostZaSvibanj[],19,FALSE),"")</f>
        <v/>
      </c>
      <c r="T35" s="94" t="str">
        <f>IFERROR(VLOOKUP(TraženjeUčenika,NazočnostZaSvibanj[],20,FALSE),"")</f>
        <v/>
      </c>
      <c r="U35" s="94" t="str">
        <f>IFERROR(VLOOKUP(TraženjeUčenika,NazočnostZaSvibanj[],21,FALSE),"")</f>
        <v/>
      </c>
      <c r="V35" s="94" t="str">
        <f>IFERROR(VLOOKUP(TraženjeUčenika,NazočnostZaSvibanj[],22,FALSE),"")</f>
        <v/>
      </c>
      <c r="W35" s="94" t="str">
        <f>IFERROR(VLOOKUP(TraženjeUčenika,NazočnostZaSvibanj[],23,FALSE),"")</f>
        <v/>
      </c>
      <c r="X35" s="94" t="str">
        <f>IFERROR(VLOOKUP(TraženjeUčenika,NazočnostZaSvibanj[],24,FALSE),"")</f>
        <v/>
      </c>
      <c r="Y35" s="94" t="str">
        <f>IFERROR(VLOOKUP(TraženjeUčenika,NazočnostZaSvibanj[],25,FALSE),"")</f>
        <v/>
      </c>
      <c r="Z35" s="94" t="str">
        <f>IFERROR(VLOOKUP(TraženjeUčenika,NazočnostZaSvibanj[],26,FALSE),"")</f>
        <v/>
      </c>
      <c r="AA35" s="94" t="str">
        <f>IFERROR(VLOOKUP(TraženjeUčenika,NazočnostZaSvibanj[],27,FALSE),"")</f>
        <v/>
      </c>
      <c r="AB35" s="94" t="str">
        <f>IFERROR(VLOOKUP(TraženjeUčenika,NazočnostZaSvibanj[],28,FALSE),"")</f>
        <v/>
      </c>
      <c r="AC35" s="94" t="str">
        <f>IFERROR(VLOOKUP(TraženjeUčenika,NazočnostZaSvibanj[],29,FALSE),"")</f>
        <v/>
      </c>
      <c r="AD35" s="94" t="str">
        <f>IFERROR(VLOOKUP(TraženjeUčenika,NazočnostZaSvibanj[],30,FALSE),"")</f>
        <v/>
      </c>
      <c r="AE35" s="94" t="str">
        <f>IFERROR(VLOOKUP(TraženjeUčenika,NazočnostZaSvibanj[],31,FALSE),"")</f>
        <v/>
      </c>
      <c r="AF35" s="94" t="str">
        <f>IFERROR(VLOOKUP(TraženjeUčenika,NazočnostZaSvibanj[],32,FALSE),"")</f>
        <v/>
      </c>
      <c r="AG35" s="94" t="str">
        <f>IFERROR(VLOOKUP(TraženjeUčenika,NazočnostZaSvibanj[],33,FALSE),"")</f>
        <v/>
      </c>
      <c r="AH35" s="138"/>
      <c r="AI35" s="138"/>
      <c r="AJ35" s="138"/>
      <c r="AK35" s="138"/>
    </row>
    <row r="36" spans="2:37" ht="14.25" x14ac:dyDescent="0.25">
      <c r="B36" s="141" t="s">
        <v>66</v>
      </c>
      <c r="C36" s="95">
        <v>1</v>
      </c>
      <c r="D36" s="95">
        <v>2</v>
      </c>
      <c r="E36" s="95">
        <v>3</v>
      </c>
      <c r="F36" s="95">
        <v>4</v>
      </c>
      <c r="G36" s="95">
        <v>5</v>
      </c>
      <c r="H36" s="95">
        <v>6</v>
      </c>
      <c r="I36" s="95">
        <v>7</v>
      </c>
      <c r="J36" s="95">
        <v>8</v>
      </c>
      <c r="K36" s="95">
        <v>9</v>
      </c>
      <c r="L36" s="95">
        <v>10</v>
      </c>
      <c r="M36" s="95">
        <v>11</v>
      </c>
      <c r="N36" s="95">
        <v>12</v>
      </c>
      <c r="O36" s="95">
        <v>13</v>
      </c>
      <c r="P36" s="95">
        <v>14</v>
      </c>
      <c r="Q36" s="95">
        <v>15</v>
      </c>
      <c r="R36" s="95">
        <v>16</v>
      </c>
      <c r="S36" s="95">
        <v>17</v>
      </c>
      <c r="T36" s="95">
        <v>18</v>
      </c>
      <c r="U36" s="95">
        <v>19</v>
      </c>
      <c r="V36" s="95">
        <v>20</v>
      </c>
      <c r="W36" s="95">
        <v>21</v>
      </c>
      <c r="X36" s="95">
        <v>22</v>
      </c>
      <c r="Y36" s="95">
        <v>23</v>
      </c>
      <c r="Z36" s="95">
        <v>24</v>
      </c>
      <c r="AA36" s="95">
        <v>25</v>
      </c>
      <c r="AB36" s="95">
        <v>26</v>
      </c>
      <c r="AC36" s="95">
        <v>27</v>
      </c>
      <c r="AD36" s="95">
        <v>28</v>
      </c>
      <c r="AE36" s="95">
        <v>29</v>
      </c>
      <c r="AF36" s="95">
        <v>30</v>
      </c>
      <c r="AG36" s="95"/>
      <c r="AH36" s="139">
        <f>COUNTIF($D37:$AH37,Šifra1)</f>
        <v>0</v>
      </c>
      <c r="AI36" s="139">
        <f>COUNTIF($D37:$AH37,Šifra2)</f>
        <v>0</v>
      </c>
      <c r="AJ36" s="139">
        <f>COUNTIF($D37:$AH37,Šifra3)</f>
        <v>0</v>
      </c>
      <c r="AK36" s="139">
        <f>COUNTIF($D37:$AH37,Šifra4)</f>
        <v>0</v>
      </c>
    </row>
    <row r="37" spans="2:37" ht="14.25" x14ac:dyDescent="0.25">
      <c r="B37" s="135"/>
      <c r="C37" s="94" t="str">
        <f>IFERROR(VLOOKUP(TraženjeUčenika,NazočnostZaLipanj[],3,FALSE),"")</f>
        <v/>
      </c>
      <c r="D37" s="94" t="str">
        <f>IFERROR(VLOOKUP(TraženjeUčenika,NazočnostZaLipanj[],4,FALSE),"")</f>
        <v/>
      </c>
      <c r="E37" s="94" t="str">
        <f>IFERROR(VLOOKUP(TraženjeUčenika,NazočnostZaLipanj[],5,FALSE),"")</f>
        <v/>
      </c>
      <c r="F37" s="94" t="str">
        <f>IFERROR(VLOOKUP(TraženjeUčenika,NazočnostZaLipanj[],6,FALSE),"")</f>
        <v/>
      </c>
      <c r="G37" s="94" t="str">
        <f>IFERROR(VLOOKUP(TraženjeUčenika,NazočnostZaLipanj[],7,FALSE),"")</f>
        <v/>
      </c>
      <c r="H37" s="94" t="str">
        <f>IFERROR(VLOOKUP(TraženjeUčenika,NazočnostZaLipanj[],8,FALSE),"")</f>
        <v/>
      </c>
      <c r="I37" s="94" t="str">
        <f>IFERROR(VLOOKUP(TraženjeUčenika,NazočnostZaLipanj[],9,FALSE),"")</f>
        <v/>
      </c>
      <c r="J37" s="94" t="str">
        <f>IFERROR(VLOOKUP(TraženjeUčenika,NazočnostZaLipanj[],10,FALSE),"")</f>
        <v/>
      </c>
      <c r="K37" s="94" t="str">
        <f>IFERROR(VLOOKUP(TraženjeUčenika,NazočnostZaLipanj[],11,FALSE),"")</f>
        <v/>
      </c>
      <c r="L37" s="94" t="str">
        <f>IFERROR(VLOOKUP(TraženjeUčenika,NazočnostZaLipanj[],12,FALSE),"")</f>
        <v/>
      </c>
      <c r="M37" s="94" t="str">
        <f>IFERROR(VLOOKUP(TraženjeUčenika,NazočnostZaLipanj[],13,FALSE),"")</f>
        <v/>
      </c>
      <c r="N37" s="94" t="str">
        <f>IFERROR(VLOOKUP(TraženjeUčenika,NazočnostZaLipanj[],14,FALSE),"")</f>
        <v/>
      </c>
      <c r="O37" s="94" t="str">
        <f>IFERROR(VLOOKUP(TraženjeUčenika,NazočnostZaLipanj[],15,FALSE),"")</f>
        <v/>
      </c>
      <c r="P37" s="94" t="str">
        <f>IFERROR(VLOOKUP(TraženjeUčenika,NazočnostZaLipanj[],16,FALSE),"")</f>
        <v/>
      </c>
      <c r="Q37" s="94" t="str">
        <f>IFERROR(VLOOKUP(TraženjeUčenika,NazočnostZaLipanj[],17,FALSE),"")</f>
        <v/>
      </c>
      <c r="R37" s="94" t="str">
        <f>IFERROR(VLOOKUP(TraženjeUčenika,NazočnostZaLipanj[],18,FALSE),"")</f>
        <v/>
      </c>
      <c r="S37" s="94" t="str">
        <f>IFERROR(VLOOKUP(TraženjeUčenika,NazočnostZaLipanj[],19,FALSE),"")</f>
        <v/>
      </c>
      <c r="T37" s="94" t="str">
        <f>IFERROR(VLOOKUP(TraženjeUčenika,NazočnostZaLipanj[],20,FALSE),"")</f>
        <v/>
      </c>
      <c r="U37" s="94" t="str">
        <f>IFERROR(VLOOKUP(TraženjeUčenika,NazočnostZaLipanj[],21,FALSE),"")</f>
        <v/>
      </c>
      <c r="V37" s="94" t="str">
        <f>IFERROR(VLOOKUP(TraženjeUčenika,NazočnostZaLipanj[],22,FALSE),"")</f>
        <v/>
      </c>
      <c r="W37" s="94" t="str">
        <f>IFERROR(VLOOKUP(TraženjeUčenika,NazočnostZaLipanj[],23,FALSE),"")</f>
        <v/>
      </c>
      <c r="X37" s="94" t="str">
        <f>IFERROR(VLOOKUP(TraženjeUčenika,NazočnostZaLipanj[],24,FALSE),"")</f>
        <v/>
      </c>
      <c r="Y37" s="94" t="str">
        <f>IFERROR(VLOOKUP(TraženjeUčenika,NazočnostZaLipanj[],25,FALSE),"")</f>
        <v/>
      </c>
      <c r="Z37" s="94" t="str">
        <f>IFERROR(VLOOKUP(TraženjeUčenika,NazočnostZaLipanj[],26,FALSE),"")</f>
        <v/>
      </c>
      <c r="AA37" s="94" t="str">
        <f>IFERROR(VLOOKUP(TraženjeUčenika,NazočnostZaLipanj[],27,FALSE),"")</f>
        <v/>
      </c>
      <c r="AB37" s="94" t="str">
        <f>IFERROR(VLOOKUP(TraženjeUčenika,NazočnostZaLipanj[],28,FALSE),"")</f>
        <v/>
      </c>
      <c r="AC37" s="94" t="str">
        <f>IFERROR(VLOOKUP(TraženjeUčenika,NazočnostZaLipanj[],29,FALSE),"")</f>
        <v/>
      </c>
      <c r="AD37" s="94" t="str">
        <f>IFERROR(VLOOKUP(TraženjeUčenika,NazočnostZaLipanj[],30,FALSE),"")</f>
        <v/>
      </c>
      <c r="AE37" s="94" t="str">
        <f>IFERROR(VLOOKUP(TraženjeUčenika,NazočnostZaLipanj[],31,FALSE),"")</f>
        <v/>
      </c>
      <c r="AF37" s="94" t="str">
        <f>IFERROR(VLOOKUP(TraženjeUčenika,NazočnostZaLipanj[],32,FALSE),"")</f>
        <v/>
      </c>
      <c r="AG37" s="94"/>
      <c r="AH37" s="137"/>
      <c r="AI37" s="137"/>
      <c r="AJ37" s="137"/>
      <c r="AK37" s="137"/>
    </row>
    <row r="38" spans="2:37" ht="14.25" x14ac:dyDescent="0.25">
      <c r="B38" s="141" t="s">
        <v>67</v>
      </c>
      <c r="C38" s="95">
        <v>1</v>
      </c>
      <c r="D38" s="95">
        <v>2</v>
      </c>
      <c r="E38" s="95">
        <v>3</v>
      </c>
      <c r="F38" s="95">
        <v>4</v>
      </c>
      <c r="G38" s="95">
        <v>5</v>
      </c>
      <c r="H38" s="95">
        <v>6</v>
      </c>
      <c r="I38" s="95">
        <v>7</v>
      </c>
      <c r="J38" s="95">
        <v>8</v>
      </c>
      <c r="K38" s="95">
        <v>9</v>
      </c>
      <c r="L38" s="95">
        <v>10</v>
      </c>
      <c r="M38" s="95">
        <v>11</v>
      </c>
      <c r="N38" s="95">
        <v>12</v>
      </c>
      <c r="O38" s="95">
        <v>13</v>
      </c>
      <c r="P38" s="95">
        <v>14</v>
      </c>
      <c r="Q38" s="95">
        <v>15</v>
      </c>
      <c r="R38" s="95">
        <v>16</v>
      </c>
      <c r="S38" s="95">
        <v>17</v>
      </c>
      <c r="T38" s="95">
        <v>18</v>
      </c>
      <c r="U38" s="95">
        <v>19</v>
      </c>
      <c r="V38" s="95">
        <v>20</v>
      </c>
      <c r="W38" s="95">
        <v>21</v>
      </c>
      <c r="X38" s="95">
        <v>22</v>
      </c>
      <c r="Y38" s="95">
        <v>23</v>
      </c>
      <c r="Z38" s="95">
        <v>24</v>
      </c>
      <c r="AA38" s="95">
        <v>25</v>
      </c>
      <c r="AB38" s="95">
        <v>26</v>
      </c>
      <c r="AC38" s="95">
        <v>27</v>
      </c>
      <c r="AD38" s="95">
        <v>28</v>
      </c>
      <c r="AE38" s="95">
        <v>29</v>
      </c>
      <c r="AF38" s="95">
        <v>30</v>
      </c>
      <c r="AG38" s="95">
        <v>31</v>
      </c>
      <c r="AH38" s="139">
        <f>COUNTIF($D39:$AH39,Šifra1)</f>
        <v>0</v>
      </c>
      <c r="AI38" s="139">
        <f>COUNTIF($D39:$AH39,Šifra2)</f>
        <v>0</v>
      </c>
      <c r="AJ38" s="139">
        <f>COUNTIF($D39:$AH39,Šifra3)</f>
        <v>0</v>
      </c>
      <c r="AK38" s="139">
        <f>COUNTIF($D39:$AH39,Šifra4)</f>
        <v>0</v>
      </c>
    </row>
    <row r="39" spans="2:37" ht="14.25" x14ac:dyDescent="0.25">
      <c r="B39" s="135"/>
      <c r="C39" s="94" t="str">
        <f>IFERROR(VLOOKUP(TraženjeUčenika,NazočnostZaSrpanj[],3,FALSE),"")</f>
        <v/>
      </c>
      <c r="D39" s="94" t="str">
        <f>IFERROR(VLOOKUP(TraženjeUčenika,NazočnostZaSrpanj[],4,FALSE),"")</f>
        <v/>
      </c>
      <c r="E39" s="94" t="str">
        <f>IFERROR(VLOOKUP(TraženjeUčenika,NazočnostZaSrpanj[],5,FALSE),"")</f>
        <v/>
      </c>
      <c r="F39" s="94" t="str">
        <f>IFERROR(VLOOKUP(TraženjeUčenika,NazočnostZaSrpanj[],6,FALSE),"")</f>
        <v/>
      </c>
      <c r="G39" s="94" t="str">
        <f>IFERROR(VLOOKUP(TraženjeUčenika,NazočnostZaSrpanj[],7,FALSE),"")</f>
        <v/>
      </c>
      <c r="H39" s="94" t="str">
        <f>IFERROR(VLOOKUP(TraženjeUčenika,NazočnostZaSrpanj[],8,FALSE),"")</f>
        <v/>
      </c>
      <c r="I39" s="94" t="str">
        <f>IFERROR(VLOOKUP(TraženjeUčenika,NazočnostZaSrpanj[],9,FALSE),"")</f>
        <v/>
      </c>
      <c r="J39" s="94" t="str">
        <f>IFERROR(VLOOKUP(TraženjeUčenika,NazočnostZaSrpanj[],10,FALSE),"")</f>
        <v/>
      </c>
      <c r="K39" s="94" t="str">
        <f>IFERROR(VLOOKUP(TraženjeUčenika,NazočnostZaSrpanj[],11,FALSE),"")</f>
        <v/>
      </c>
      <c r="L39" s="94" t="str">
        <f>IFERROR(VLOOKUP(TraženjeUčenika,NazočnostZaSrpanj[],12,FALSE),"")</f>
        <v/>
      </c>
      <c r="M39" s="94" t="str">
        <f>IFERROR(VLOOKUP(TraženjeUčenika,NazočnostZaSrpanj[],13,FALSE),"")</f>
        <v/>
      </c>
      <c r="N39" s="94" t="str">
        <f>IFERROR(VLOOKUP(TraženjeUčenika,NazočnostZaSrpanj[],14,FALSE),"")</f>
        <v/>
      </c>
      <c r="O39" s="94" t="str">
        <f>IFERROR(VLOOKUP(TraženjeUčenika,NazočnostZaSrpanj[],15,FALSE),"")</f>
        <v/>
      </c>
      <c r="P39" s="94" t="str">
        <f>IFERROR(VLOOKUP(TraženjeUčenika,NazočnostZaSrpanj[],16,FALSE),"")</f>
        <v/>
      </c>
      <c r="Q39" s="94" t="str">
        <f>IFERROR(VLOOKUP(TraženjeUčenika,NazočnostZaSrpanj[],17,FALSE),"")</f>
        <v/>
      </c>
      <c r="R39" s="94" t="str">
        <f>IFERROR(VLOOKUP(TraženjeUčenika,NazočnostZaSrpanj[],18,FALSE),"")</f>
        <v/>
      </c>
      <c r="S39" s="94" t="str">
        <f>IFERROR(VLOOKUP(TraženjeUčenika,NazočnostZaSrpanj[],19,FALSE),"")</f>
        <v/>
      </c>
      <c r="T39" s="94" t="str">
        <f>IFERROR(VLOOKUP(TraženjeUčenika,NazočnostZaSrpanj[],20,FALSE),"")</f>
        <v/>
      </c>
      <c r="U39" s="94" t="str">
        <f>IFERROR(VLOOKUP(TraženjeUčenika,NazočnostZaSrpanj[],21,FALSE),"")</f>
        <v/>
      </c>
      <c r="V39" s="94" t="str">
        <f>IFERROR(VLOOKUP(TraženjeUčenika,NazočnostZaSrpanj[],22,FALSE),"")</f>
        <v/>
      </c>
      <c r="W39" s="94" t="str">
        <f>IFERROR(VLOOKUP(TraženjeUčenika,NazočnostZaSrpanj[],23,FALSE),"")</f>
        <v/>
      </c>
      <c r="X39" s="94" t="str">
        <f>IFERROR(VLOOKUP(TraženjeUčenika,NazočnostZaSrpanj[],24,FALSE),"")</f>
        <v/>
      </c>
      <c r="Y39" s="94" t="str">
        <f>IFERROR(VLOOKUP(TraženjeUčenika,NazočnostZaSrpanj[],25,FALSE),"")</f>
        <v/>
      </c>
      <c r="Z39" s="94" t="str">
        <f>IFERROR(VLOOKUP(TraženjeUčenika,NazočnostZaSrpanj[],26,FALSE),"")</f>
        <v/>
      </c>
      <c r="AA39" s="94" t="str">
        <f>IFERROR(VLOOKUP(TraženjeUčenika,NazočnostZaSrpanj[],27,FALSE),"")</f>
        <v/>
      </c>
      <c r="AB39" s="94" t="str">
        <f>IFERROR(VLOOKUP(TraženjeUčenika,NazočnostZaSrpanj[],28,FALSE),"")</f>
        <v/>
      </c>
      <c r="AC39" s="94" t="str">
        <f>IFERROR(VLOOKUP(TraženjeUčenika,NazočnostZaSrpanj[],29,FALSE),"")</f>
        <v/>
      </c>
      <c r="AD39" s="94" t="str">
        <f>IFERROR(VLOOKUP(TraženjeUčenika,NazočnostZaSrpanj[],30,FALSE),"")</f>
        <v/>
      </c>
      <c r="AE39" s="94" t="str">
        <f>IFERROR(VLOOKUP(TraženjeUčenika,NazočnostZaSrpanj[],31,FALSE),"")</f>
        <v/>
      </c>
      <c r="AF39" s="94" t="str">
        <f>IFERROR(VLOOKUP(TraženjeUčenika,NazočnostZaSrpanj[],32,FALSE),"")</f>
        <v/>
      </c>
      <c r="AG39" s="94" t="str">
        <f>IFERROR(VLOOKUP(TraženjeUčenika,NazočnostZaSrpanj[],33,FALSE),"")</f>
        <v/>
      </c>
      <c r="AH39" s="137"/>
      <c r="AI39" s="137"/>
      <c r="AJ39" s="137"/>
      <c r="AK39" s="137"/>
    </row>
    <row r="40" spans="2:37" ht="14.25" x14ac:dyDescent="0.3">
      <c r="B40" s="96"/>
      <c r="C40" s="96"/>
      <c r="D40" s="96"/>
      <c r="E40" s="96"/>
      <c r="F40" s="96"/>
      <c r="G40" s="96"/>
      <c r="H40" s="96"/>
      <c r="I40" s="96"/>
      <c r="J40" s="96"/>
      <c r="K40" s="96"/>
      <c r="L40" s="96"/>
      <c r="M40" s="96"/>
      <c r="N40" s="96"/>
      <c r="O40" s="96"/>
      <c r="P40" s="96"/>
      <c r="Q40" s="96"/>
      <c r="R40" s="96"/>
      <c r="S40" s="97"/>
      <c r="T40" s="97"/>
      <c r="U40" s="97"/>
      <c r="V40" s="97"/>
      <c r="W40" s="97"/>
      <c r="X40" s="97"/>
      <c r="Y40" s="97"/>
      <c r="Z40" s="97"/>
      <c r="AA40" s="97"/>
      <c r="AB40" s="97"/>
      <c r="AC40" s="97"/>
      <c r="AD40" s="97"/>
      <c r="AE40" s="140" t="s">
        <v>38</v>
      </c>
      <c r="AF40" s="140"/>
      <c r="AG40" s="140"/>
      <c r="AH40" s="98">
        <f>SUM(AH16:AH39)</f>
        <v>2</v>
      </c>
      <c r="AI40" s="98">
        <f>SUM(AI16:AI39)</f>
        <v>1</v>
      </c>
      <c r="AJ40" s="98">
        <f>SUM(AJ16:AJ39)</f>
        <v>0</v>
      </c>
      <c r="AK40" s="98">
        <f>SUM(AK16:AK39)</f>
        <v>19</v>
      </c>
    </row>
  </sheetData>
  <sheetProtection sheet="1" objects="1" scenarios="1" formatColumns="0" formatRows="0" selectLockedCells="1"/>
  <mergeCells count="100">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 ref="B30:B31"/>
    <mergeCell ref="AH30:AH31"/>
    <mergeCell ref="AI30:AI31"/>
    <mergeCell ref="AJ30:AJ31"/>
    <mergeCell ref="AK30:AK31"/>
    <mergeCell ref="B32:B33"/>
    <mergeCell ref="AH32:AH33"/>
    <mergeCell ref="AI32:AI33"/>
    <mergeCell ref="AJ32:AJ33"/>
    <mergeCell ref="AK32:AK33"/>
    <mergeCell ref="B26:B27"/>
    <mergeCell ref="AH26:AH27"/>
    <mergeCell ref="AI26:AI27"/>
    <mergeCell ref="AJ26:AJ27"/>
    <mergeCell ref="AK26:AK27"/>
    <mergeCell ref="B28:B29"/>
    <mergeCell ref="AH28:AH29"/>
    <mergeCell ref="AI28:AI29"/>
    <mergeCell ref="AJ28:AJ29"/>
    <mergeCell ref="AK28:AK29"/>
    <mergeCell ref="B22:B23"/>
    <mergeCell ref="AH22:AH23"/>
    <mergeCell ref="AI22:AI23"/>
    <mergeCell ref="AJ22:AJ23"/>
    <mergeCell ref="AK22:AK23"/>
    <mergeCell ref="B24:B25"/>
    <mergeCell ref="AH24:AH25"/>
    <mergeCell ref="AI24:AI25"/>
    <mergeCell ref="AJ24:AJ25"/>
    <mergeCell ref="AK24:AK25"/>
    <mergeCell ref="B18:B19"/>
    <mergeCell ref="AH18:AH19"/>
    <mergeCell ref="AI18:AI19"/>
    <mergeCell ref="AJ18:AJ19"/>
    <mergeCell ref="AK18:AK19"/>
    <mergeCell ref="B20:B21"/>
    <mergeCell ref="AH20:AH21"/>
    <mergeCell ref="AI20:AI21"/>
    <mergeCell ref="AJ20:AJ21"/>
    <mergeCell ref="AK20:AK21"/>
    <mergeCell ref="AH14:AK14"/>
    <mergeCell ref="B16:B17"/>
    <mergeCell ref="AH16:AH17"/>
    <mergeCell ref="AI16:AI17"/>
    <mergeCell ref="AJ16:AJ17"/>
    <mergeCell ref="AK16:AK17"/>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P3:R3"/>
    <mergeCell ref="S3:V3"/>
    <mergeCell ref="W3:AD3"/>
    <mergeCell ref="W5:AD5"/>
    <mergeCell ref="P4:R4"/>
    <mergeCell ref="S4:V4"/>
    <mergeCell ref="W4:AD4"/>
    <mergeCell ref="B7:J7"/>
    <mergeCell ref="K7:V7"/>
    <mergeCell ref="W7:AD7"/>
    <mergeCell ref="AE7:AK7"/>
    <mergeCell ref="B8:J8"/>
    <mergeCell ref="K8:V8"/>
    <mergeCell ref="W8:AD8"/>
    <mergeCell ref="AE8:AK8"/>
    <mergeCell ref="AE5:AK5"/>
    <mergeCell ref="B6:J6"/>
    <mergeCell ref="K6:V6"/>
    <mergeCell ref="W6:AD6"/>
    <mergeCell ref="AE6:AK6"/>
    <mergeCell ref="B5:J5"/>
    <mergeCell ref="K5:V5"/>
  </mergeCells>
  <conditionalFormatting sqref="C17:AG17 C21:AG21 C23:AF23 C25:AG25 C27:AG27 C31:AG31 C33:AF33 C35:AG35 C37:AG37 C39:AG39 C29:AG29 C19:AG19">
    <cfRule type="expression" dxfId="462" priority="150">
      <formula>C17=Šifra1</formula>
    </cfRule>
  </conditionalFormatting>
  <conditionalFormatting sqref="C17:AG17 C21:AG21 C23:AF23 C25:AG25 C27:AG27 C31:AG31 C33:AF33 C35:AG35 C37:AG37 C39:AG39 C29:AG29 C19:AG19">
    <cfRule type="expression" dxfId="461" priority="162">
      <formula>C17=Šifra2</formula>
    </cfRule>
  </conditionalFormatting>
  <conditionalFormatting sqref="C17:AG17 C21:AG21 C23:AF23 C25:AG25 C27:AG27 C31:AG31 C33:AF33 C35:AG35 C37:AG37 C39:AG39 C29:AG29 C19:AG19">
    <cfRule type="expression" dxfId="460" priority="174">
      <formula>C17=Šifra3</formula>
    </cfRule>
  </conditionalFormatting>
  <conditionalFormatting sqref="C17:AG17 C21:AG21 C23:AF23 C25:AG25 C27:AG27 C31:AG31 C33:AF33 C35:AG35 C37:AG37 C39:AG39 C29:AG29 C19:AG19">
    <cfRule type="expression" dxfId="459" priority="186">
      <formula>C17=Šifra4</formula>
    </cfRule>
  </conditionalFormatting>
  <conditionalFormatting sqref="C17:AG17 C21:AG21 C23:AF23 C25:AG25 C27:AG27 C31:AG31 C33:AF33 C35:AG35 C37:AG37 C39:AG39 C29:AG29 C19:AG19">
    <cfRule type="expression" dxfId="458" priority="199">
      <formula>C17=Šifra5</formula>
    </cfRule>
  </conditionalFormatting>
  <conditionalFormatting sqref="AE28">
    <cfRule type="expression" dxfId="457" priority="200">
      <formula>DATE(KalendarskaGodina+1,2,AE28)&gt;EOMONTH(DATE(KalendarskaGodina+1,1,1),1)</formula>
    </cfRule>
  </conditionalFormatting>
  <dataValidations count="2">
    <dataValidation type="list" errorStyle="warning" allowBlank="1" showInputMessage="1" showErrorMessage="1" errorTitle="Ups!" error="Da biste vidjeli detalje o nazočnosti za određenog učenika, na padajućem popisu morate odabrati identifikacijski broj učenika. Možete kliknuti Da da biste koristili svoj unos, ali većina detalja o učeniku i podataka o nazočnosti bit će prazna. " sqref="B4:C4">
      <formula1>IDučenika</formula1>
    </dataValidation>
    <dataValidation allowBlank="1" showInputMessage="1" showErrorMessage="1" errorTitle="Nepoznato ime učenika" error="Odaberite učenika s popisa. Možete dodavati i uklanjati imena s ovog popisa na radnom listu Popis učenika." sqref="D4"/>
  </dataValidations>
  <printOptions horizontalCentered="1"/>
  <pageMargins left="0.25" right="0.25"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S245"/>
  <sheetViews>
    <sheetView showGridLines="0" zoomScaleNormal="100" workbookViewId="0">
      <pane xSplit="2" ySplit="3" topLeftCell="J4" activePane="bottomRight" state="frozen"/>
      <selection pane="topRight" activeCell="C1" sqref="C1"/>
      <selection pane="bottomLeft" activeCell="A4" sqref="A4"/>
      <selection pane="bottomRight"/>
    </sheetView>
  </sheetViews>
  <sheetFormatPr defaultRowHeight="13.5" x14ac:dyDescent="0.25"/>
  <cols>
    <col min="1" max="1" width="2.7109375" customWidth="1"/>
    <col min="2" max="2" width="23.85546875" bestFit="1" customWidth="1"/>
    <col min="3" max="3" width="14.85546875" bestFit="1" customWidth="1"/>
    <col min="4" max="4" width="18" customWidth="1"/>
    <col min="5" max="5" width="12.7109375" customWidth="1"/>
    <col min="6" max="6" width="22.7109375" customWidth="1"/>
    <col min="7" max="7" width="20.28515625" customWidth="1"/>
    <col min="8" max="8" width="27.5703125" bestFit="1" customWidth="1"/>
    <col min="9" max="10" width="24.28515625" bestFit="1" customWidth="1"/>
    <col min="11" max="11" width="20.5703125" customWidth="1"/>
    <col min="12" max="12" width="27.5703125" bestFit="1" customWidth="1"/>
    <col min="13" max="13" width="20.5703125" customWidth="1"/>
    <col min="14" max="14" width="24.28515625" bestFit="1" customWidth="1"/>
    <col min="15" max="15" width="20.5703125" customWidth="1"/>
    <col min="16" max="16" width="25.42578125" bestFit="1" customWidth="1"/>
    <col min="17" max="17" width="26.85546875" bestFit="1" customWidth="1"/>
    <col min="18" max="18" width="22.140625" customWidth="1"/>
    <col min="19" max="19" width="24.42578125" bestFit="1" customWidth="1"/>
  </cols>
  <sheetData>
    <row r="1" spans="1:19" ht="42" customHeight="1" x14ac:dyDescent="0.3">
      <c r="A1" s="88" t="s">
        <v>118</v>
      </c>
      <c r="B1" s="75"/>
      <c r="C1" s="75"/>
      <c r="D1" s="75"/>
      <c r="E1" s="75"/>
      <c r="F1" s="75"/>
      <c r="G1" s="75"/>
      <c r="H1" s="75"/>
      <c r="I1" s="75"/>
      <c r="J1" s="75"/>
      <c r="K1" s="75"/>
      <c r="L1" s="75"/>
      <c r="M1" s="75"/>
      <c r="N1" s="75"/>
      <c r="O1" s="75"/>
      <c r="P1" s="75"/>
      <c r="Q1" s="75"/>
      <c r="R1" s="75"/>
      <c r="S1" s="38"/>
    </row>
    <row r="3" spans="1:19" s="14" customFormat="1" ht="36" customHeight="1" thickBot="1" x14ac:dyDescent="0.3">
      <c r="B3" s="107" t="s">
        <v>34</v>
      </c>
      <c r="C3" s="108" t="s">
        <v>32</v>
      </c>
      <c r="D3" s="108" t="s">
        <v>33</v>
      </c>
      <c r="E3" s="107" t="s">
        <v>39</v>
      </c>
      <c r="F3" s="76" t="s">
        <v>40</v>
      </c>
      <c r="G3" s="77" t="s">
        <v>71</v>
      </c>
      <c r="H3" s="76" t="s">
        <v>72</v>
      </c>
      <c r="I3" s="76" t="s">
        <v>115</v>
      </c>
      <c r="J3" s="76" t="s">
        <v>73</v>
      </c>
      <c r="K3" s="76" t="s">
        <v>77</v>
      </c>
      <c r="L3" s="76" t="s">
        <v>74</v>
      </c>
      <c r="M3" s="76" t="s">
        <v>75</v>
      </c>
      <c r="N3" s="76" t="s">
        <v>76</v>
      </c>
      <c r="O3" s="77" t="s">
        <v>48</v>
      </c>
      <c r="P3" s="76" t="s">
        <v>50</v>
      </c>
      <c r="Q3" s="76" t="s">
        <v>51</v>
      </c>
      <c r="R3" s="76" t="s">
        <v>52</v>
      </c>
      <c r="S3" s="77" t="s">
        <v>53</v>
      </c>
    </row>
    <row r="4" spans="1:19" ht="15.75" customHeight="1" x14ac:dyDescent="0.25">
      <c r="B4" s="109" t="s">
        <v>89</v>
      </c>
      <c r="C4" s="110" t="s">
        <v>87</v>
      </c>
      <c r="D4" s="109" t="s">
        <v>88</v>
      </c>
      <c r="E4" s="111" t="s">
        <v>49</v>
      </c>
      <c r="F4" s="15">
        <v>35517</v>
      </c>
      <c r="G4" s="13" t="s">
        <v>90</v>
      </c>
      <c r="H4" s="13" t="s">
        <v>88</v>
      </c>
      <c r="I4" s="18">
        <v>1235550134</v>
      </c>
      <c r="J4" s="18">
        <v>2345550134</v>
      </c>
      <c r="K4" s="16" t="s">
        <v>91</v>
      </c>
      <c r="L4" s="16" t="s">
        <v>70</v>
      </c>
      <c r="M4" s="18">
        <v>1235550134</v>
      </c>
      <c r="N4" s="18">
        <v>2345550134</v>
      </c>
      <c r="O4" s="13" t="s">
        <v>98</v>
      </c>
      <c r="P4" s="13" t="s">
        <v>54</v>
      </c>
      <c r="Q4" s="18">
        <v>7895550189</v>
      </c>
      <c r="R4" s="18">
        <v>7895550134</v>
      </c>
      <c r="S4" t="str">
        <f>PopisUčenika[[#This Row],[Ime učenika]]&amp;" " &amp;PopisUčenika[[#This Row],[Prezime učenika]]</f>
        <v>Neven Tomić</v>
      </c>
    </row>
    <row r="5" spans="1:19" ht="15.75" customHeight="1" x14ac:dyDescent="0.25">
      <c r="B5" s="112" t="s">
        <v>92</v>
      </c>
      <c r="C5" s="113" t="s">
        <v>35</v>
      </c>
      <c r="D5" s="112">
        <v>2</v>
      </c>
      <c r="E5" s="114"/>
      <c r="F5" s="15"/>
      <c r="G5" s="13"/>
      <c r="H5" s="13"/>
      <c r="I5" s="18"/>
      <c r="J5" s="18"/>
      <c r="K5" s="16"/>
      <c r="L5" s="16"/>
      <c r="M5" s="18"/>
      <c r="N5" s="18"/>
      <c r="O5" s="13"/>
      <c r="P5" s="13"/>
      <c r="Q5" s="18"/>
      <c r="R5" s="18"/>
      <c r="S5" t="str">
        <f>PopisUčenika[[#This Row],[Ime učenika]]&amp;" " &amp;PopisUčenika[[#This Row],[Prezime učenika]]</f>
        <v>Učenik 2</v>
      </c>
    </row>
    <row r="6" spans="1:19" ht="15.75" customHeight="1" x14ac:dyDescent="0.25">
      <c r="B6" s="109" t="s">
        <v>93</v>
      </c>
      <c r="C6" s="110" t="s">
        <v>35</v>
      </c>
      <c r="D6" s="109">
        <v>3</v>
      </c>
      <c r="E6" s="111"/>
      <c r="F6" s="15"/>
      <c r="G6" s="13"/>
      <c r="H6" s="13"/>
      <c r="I6" s="18"/>
      <c r="J6" s="18"/>
      <c r="K6" s="16"/>
      <c r="L6" s="16"/>
      <c r="M6" s="18"/>
      <c r="N6" s="18"/>
      <c r="O6" s="13"/>
      <c r="P6" s="13"/>
      <c r="Q6" s="18"/>
      <c r="R6" s="18"/>
      <c r="S6" t="str">
        <f>PopisUčenika[[#This Row],[Ime učenika]]&amp;" " &amp;PopisUčenika[[#This Row],[Prezime učenika]]</f>
        <v>Učenik 3</v>
      </c>
    </row>
    <row r="7" spans="1:19" ht="15.75" customHeight="1" x14ac:dyDescent="0.25">
      <c r="B7" s="112" t="s">
        <v>94</v>
      </c>
      <c r="C7" s="113" t="s">
        <v>35</v>
      </c>
      <c r="D7" s="112">
        <v>4</v>
      </c>
      <c r="E7" s="114"/>
      <c r="F7" s="15"/>
      <c r="G7" s="13"/>
      <c r="H7" s="13"/>
      <c r="I7" s="18"/>
      <c r="J7" s="18"/>
      <c r="K7" s="16"/>
      <c r="L7" s="16"/>
      <c r="M7" s="18"/>
      <c r="N7" s="18"/>
      <c r="O7" s="13"/>
      <c r="P7" s="13"/>
      <c r="Q7" s="18"/>
      <c r="R7" s="18"/>
      <c r="S7" t="str">
        <f>PopisUčenika[[#This Row],[Ime učenika]]&amp;" " &amp;PopisUčenika[[#This Row],[Prezime učenika]]</f>
        <v>Učenik 4</v>
      </c>
    </row>
    <row r="8" spans="1:19" ht="15.75" customHeight="1" x14ac:dyDescent="0.25">
      <c r="B8" s="109" t="s">
        <v>95</v>
      </c>
      <c r="C8" s="110" t="s">
        <v>35</v>
      </c>
      <c r="D8" s="109">
        <v>5</v>
      </c>
      <c r="E8" s="111"/>
      <c r="F8" s="15"/>
      <c r="G8" s="13"/>
      <c r="H8" s="13"/>
      <c r="I8" s="18"/>
      <c r="J8" s="18"/>
      <c r="K8" s="16"/>
      <c r="L8" s="16"/>
      <c r="M8" s="18"/>
      <c r="N8" s="18"/>
      <c r="O8" s="13"/>
      <c r="P8" s="13"/>
      <c r="Q8" s="18"/>
      <c r="R8" s="18"/>
      <c r="S8" t="str">
        <f>PopisUčenika[[#This Row],[Ime učenika]]&amp;" " &amp;PopisUčenika[[#This Row],[Prezime učenika]]</f>
        <v>Učenik 5</v>
      </c>
    </row>
    <row r="9" spans="1:19" ht="15.75" customHeight="1" x14ac:dyDescent="0.25"/>
    <row r="10" spans="1:19" ht="15.75" customHeight="1" x14ac:dyDescent="0.25"/>
    <row r="11" spans="1:19" ht="15.75" customHeight="1" x14ac:dyDescent="0.25"/>
    <row r="12" spans="1:19" ht="15.75" customHeight="1" x14ac:dyDescent="0.25"/>
    <row r="13" spans="1:19" ht="15.75" customHeight="1" x14ac:dyDescent="0.25"/>
    <row r="14" spans="1:19" ht="15.75" customHeight="1" x14ac:dyDescent="0.25"/>
    <row r="15" spans="1:19" ht="15.75" customHeight="1" x14ac:dyDescent="0.25"/>
    <row r="16" spans="1: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sheetData>
  <pageMargins left="0.25" right="0.25" top="0.75" bottom="0.75" header="0.3" footer="0.3"/>
  <pageSetup paperSize="9" scale="85"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4.28515625" style="1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40" s="1" customFormat="1" ht="42" customHeight="1" x14ac:dyDescent="0.25">
      <c r="A1" s="104"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v>2012</v>
      </c>
    </row>
    <row r="2" spans="1:40" customFormat="1" ht="13.5" x14ac:dyDescent="0.25"/>
    <row r="3" spans="1:40" s="27" customFormat="1" ht="12.75" customHeight="1" x14ac:dyDescent="0.25">
      <c r="C3" s="39" t="s">
        <v>109</v>
      </c>
      <c r="D3" s="45" t="s">
        <v>127</v>
      </c>
      <c r="E3" s="62" t="s">
        <v>80</v>
      </c>
      <c r="F3" s="53"/>
      <c r="H3" s="46" t="s">
        <v>128</v>
      </c>
      <c r="I3" s="50" t="s">
        <v>81</v>
      </c>
      <c r="L3" s="47" t="s">
        <v>68</v>
      </c>
      <c r="M3" s="50" t="s">
        <v>82</v>
      </c>
      <c r="P3" s="48" t="s">
        <v>31</v>
      </c>
      <c r="Q3" s="50" t="s">
        <v>83</v>
      </c>
      <c r="T3" s="49" t="s">
        <v>129</v>
      </c>
      <c r="U3" s="50" t="s">
        <v>84</v>
      </c>
      <c r="W3"/>
      <c r="X3"/>
      <c r="Y3"/>
      <c r="AD3" s="26"/>
      <c r="AE3" s="26"/>
      <c r="AH3" s="28"/>
      <c r="AI3" s="29"/>
      <c r="AK3" s="30"/>
    </row>
    <row r="4" spans="1:40" customFormat="1" ht="16.5" customHeight="1" x14ac:dyDescent="0.25"/>
    <row r="5" spans="1:40" s="2" customFormat="1" ht="18" customHeight="1" x14ac:dyDescent="0.3">
      <c r="B5" s="55">
        <f>DATE(KalendarskaGodina,8,1)</f>
        <v>41122</v>
      </c>
      <c r="C5" s="54"/>
      <c r="D5" s="37" t="str">
        <f>TEXT(WEEKDAY(DATE(KalendarskaGodina,8,1),1),"aaa")</f>
        <v>sri</v>
      </c>
      <c r="E5" s="37" t="str">
        <f>TEXT(WEEKDAY(DATE(KalendarskaGodina,8,2),1),"aaa")</f>
        <v>čet</v>
      </c>
      <c r="F5" s="37" t="str">
        <f>TEXT(WEEKDAY(DATE(KalendarskaGodina,8,3),1),"aaa")</f>
        <v>pet</v>
      </c>
      <c r="G5" s="37" t="str">
        <f>TEXT(WEEKDAY(DATE(KalendarskaGodina,8,4),1),"aaa")</f>
        <v>sub</v>
      </c>
      <c r="H5" s="37" t="str">
        <f>TEXT(WEEKDAY(DATE(KalendarskaGodina,8,5),1),"aaa")</f>
        <v>ned</v>
      </c>
      <c r="I5" s="37" t="str">
        <f>TEXT(WEEKDAY(DATE(KalendarskaGodina,8,6),1),"aaa")</f>
        <v>pon</v>
      </c>
      <c r="J5" s="37" t="str">
        <f>TEXT(WEEKDAY(DATE(KalendarskaGodina,8,7),1),"aaa")</f>
        <v>uto</v>
      </c>
      <c r="K5" s="37" t="str">
        <f>TEXT(WEEKDAY(DATE(KalendarskaGodina,8,8),1),"aaa")</f>
        <v>sri</v>
      </c>
      <c r="L5" s="37" t="str">
        <f>TEXT(WEEKDAY(DATE(KalendarskaGodina,8,9),1),"aaa")</f>
        <v>čet</v>
      </c>
      <c r="M5" s="37" t="str">
        <f>TEXT(WEEKDAY(DATE(KalendarskaGodina,8,10),1),"aaa")</f>
        <v>pet</v>
      </c>
      <c r="N5" s="37" t="str">
        <f>TEXT(WEEKDAY(DATE(KalendarskaGodina,8,11),1),"aaa")</f>
        <v>sub</v>
      </c>
      <c r="O5" s="37" t="str">
        <f>TEXT(WEEKDAY(DATE(KalendarskaGodina,8,12),1),"aaa")</f>
        <v>ned</v>
      </c>
      <c r="P5" s="37" t="str">
        <f>TEXT(WEEKDAY(DATE(KalendarskaGodina,8,13),1),"aaa")</f>
        <v>pon</v>
      </c>
      <c r="Q5" s="37" t="str">
        <f>TEXT(WEEKDAY(DATE(KalendarskaGodina,8,14),1),"aaa")</f>
        <v>uto</v>
      </c>
      <c r="R5" s="37" t="str">
        <f>TEXT(WEEKDAY(DATE(KalendarskaGodina,8,15),1),"aaa")</f>
        <v>sri</v>
      </c>
      <c r="S5" s="37" t="str">
        <f>TEXT(WEEKDAY(DATE(KalendarskaGodina,8,16),1),"aaa")</f>
        <v>čet</v>
      </c>
      <c r="T5" s="37" t="str">
        <f>TEXT(WEEKDAY(DATE(KalendarskaGodina,8,17),1),"aaa")</f>
        <v>pet</v>
      </c>
      <c r="U5" s="37" t="str">
        <f>TEXT(WEEKDAY(DATE(KalendarskaGodina,8,18),1),"aaa")</f>
        <v>sub</v>
      </c>
      <c r="V5" s="37" t="str">
        <f>TEXT(WEEKDAY(DATE(KalendarskaGodina,8,19),1),"aaa")</f>
        <v>ned</v>
      </c>
      <c r="W5" s="37" t="str">
        <f>TEXT(WEEKDAY(DATE(KalendarskaGodina,8,20),1),"aaa")</f>
        <v>pon</v>
      </c>
      <c r="X5" s="37" t="str">
        <f>TEXT(WEEKDAY(DATE(KalendarskaGodina,8,21),1),"aaa")</f>
        <v>uto</v>
      </c>
      <c r="Y5" s="37" t="str">
        <f>TEXT(WEEKDAY(DATE(KalendarskaGodina,8,22),1),"aaa")</f>
        <v>sri</v>
      </c>
      <c r="Z5" s="37" t="str">
        <f>TEXT(WEEKDAY(DATE(KalendarskaGodina,8,23),1),"aaa")</f>
        <v>čet</v>
      </c>
      <c r="AA5" s="37" t="str">
        <f>TEXT(WEEKDAY(DATE(KalendarskaGodina,8,24),1),"aaa")</f>
        <v>pet</v>
      </c>
      <c r="AB5" s="37" t="str">
        <f>TEXT(WEEKDAY(DATE(KalendarskaGodina,8,25),1),"aaa")</f>
        <v>sub</v>
      </c>
      <c r="AC5" s="37" t="str">
        <f>TEXT(WEEKDAY(DATE(KalendarskaGodina,8,26),1),"aaa")</f>
        <v>ned</v>
      </c>
      <c r="AD5" s="37" t="str">
        <f>TEXT(WEEKDAY(DATE(KalendarskaGodina,8,27),1),"aaa")</f>
        <v>pon</v>
      </c>
      <c r="AE5" s="37" t="str">
        <f>TEXT(WEEKDAY(DATE(KalendarskaGodina,8,28),1),"aaa")</f>
        <v>uto</v>
      </c>
      <c r="AF5" s="37" t="str">
        <f>TEXT(WEEKDAY(DATE(KalendarskaGodina,8,29),1),"aaa")</f>
        <v>sri</v>
      </c>
      <c r="AG5" s="37" t="str">
        <f>TEXT(WEEKDAY(DATE(KalendarskaGodina,8,30),1),"aaa")</f>
        <v>čet</v>
      </c>
      <c r="AH5" s="37" t="str">
        <f>TEXT(WEEKDAY(DATE(KalendarskaGodina,8,31),1),"aaa")</f>
        <v>pet</v>
      </c>
      <c r="AI5" s="119" t="s">
        <v>38</v>
      </c>
      <c r="AJ5" s="120"/>
      <c r="AK5" s="120"/>
      <c r="AL5" s="120"/>
      <c r="AM5" s="121"/>
    </row>
    <row r="6" spans="1:40" s="5" customFormat="1" ht="27" x14ac:dyDescent="0.25">
      <c r="B6" s="105" t="s">
        <v>34</v>
      </c>
      <c r="C6" s="4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145" t="s">
        <v>127</v>
      </c>
      <c r="AJ6" s="46" t="s">
        <v>128</v>
      </c>
      <c r="AK6" s="47" t="s">
        <v>68</v>
      </c>
      <c r="AL6" s="146" t="s">
        <v>31</v>
      </c>
      <c r="AM6" s="44" t="s">
        <v>37</v>
      </c>
      <c r="AN6" s="4"/>
    </row>
    <row r="7" spans="1:40" s="5" customFormat="1" ht="16.5" customHeight="1" x14ac:dyDescent="0.25">
      <c r="B7" s="41" t="s">
        <v>89</v>
      </c>
      <c r="C7" t="str">
        <f>IFERROR(VLOOKUP(NazočnostZaKolovoz[[#This Row],[Identifikacijski broj učenika]],PopisUčenika[],18,FALSE),"")</f>
        <v>Neven Tomić</v>
      </c>
      <c r="D7" s="20" t="s">
        <v>31</v>
      </c>
      <c r="E7" s="20" t="s">
        <v>31</v>
      </c>
      <c r="F7" s="20" t="s">
        <v>127</v>
      </c>
      <c r="G7" s="20" t="s">
        <v>127</v>
      </c>
      <c r="H7" s="20" t="s">
        <v>31</v>
      </c>
      <c r="I7" s="20" t="s">
        <v>129</v>
      </c>
      <c r="J7" s="20" t="s">
        <v>129</v>
      </c>
      <c r="K7" s="20" t="s">
        <v>31</v>
      </c>
      <c r="L7" s="20" t="s">
        <v>31</v>
      </c>
      <c r="M7" s="20" t="s">
        <v>128</v>
      </c>
      <c r="N7" s="20" t="s">
        <v>31</v>
      </c>
      <c r="O7" s="20" t="s">
        <v>31</v>
      </c>
      <c r="P7" s="20" t="s">
        <v>129</v>
      </c>
      <c r="Q7" s="20" t="s">
        <v>129</v>
      </c>
      <c r="R7" s="20" t="s">
        <v>31</v>
      </c>
      <c r="S7" s="20" t="s">
        <v>31</v>
      </c>
      <c r="T7" s="20" t="s">
        <v>31</v>
      </c>
      <c r="U7" s="20" t="s">
        <v>31</v>
      </c>
      <c r="V7" s="20" t="s">
        <v>31</v>
      </c>
      <c r="W7" s="20" t="s">
        <v>129</v>
      </c>
      <c r="X7" s="20" t="s">
        <v>129</v>
      </c>
      <c r="Y7" s="20" t="s">
        <v>31</v>
      </c>
      <c r="Z7" s="20" t="s">
        <v>31</v>
      </c>
      <c r="AA7" s="20" t="s">
        <v>31</v>
      </c>
      <c r="AB7" s="20" t="s">
        <v>31</v>
      </c>
      <c r="AC7" s="20" t="s">
        <v>31</v>
      </c>
      <c r="AD7" s="20" t="s">
        <v>129</v>
      </c>
      <c r="AE7" s="20" t="s">
        <v>129</v>
      </c>
      <c r="AF7" s="20" t="s">
        <v>31</v>
      </c>
      <c r="AG7" s="20" t="s">
        <v>31</v>
      </c>
      <c r="AH7" s="20" t="s">
        <v>31</v>
      </c>
      <c r="AI7" s="6">
        <f>COUNTIF(NazočnostZaKolovoz[[#This Row],[1]:[31]],Šifra1)</f>
        <v>2</v>
      </c>
      <c r="AJ7" s="43">
        <f>COUNTIF(NazočnostZaKolovoz[[#This Row],[1]:[31]],Šifra2)</f>
        <v>1</v>
      </c>
      <c r="AK7" s="43">
        <f>COUNTIF(NazočnostZaKolovoz[[#This Row],[1]:[31]],Šifra3)</f>
        <v>0</v>
      </c>
      <c r="AL7" s="43">
        <f>COUNTIF(NazočnostZaKolovoz[[#This Row],[1]:[31]],Šifra4)</f>
        <v>20</v>
      </c>
      <c r="AM7" s="6">
        <f>SUM(NazočnostZaKolovoz[[#This Row],[O]:[N]])</f>
        <v>1</v>
      </c>
      <c r="AN7" s="4"/>
    </row>
    <row r="8" spans="1:40" s="5" customFormat="1" ht="16.5" customHeight="1" x14ac:dyDescent="0.25">
      <c r="B8" s="41" t="s">
        <v>92</v>
      </c>
      <c r="C8" t="str">
        <f>IFERROR(VLOOKUP(NazočnostZaKolovoz[[#This Row],[Identifikacijski broj učenika]],PopisUčenika[],18,FALSE),"")</f>
        <v>Učenik 2</v>
      </c>
      <c r="D8" s="20" t="s">
        <v>31</v>
      </c>
      <c r="E8" s="20" t="s">
        <v>68</v>
      </c>
      <c r="F8" s="20" t="s">
        <v>31</v>
      </c>
      <c r="G8" s="20" t="s">
        <v>31</v>
      </c>
      <c r="H8" s="20" t="s">
        <v>31</v>
      </c>
      <c r="I8" s="20" t="s">
        <v>129</v>
      </c>
      <c r="J8" s="20" t="s">
        <v>129</v>
      </c>
      <c r="K8" s="20" t="s">
        <v>31</v>
      </c>
      <c r="L8" s="20" t="s">
        <v>128</v>
      </c>
      <c r="M8" s="20" t="s">
        <v>128</v>
      </c>
      <c r="N8" s="20" t="s">
        <v>128</v>
      </c>
      <c r="O8" s="20" t="s">
        <v>128</v>
      </c>
      <c r="P8" s="20" t="s">
        <v>129</v>
      </c>
      <c r="Q8" s="20" t="s">
        <v>129</v>
      </c>
      <c r="R8" s="20" t="s">
        <v>31</v>
      </c>
      <c r="S8" s="20" t="s">
        <v>31</v>
      </c>
      <c r="T8" s="20" t="s">
        <v>31</v>
      </c>
      <c r="U8" s="20" t="s">
        <v>31</v>
      </c>
      <c r="V8" s="20" t="s">
        <v>31</v>
      </c>
      <c r="W8" s="20" t="s">
        <v>129</v>
      </c>
      <c r="X8" s="20" t="s">
        <v>129</v>
      </c>
      <c r="Y8" s="20" t="s">
        <v>31</v>
      </c>
      <c r="Z8" s="20" t="s">
        <v>31</v>
      </c>
      <c r="AA8" s="20" t="s">
        <v>31</v>
      </c>
      <c r="AB8" s="20" t="s">
        <v>127</v>
      </c>
      <c r="AC8" s="20" t="s">
        <v>127</v>
      </c>
      <c r="AD8" s="20" t="s">
        <v>129</v>
      </c>
      <c r="AE8" s="20" t="s">
        <v>129</v>
      </c>
      <c r="AF8" s="20" t="s">
        <v>31</v>
      </c>
      <c r="AG8" s="20" t="s">
        <v>31</v>
      </c>
      <c r="AH8" s="20" t="s">
        <v>31</v>
      </c>
      <c r="AI8" s="6">
        <f>COUNTIF(NazočnostZaKolovoz[[#This Row],[1]:[31]],Šifra1)</f>
        <v>2</v>
      </c>
      <c r="AJ8" s="43">
        <f>COUNTIF(NazočnostZaKolovoz[[#This Row],[1]:[31]],Šifra2)</f>
        <v>4</v>
      </c>
      <c r="AK8" s="43">
        <f>COUNTIF(NazočnostZaKolovoz[[#This Row],[1]:[31]],Šifra3)</f>
        <v>1</v>
      </c>
      <c r="AL8" s="43">
        <f>COUNTIF(NazočnostZaKolovoz[[#This Row],[1]:[31]],Šifra4)</f>
        <v>16</v>
      </c>
      <c r="AM8" s="6">
        <f>SUM(NazočnostZaKolovoz[[#This Row],[O]:[N]])</f>
        <v>5</v>
      </c>
      <c r="AN8" s="4"/>
    </row>
    <row r="9" spans="1:40" s="8" customFormat="1" ht="16.5" customHeight="1" x14ac:dyDescent="0.25">
      <c r="B9" s="41" t="s">
        <v>93</v>
      </c>
      <c r="C9" t="str">
        <f>IFERROR(VLOOKUP(NazočnostZaKolovoz[[#This Row],[Identifikacijski broj učenika]],PopisUčenika[],18,FALSE),"")</f>
        <v>Učenik 3</v>
      </c>
      <c r="D9" s="20" t="s">
        <v>31</v>
      </c>
      <c r="E9" s="20" t="s">
        <v>128</v>
      </c>
      <c r="F9" s="20" t="s">
        <v>31</v>
      </c>
      <c r="G9" s="20" t="s">
        <v>31</v>
      </c>
      <c r="H9" s="20" t="s">
        <v>31</v>
      </c>
      <c r="I9" s="20" t="s">
        <v>129</v>
      </c>
      <c r="J9" s="20" t="s">
        <v>129</v>
      </c>
      <c r="K9" s="20" t="s">
        <v>31</v>
      </c>
      <c r="L9" s="20" t="s">
        <v>31</v>
      </c>
      <c r="M9" s="20" t="s">
        <v>68</v>
      </c>
      <c r="N9" s="20" t="s">
        <v>31</v>
      </c>
      <c r="O9" s="20" t="s">
        <v>31</v>
      </c>
      <c r="P9" s="20" t="s">
        <v>129</v>
      </c>
      <c r="Q9" s="20" t="s">
        <v>129</v>
      </c>
      <c r="R9" s="20" t="s">
        <v>31</v>
      </c>
      <c r="S9" s="20" t="s">
        <v>31</v>
      </c>
      <c r="T9" s="20" t="s">
        <v>31</v>
      </c>
      <c r="U9" s="20" t="s">
        <v>31</v>
      </c>
      <c r="V9" s="20" t="s">
        <v>31</v>
      </c>
      <c r="W9" s="20" t="s">
        <v>129</v>
      </c>
      <c r="X9" s="20" t="s">
        <v>129</v>
      </c>
      <c r="Y9" s="20" t="s">
        <v>31</v>
      </c>
      <c r="Z9" s="20" t="s">
        <v>31</v>
      </c>
      <c r="AA9" s="20" t="s">
        <v>128</v>
      </c>
      <c r="AB9" s="20" t="s">
        <v>128</v>
      </c>
      <c r="AC9" s="20" t="s">
        <v>31</v>
      </c>
      <c r="AD9" s="20" t="s">
        <v>129</v>
      </c>
      <c r="AE9" s="20" t="s">
        <v>129</v>
      </c>
      <c r="AF9" s="20" t="s">
        <v>31</v>
      </c>
      <c r="AG9" s="20" t="s">
        <v>31</v>
      </c>
      <c r="AH9" s="20" t="s">
        <v>31</v>
      </c>
      <c r="AI9" s="6">
        <f>COUNTIF(NazočnostZaKolovoz[[#This Row],[1]:[31]],Šifra1)</f>
        <v>0</v>
      </c>
      <c r="AJ9" s="43">
        <f>COUNTIF(NazočnostZaKolovoz[[#This Row],[1]:[31]],Šifra2)</f>
        <v>3</v>
      </c>
      <c r="AK9" s="43">
        <f>COUNTIF(NazočnostZaKolovoz[[#This Row],[1]:[31]],Šifra3)</f>
        <v>1</v>
      </c>
      <c r="AL9" s="43">
        <f>COUNTIF(NazočnostZaKolovoz[[#This Row],[1]:[31]],Šifra4)</f>
        <v>19</v>
      </c>
      <c r="AM9" s="6">
        <f>SUM(NazočnostZaKolovoz[[#This Row],[O]:[N]])</f>
        <v>4</v>
      </c>
      <c r="AN9" s="7"/>
    </row>
    <row r="10" spans="1:40" ht="16.5" customHeight="1" x14ac:dyDescent="0.25">
      <c r="B10" s="41" t="s">
        <v>94</v>
      </c>
      <c r="C10" t="str">
        <f>IFERROR(VLOOKUP(NazočnostZaKolovoz[[#This Row],[Identifikacijski broj učenika]],PopisUčenika[],18,FALSE),"")</f>
        <v>Učenik 4</v>
      </c>
      <c r="D10" s="20" t="s">
        <v>31</v>
      </c>
      <c r="E10" s="20" t="s">
        <v>31</v>
      </c>
      <c r="F10" s="20" t="s">
        <v>31</v>
      </c>
      <c r="G10" s="20" t="s">
        <v>31</v>
      </c>
      <c r="H10" s="20" t="s">
        <v>31</v>
      </c>
      <c r="I10" s="20" t="s">
        <v>129</v>
      </c>
      <c r="J10" s="20" t="s">
        <v>129</v>
      </c>
      <c r="K10" s="20" t="s">
        <v>31</v>
      </c>
      <c r="L10" s="20" t="s">
        <v>31</v>
      </c>
      <c r="M10" s="20" t="s">
        <v>31</v>
      </c>
      <c r="N10" s="20" t="s">
        <v>31</v>
      </c>
      <c r="O10" s="20" t="s">
        <v>31</v>
      </c>
      <c r="P10" s="20" t="s">
        <v>129</v>
      </c>
      <c r="Q10" s="20" t="s">
        <v>129</v>
      </c>
      <c r="R10" s="20" t="s">
        <v>31</v>
      </c>
      <c r="S10" s="20" t="s">
        <v>31</v>
      </c>
      <c r="T10" s="20" t="s">
        <v>31</v>
      </c>
      <c r="U10" s="20" t="s">
        <v>31</v>
      </c>
      <c r="V10" s="20" t="s">
        <v>31</v>
      </c>
      <c r="W10" s="20" t="s">
        <v>129</v>
      </c>
      <c r="X10" s="20" t="s">
        <v>129</v>
      </c>
      <c r="Y10" s="20" t="s">
        <v>31</v>
      </c>
      <c r="Z10" s="20" t="s">
        <v>68</v>
      </c>
      <c r="AA10" s="20" t="s">
        <v>31</v>
      </c>
      <c r="AB10" s="20" t="s">
        <v>31</v>
      </c>
      <c r="AC10" s="20" t="s">
        <v>128</v>
      </c>
      <c r="AD10" s="20" t="s">
        <v>129</v>
      </c>
      <c r="AE10" s="20" t="s">
        <v>129</v>
      </c>
      <c r="AF10" s="20" t="s">
        <v>31</v>
      </c>
      <c r="AG10" s="20" t="s">
        <v>128</v>
      </c>
      <c r="AH10" s="20" t="s">
        <v>31</v>
      </c>
      <c r="AI10" s="6">
        <f>COUNTIF(NazočnostZaKolovoz[[#This Row],[1]:[31]],Šifra1)</f>
        <v>0</v>
      </c>
      <c r="AJ10" s="43">
        <f>COUNTIF(NazočnostZaKolovoz[[#This Row],[1]:[31]],Šifra2)</f>
        <v>2</v>
      </c>
      <c r="AK10" s="43">
        <f>COUNTIF(NazočnostZaKolovoz[[#This Row],[1]:[31]],Šifra3)</f>
        <v>1</v>
      </c>
      <c r="AL10" s="43">
        <f>COUNTIF(NazočnostZaKolovoz[[#This Row],[1]:[31]],Šifra4)</f>
        <v>20</v>
      </c>
      <c r="AM10" s="6">
        <f>SUM(NazočnostZaKolovoz[[#This Row],[O]:[N]])</f>
        <v>3</v>
      </c>
      <c r="AN10" s="10"/>
    </row>
    <row r="11" spans="1:40" ht="16.5" customHeight="1" x14ac:dyDescent="0.25">
      <c r="B11" s="41" t="s">
        <v>95</v>
      </c>
      <c r="C11" t="str">
        <f>IFERROR(VLOOKUP(NazočnostZaKolovoz[[#This Row],[Identifikacijski broj učenika]],PopisUčenika[],18,FALSE),"")</f>
        <v>Učenik 5</v>
      </c>
      <c r="D11" s="20" t="s">
        <v>31</v>
      </c>
      <c r="E11" s="20" t="s">
        <v>31</v>
      </c>
      <c r="F11" s="20" t="s">
        <v>31</v>
      </c>
      <c r="G11" s="20" t="s">
        <v>31</v>
      </c>
      <c r="H11" s="20" t="s">
        <v>31</v>
      </c>
      <c r="I11" s="20" t="s">
        <v>129</v>
      </c>
      <c r="J11" s="20" t="s">
        <v>129</v>
      </c>
      <c r="K11" s="20" t="s">
        <v>31</v>
      </c>
      <c r="L11" s="20" t="s">
        <v>31</v>
      </c>
      <c r="M11" s="20" t="s">
        <v>31</v>
      </c>
      <c r="N11" s="20" t="s">
        <v>31</v>
      </c>
      <c r="O11" s="20" t="s">
        <v>31</v>
      </c>
      <c r="P11" s="20" t="s">
        <v>129</v>
      </c>
      <c r="Q11" s="20" t="s">
        <v>129</v>
      </c>
      <c r="R11" s="20" t="s">
        <v>31</v>
      </c>
      <c r="S11" s="20" t="s">
        <v>31</v>
      </c>
      <c r="T11" s="20" t="s">
        <v>31</v>
      </c>
      <c r="U11" s="20" t="s">
        <v>31</v>
      </c>
      <c r="V11" s="20" t="s">
        <v>31</v>
      </c>
      <c r="W11" s="20" t="s">
        <v>129</v>
      </c>
      <c r="X11" s="20" t="s">
        <v>129</v>
      </c>
      <c r="Y11" s="20" t="s">
        <v>31</v>
      </c>
      <c r="Z11" s="20" t="s">
        <v>31</v>
      </c>
      <c r="AA11" s="20" t="s">
        <v>31</v>
      </c>
      <c r="AB11" s="20" t="s">
        <v>31</v>
      </c>
      <c r="AC11" s="20" t="s">
        <v>31</v>
      </c>
      <c r="AD11" s="20" t="s">
        <v>129</v>
      </c>
      <c r="AE11" s="20" t="s">
        <v>129</v>
      </c>
      <c r="AF11" s="20" t="s">
        <v>31</v>
      </c>
      <c r="AG11" s="20" t="s">
        <v>31</v>
      </c>
      <c r="AH11" s="20" t="s">
        <v>31</v>
      </c>
      <c r="AI11" s="6">
        <f>COUNTIF(NazočnostZaKolovoz[[#This Row],[1]:[31]],Šifra1)</f>
        <v>0</v>
      </c>
      <c r="AJ11" s="43">
        <f>COUNTIF(NazočnostZaKolovoz[[#This Row],[1]:[31]],Šifra2)</f>
        <v>0</v>
      </c>
      <c r="AK11" s="43">
        <f>COUNTIF(NazočnostZaKolovoz[[#This Row],[1]:[31]],Šifra3)</f>
        <v>0</v>
      </c>
      <c r="AL11" s="43">
        <f>COUNTIF(NazočnostZaKolovoz[[#This Row],[1]:[31]],Šifra4)</f>
        <v>23</v>
      </c>
      <c r="AM11" s="6">
        <f>SUM(NazočnostZaKolovoz[[#This Row],[O]:[N]])</f>
        <v>0</v>
      </c>
      <c r="AN11" s="10"/>
    </row>
    <row r="12" spans="1:40" ht="16.5" customHeight="1" x14ac:dyDescent="0.25">
      <c r="B12" s="142"/>
      <c r="C12" s="143" t="s">
        <v>117</v>
      </c>
      <c r="D12" s="144">
        <f>COUNTIF(NazočnostZaKolovoz[1],"N")+COUNTIF(NazočnostZaKolovoz[1],"O")</f>
        <v>0</v>
      </c>
      <c r="E12" s="144">
        <f>COUNTIF(NazočnostZaKolovoz[2],"N")+COUNTIF(NazočnostZaKolovoz[2],"O")</f>
        <v>2</v>
      </c>
      <c r="F12" s="144">
        <f>COUNTIF(NazočnostZaKolovoz[3],"N")+COUNTIF(NazočnostZaKolovoz[3],"O")</f>
        <v>0</v>
      </c>
      <c r="G12" s="144">
        <f>COUNTIF(NazočnostZaKolovoz[4],"N")+COUNTIF(NazočnostZaKolovoz[4],"O")</f>
        <v>0</v>
      </c>
      <c r="H12" s="144">
        <f>COUNTIF(NazočnostZaKolovoz[5],"N")+COUNTIF(NazočnostZaKolovoz[5],"O")</f>
        <v>0</v>
      </c>
      <c r="I12" s="144">
        <f>COUNTIF(NazočnostZaKolovoz[6],"N")+COUNTIF(NazočnostZaKolovoz[6],"O")</f>
        <v>0</v>
      </c>
      <c r="J12" s="144">
        <f>COUNTIF(NazočnostZaKolovoz[7],"N")+COUNTIF(NazočnostZaKolovoz[7],"O")</f>
        <v>0</v>
      </c>
      <c r="K12" s="144">
        <f>COUNTIF(NazočnostZaKolovoz[8],"N")+COUNTIF(NazočnostZaKolovoz[8],"O")</f>
        <v>0</v>
      </c>
      <c r="L12" s="144">
        <f>COUNTIF(NazočnostZaKolovoz[9],"N")+COUNTIF(NazočnostZaKolovoz[9],"O")</f>
        <v>1</v>
      </c>
      <c r="M12" s="144">
        <f>COUNTIF(NazočnostZaKolovoz[10],"N")+COUNTIF(NazočnostZaKolovoz[10],"O")</f>
        <v>3</v>
      </c>
      <c r="N12" s="144">
        <f>COUNTIF(NazočnostZaKolovoz[11],"N")+COUNTIF(NazočnostZaKolovoz[11],"O")</f>
        <v>1</v>
      </c>
      <c r="O12" s="144">
        <f>COUNTIF(NazočnostZaKolovoz[12],"N")+COUNTIF(NazočnostZaKolovoz[12],"O")</f>
        <v>1</v>
      </c>
      <c r="P12" s="144">
        <f>COUNTIF(NazočnostZaKolovoz[13],"N")+COUNTIF(NazočnostZaKolovoz[13],"O")</f>
        <v>0</v>
      </c>
      <c r="Q12" s="144">
        <f>COUNTIF(NazočnostZaKolovoz[14],"N")+COUNTIF(NazočnostZaKolovoz[14],"O")</f>
        <v>0</v>
      </c>
      <c r="R12" s="144">
        <f>COUNTIF(NazočnostZaKolovoz[15],"N")+COUNTIF(NazočnostZaKolovoz[15],"O")</f>
        <v>0</v>
      </c>
      <c r="S12" s="144">
        <f>COUNTIF(NazočnostZaKolovoz[16],"N")+COUNTIF(NazočnostZaKolovoz[16],"O")</f>
        <v>0</v>
      </c>
      <c r="T12" s="144">
        <f>COUNTIF(NazočnostZaKolovoz[17],"N")+COUNTIF(NazočnostZaKolovoz[17],"O")</f>
        <v>0</v>
      </c>
      <c r="U12" s="144">
        <f>COUNTIF(NazočnostZaKolovoz[18],"N")+COUNTIF(NazočnostZaKolovoz[18],"O")</f>
        <v>0</v>
      </c>
      <c r="V12" s="144">
        <f>COUNTIF(NazočnostZaKolovoz[19],"N")+COUNTIF(NazočnostZaKolovoz[19],"O")</f>
        <v>0</v>
      </c>
      <c r="W12" s="144">
        <f>COUNTIF(NazočnostZaKolovoz[20],"N")+COUNTIF(NazočnostZaKolovoz[20],"O")</f>
        <v>0</v>
      </c>
      <c r="X12" s="144">
        <f>COUNTIF(NazočnostZaKolovoz[21],"N")+COUNTIF(NazočnostZaKolovoz[21],"O")</f>
        <v>0</v>
      </c>
      <c r="Y12" s="144">
        <f>COUNTIF(NazočnostZaKolovoz[22],"N")+COUNTIF(NazočnostZaKolovoz[22],"O")</f>
        <v>0</v>
      </c>
      <c r="Z12" s="144">
        <f>COUNTIF(NazočnostZaKolovoz[23],"N")+COUNTIF(NazočnostZaKolovoz[23],"O")</f>
        <v>1</v>
      </c>
      <c r="AA12" s="144">
        <f>COUNTIF(NazočnostZaKolovoz[24],"N")+COUNTIF(NazočnostZaKolovoz[24],"O")</f>
        <v>1</v>
      </c>
      <c r="AB12" s="144">
        <f>COUNTIF(NazočnostZaKolovoz[25],"N")+COUNTIF(NazočnostZaKolovoz[25],"O")</f>
        <v>1</v>
      </c>
      <c r="AC12" s="144">
        <f>COUNTIF(NazočnostZaKolovoz[26],"N")+COUNTIF(NazočnostZaKolovoz[26],"O")</f>
        <v>1</v>
      </c>
      <c r="AD12" s="144">
        <f>COUNTIF(NazočnostZaKolovoz[27],"N")+COUNTIF(NazočnostZaKolovoz[27],"O")</f>
        <v>0</v>
      </c>
      <c r="AE12" s="144">
        <f>COUNTIF(NazočnostZaKolovoz[28],"N")+COUNTIF(NazočnostZaKolovoz[28],"O")</f>
        <v>0</v>
      </c>
      <c r="AF12" s="144">
        <f>COUNTIF(NazočnostZaKolovoz[29],"N")+COUNTIF(NazočnostZaKolovoz[29],"O")</f>
        <v>0</v>
      </c>
      <c r="AG12" s="144">
        <f>COUNTIF(NazočnostZaKolovoz[30],"N")+COUNTIF(NazočnostZaKolovoz[30],"O")</f>
        <v>1</v>
      </c>
      <c r="AH12" s="144">
        <f>COUNTIF(NazočnostZaKolovoz[31],"N")+COUNTIF(NazočnostZaKolovoz[31],"O")</f>
        <v>0</v>
      </c>
      <c r="AI12" s="144">
        <f>SUBTOTAL(109,NazočnostZaKolovoz[K])</f>
        <v>4</v>
      </c>
      <c r="AJ12" s="144">
        <f>SUBTOTAL(109,NazočnostZaKolovoz[O])</f>
        <v>10</v>
      </c>
      <c r="AK12" s="144">
        <f>SUBTOTAL(109,NazočnostZaKolovoz[N])</f>
        <v>3</v>
      </c>
      <c r="AL12" s="144">
        <f>SUBTOTAL(109,NazočnostZaKolovoz[P])</f>
        <v>98</v>
      </c>
      <c r="AM12" s="144">
        <f>SUBTOTAL(109,NazočnostZaKolovoz[Dani izostanaka])</f>
        <v>13</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D7:AI11">
    <cfRule type="expression" dxfId="970" priority="137" stopIfTrue="1">
      <formula>D7=Šifra2</formula>
    </cfRule>
  </conditionalFormatting>
  <conditionalFormatting sqref="D7:AH11">
    <cfRule type="expression" dxfId="969" priority="146" stopIfTrue="1">
      <formula>D7=Šifra5</formula>
    </cfRule>
    <cfRule type="expression" dxfId="968" priority="147" stopIfTrue="1">
      <formula>D7=Šifra4</formula>
    </cfRule>
    <cfRule type="expression" dxfId="967" priority="148" stopIfTrue="1">
      <formula>D7=Šifra3</formula>
    </cfRule>
    <cfRule type="expression" dxfId="966" priority="149" stopIfTrue="1">
      <formula>D7=Šifra1</formula>
    </cfRule>
  </conditionalFormatting>
  <conditionalFormatting sqref="AM7:AM11">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trelica za pomicanje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40"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40" customFormat="1" ht="13.5" x14ac:dyDescent="0.25"/>
    <row r="3" spans="1:40"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40" customFormat="1" ht="16.5" customHeight="1" x14ac:dyDescent="0.25"/>
    <row r="5" spans="1:40" s="2" customFormat="1" ht="18" customHeight="1" x14ac:dyDescent="0.3">
      <c r="B5" s="55">
        <f>DATE(KalendarskaGodina,9,1)</f>
        <v>41153</v>
      </c>
      <c r="C5" s="54"/>
      <c r="D5" s="37" t="str">
        <f>TEXT(WEEKDAY(DATE(KalendarskaGodina,9,1),1),"aaa")</f>
        <v>sub</v>
      </c>
      <c r="E5" s="37" t="str">
        <f>TEXT(WEEKDAY(DATE(KalendarskaGodina,9,2),1),"aaa")</f>
        <v>ned</v>
      </c>
      <c r="F5" s="37" t="str">
        <f>TEXT(WEEKDAY(DATE(KalendarskaGodina,9,3),1),"aaa")</f>
        <v>pon</v>
      </c>
      <c r="G5" s="37" t="str">
        <f>TEXT(WEEKDAY(DATE(KalendarskaGodina,9,4),1),"aaa")</f>
        <v>uto</v>
      </c>
      <c r="H5" s="37" t="str">
        <f>TEXT(WEEKDAY(DATE(KalendarskaGodina,9,5),1),"aaa")</f>
        <v>sri</v>
      </c>
      <c r="I5" s="37" t="str">
        <f>TEXT(WEEKDAY(DATE(KalendarskaGodina,9,6),1),"aaa")</f>
        <v>čet</v>
      </c>
      <c r="J5" s="37" t="str">
        <f>TEXT(WEEKDAY(DATE(KalendarskaGodina,9,7),1),"aaa")</f>
        <v>pet</v>
      </c>
      <c r="K5" s="37" t="str">
        <f>TEXT(WEEKDAY(DATE(KalendarskaGodina,9,8),1),"aaa")</f>
        <v>sub</v>
      </c>
      <c r="L5" s="37" t="str">
        <f>TEXT(WEEKDAY(DATE(KalendarskaGodina,9,9),1),"aaa")</f>
        <v>ned</v>
      </c>
      <c r="M5" s="37" t="str">
        <f>TEXT(WEEKDAY(DATE(KalendarskaGodina,9,10),1),"aaa")</f>
        <v>pon</v>
      </c>
      <c r="N5" s="37" t="str">
        <f>TEXT(WEEKDAY(DATE(KalendarskaGodina,9,11),1),"aaa")</f>
        <v>uto</v>
      </c>
      <c r="O5" s="37" t="str">
        <f>TEXT(WEEKDAY(DATE(KalendarskaGodina,9,12),1),"aaa")</f>
        <v>sri</v>
      </c>
      <c r="P5" s="37" t="str">
        <f>TEXT(WEEKDAY(DATE(KalendarskaGodina,9,13),1),"aaa")</f>
        <v>čet</v>
      </c>
      <c r="Q5" s="37" t="str">
        <f>TEXT(WEEKDAY(DATE(KalendarskaGodina,9,14),1),"aaa")</f>
        <v>pet</v>
      </c>
      <c r="R5" s="37" t="str">
        <f>TEXT(WEEKDAY(DATE(KalendarskaGodina,9,15),1),"aaa")</f>
        <v>sub</v>
      </c>
      <c r="S5" s="37" t="str">
        <f>TEXT(WEEKDAY(DATE(KalendarskaGodina,9,16),1),"aaa")</f>
        <v>ned</v>
      </c>
      <c r="T5" s="37" t="str">
        <f>TEXT(WEEKDAY(DATE(KalendarskaGodina,9,17),1),"aaa")</f>
        <v>pon</v>
      </c>
      <c r="U5" s="37" t="str">
        <f>TEXT(WEEKDAY(DATE(KalendarskaGodina,9,18),1),"aaa")</f>
        <v>uto</v>
      </c>
      <c r="V5" s="37" t="str">
        <f>TEXT(WEEKDAY(DATE(KalendarskaGodina,9,19),1),"aaa")</f>
        <v>sri</v>
      </c>
      <c r="W5" s="37" t="str">
        <f>TEXT(WEEKDAY(DATE(KalendarskaGodina,9,20),1),"aaa")</f>
        <v>čet</v>
      </c>
      <c r="X5" s="37" t="str">
        <f>TEXT(WEEKDAY(DATE(KalendarskaGodina,9,21),1),"aaa")</f>
        <v>pet</v>
      </c>
      <c r="Y5" s="37" t="str">
        <f>TEXT(WEEKDAY(DATE(KalendarskaGodina,9,22),1),"aaa")</f>
        <v>sub</v>
      </c>
      <c r="Z5" s="37" t="str">
        <f>TEXT(WEEKDAY(DATE(KalendarskaGodina,9,23),1),"aaa")</f>
        <v>ned</v>
      </c>
      <c r="AA5" s="37" t="str">
        <f>TEXT(WEEKDAY(DATE(KalendarskaGodina,9,24),1),"aaa")</f>
        <v>pon</v>
      </c>
      <c r="AB5" s="37" t="str">
        <f>TEXT(WEEKDAY(DATE(KalendarskaGodina,9,25),1),"aaa")</f>
        <v>uto</v>
      </c>
      <c r="AC5" s="37" t="str">
        <f>TEXT(WEEKDAY(DATE(KalendarskaGodina,9,26),1),"aaa")</f>
        <v>sri</v>
      </c>
      <c r="AD5" s="37" t="str">
        <f>TEXT(WEEKDAY(DATE(KalendarskaGodina,9,27),1),"aaa")</f>
        <v>čet</v>
      </c>
      <c r="AE5" s="37" t="str">
        <f>TEXT(WEEKDAY(DATE(KalendarskaGodina,9,28),1),"aaa")</f>
        <v>pet</v>
      </c>
      <c r="AF5" s="37" t="str">
        <f>TEXT(WEEKDAY(DATE(KalendarskaGodina,9,29),1),"aaa")</f>
        <v>sub</v>
      </c>
      <c r="AG5" s="37" t="str">
        <f>TEXT(WEEKDAY(DATE(KalendarskaGodina,9,30),1),"aaa")</f>
        <v>ned</v>
      </c>
      <c r="AH5" s="37"/>
      <c r="AI5" s="119" t="s">
        <v>38</v>
      </c>
      <c r="AJ5" s="120"/>
      <c r="AK5" s="120"/>
      <c r="AL5" s="120"/>
      <c r="AM5" s="121"/>
    </row>
    <row r="6" spans="1:40" s="5" customFormat="1" ht="27" x14ac:dyDescent="0.25">
      <c r="B6" s="105" t="s">
        <v>34</v>
      </c>
      <c r="C6" s="4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116</v>
      </c>
      <c r="AI6" s="145" t="s">
        <v>127</v>
      </c>
      <c r="AJ6" s="46" t="s">
        <v>128</v>
      </c>
      <c r="AK6" s="47" t="s">
        <v>68</v>
      </c>
      <c r="AL6" s="146" t="s">
        <v>31</v>
      </c>
      <c r="AM6" s="44" t="s">
        <v>37</v>
      </c>
      <c r="AN6" s="4"/>
    </row>
    <row r="7" spans="1:40" s="5" customFormat="1" ht="16.5" customHeight="1" x14ac:dyDescent="0.25">
      <c r="B7" s="41"/>
      <c r="C7" s="42" t="str">
        <f>IFERROR(VLOOKUP(NazočnostZaRujan[[#This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COUNTIF(NazočnostZaRujan[[#This Row],[1]:[ ]],Šifra1)</f>
        <v>0</v>
      </c>
      <c r="AJ7" s="43">
        <f>COUNTIF(NazočnostZaRujan[[#This Row],[1]:[ ]],Šifra2)</f>
        <v>0</v>
      </c>
      <c r="AK7" s="43">
        <f>COUNTIF(NazočnostZaRujan[[#This Row],[1]:[ ]],Šifra3)</f>
        <v>0</v>
      </c>
      <c r="AL7" s="43">
        <f>COUNTIF(NazočnostZaRujan[[#This Row],[1]:[ ]],Šifra4)</f>
        <v>0</v>
      </c>
      <c r="AM7" s="6">
        <f>SUM(NazočnostZaRujan[[#This Row],[O]:[N]])</f>
        <v>0</v>
      </c>
      <c r="AN7" s="4"/>
    </row>
    <row r="8" spans="1:40" s="5" customFormat="1" ht="16.5" customHeight="1" x14ac:dyDescent="0.25">
      <c r="B8" s="41"/>
      <c r="C8" s="42" t="str">
        <f>IFERROR(VLOOKUP(NazočnostZaRujan[[#This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COUNTIF(NazočnostZaRujan[[#This Row],[1]:[ ]],Šifra1)</f>
        <v>0</v>
      </c>
      <c r="AJ8" s="43">
        <f>COUNTIF(NazočnostZaRujan[[#This Row],[1]:[ ]],Šifra2)</f>
        <v>0</v>
      </c>
      <c r="AK8" s="43">
        <f>COUNTIF(NazočnostZaRujan[[#This Row],[1]:[ ]],Šifra3)</f>
        <v>0</v>
      </c>
      <c r="AL8" s="43">
        <f>COUNTIF(NazočnostZaRujan[[#This Row],[1]:[ ]],Šifra4)</f>
        <v>0</v>
      </c>
      <c r="AM8" s="6">
        <f>SUM(NazočnostZaRujan[[#This Row],[O]:[N]])</f>
        <v>0</v>
      </c>
      <c r="AN8" s="4"/>
    </row>
    <row r="9" spans="1:40" s="8" customFormat="1" ht="16.5" customHeight="1" x14ac:dyDescent="0.25">
      <c r="B9" s="41"/>
      <c r="C9" s="42" t="str">
        <f>IFERROR(VLOOKUP(NazočnostZaRujan[[#This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COUNTIF(NazočnostZaRujan[[#This Row],[1]:[ ]],Šifra1)</f>
        <v>0</v>
      </c>
      <c r="AJ9" s="43">
        <f>COUNTIF(NazočnostZaRujan[[#This Row],[1]:[ ]],Šifra2)</f>
        <v>0</v>
      </c>
      <c r="AK9" s="43">
        <f>COUNTIF(NazočnostZaRujan[[#This Row],[1]:[ ]],Šifra3)</f>
        <v>0</v>
      </c>
      <c r="AL9" s="43">
        <f>COUNTIF(NazočnostZaRujan[[#This Row],[1]:[ ]],Šifra4)</f>
        <v>0</v>
      </c>
      <c r="AM9" s="6">
        <f>SUM(NazočnostZaRujan[[#This Row],[O]:[N]])</f>
        <v>0</v>
      </c>
      <c r="AN9" s="7"/>
    </row>
    <row r="10" spans="1:40" ht="16.5" customHeight="1" x14ac:dyDescent="0.25">
      <c r="B10" s="41"/>
      <c r="C10" s="42" t="str">
        <f>IFERROR(VLOOKUP(NazočnostZaRujan[[#This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COUNTIF(NazočnostZaRujan[[#This Row],[1]:[ ]],Šifra1)</f>
        <v>0</v>
      </c>
      <c r="AJ10" s="43">
        <f>COUNTIF(NazočnostZaRujan[[#This Row],[1]:[ ]],Šifra2)</f>
        <v>0</v>
      </c>
      <c r="AK10" s="43">
        <f>COUNTIF(NazočnostZaRujan[[#This Row],[1]:[ ]],Šifra3)</f>
        <v>0</v>
      </c>
      <c r="AL10" s="43">
        <f>COUNTIF(NazočnostZaRujan[[#This Row],[1]:[ ]],Šifra4)</f>
        <v>0</v>
      </c>
      <c r="AM10" s="6">
        <f>SUM(NazočnostZaRujan[[#This Row],[O]:[N]])</f>
        <v>0</v>
      </c>
      <c r="AN10" s="10"/>
    </row>
    <row r="11" spans="1:40" ht="16.5" customHeight="1" x14ac:dyDescent="0.25">
      <c r="B11" s="41"/>
      <c r="C11" s="42" t="str">
        <f>IFERROR(VLOOKUP(NazočnostZaRujan[[#This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COUNTIF(NazočnostZaRujan[[#This Row],[1]:[ ]],Šifra1)</f>
        <v>0</v>
      </c>
      <c r="AJ11" s="43">
        <f>COUNTIF(NazočnostZaRujan[[#This Row],[1]:[ ]],Šifra2)</f>
        <v>0</v>
      </c>
      <c r="AK11" s="43">
        <f>COUNTIF(NazočnostZaRujan[[#This Row],[1]:[ ]],Šifra3)</f>
        <v>0</v>
      </c>
      <c r="AL11" s="43">
        <f>COUNTIF(NazočnostZaRujan[[#This Row],[1]:[ ]],Šifra4)</f>
        <v>0</v>
      </c>
      <c r="AM11" s="6">
        <f>SUM(NazočnostZaRujan[[#This Row],[O]:[N]])</f>
        <v>0</v>
      </c>
      <c r="AN11" s="10"/>
    </row>
    <row r="12" spans="1:40" ht="16.5" customHeight="1" x14ac:dyDescent="0.25">
      <c r="B12" s="142"/>
      <c r="C12" s="143" t="s">
        <v>117</v>
      </c>
      <c r="D12" s="144">
        <f>COUNTIF(NazočnostZaRujan[1],"N")+COUNTIF(NazočnostZaRujan[1],"O")</f>
        <v>0</v>
      </c>
      <c r="E12" s="144">
        <f>COUNTIF(NazočnostZaRujan[2],"N")+COUNTIF(NazočnostZaRujan[2],"O")</f>
        <v>0</v>
      </c>
      <c r="F12" s="144">
        <f>COUNTIF(NazočnostZaRujan[3],"N")+COUNTIF(NazočnostZaRujan[3],"O")</f>
        <v>0</v>
      </c>
      <c r="G12" s="144">
        <f>COUNTIF(NazočnostZaRujan[4],"N")+COUNTIF(NazočnostZaRujan[4],"O")</f>
        <v>0</v>
      </c>
      <c r="H12" s="144">
        <f>COUNTIF(NazočnostZaRujan[5],"N")+COUNTIF(NazočnostZaRujan[5],"O")</f>
        <v>0</v>
      </c>
      <c r="I12" s="144">
        <f>COUNTIF(NazočnostZaRujan[6],"N")+COUNTIF(NazočnostZaRujan[6],"O")</f>
        <v>0</v>
      </c>
      <c r="J12" s="144">
        <f>COUNTIF(NazočnostZaRujan[7],"N")+COUNTIF(NazočnostZaRujan[7],"O")</f>
        <v>0</v>
      </c>
      <c r="K12" s="144">
        <f>COUNTIF(NazočnostZaRujan[8],"N")+COUNTIF(NazočnostZaRujan[8],"O")</f>
        <v>0</v>
      </c>
      <c r="L12" s="144">
        <f>COUNTIF(NazočnostZaRujan[9],"N")+COUNTIF(NazočnostZaRujan[9],"O")</f>
        <v>0</v>
      </c>
      <c r="M12" s="144">
        <f>COUNTIF(NazočnostZaRujan[10],"N")+COUNTIF(NazočnostZaRujan[10],"O")</f>
        <v>0</v>
      </c>
      <c r="N12" s="144">
        <f>COUNTIF(NazočnostZaRujan[11],"N")+COUNTIF(NazočnostZaRujan[11],"O")</f>
        <v>0</v>
      </c>
      <c r="O12" s="144">
        <f>COUNTIF(NazočnostZaRujan[12],"N")+COUNTIF(NazočnostZaRujan[12],"O")</f>
        <v>0</v>
      </c>
      <c r="P12" s="144">
        <f>COUNTIF(NazočnostZaRujan[13],"N")+COUNTIF(NazočnostZaRujan[13],"O")</f>
        <v>0</v>
      </c>
      <c r="Q12" s="144">
        <f>COUNTIF(NazočnostZaRujan[14],"N")+COUNTIF(NazočnostZaRujan[14],"O")</f>
        <v>0</v>
      </c>
      <c r="R12" s="144">
        <f>COUNTIF(NazočnostZaRujan[15],"N")+COUNTIF(NazočnostZaRujan[15],"O")</f>
        <v>0</v>
      </c>
      <c r="S12" s="144">
        <f>COUNTIF(NazočnostZaRujan[16],"N")+COUNTIF(NazočnostZaRujan[16],"O")</f>
        <v>0</v>
      </c>
      <c r="T12" s="144">
        <f>COUNTIF(NazočnostZaRujan[17],"N")+COUNTIF(NazočnostZaRujan[17],"O")</f>
        <v>0</v>
      </c>
      <c r="U12" s="144">
        <f>COUNTIF(NazočnostZaRujan[18],"N")+COUNTIF(NazočnostZaRujan[18],"O")</f>
        <v>0</v>
      </c>
      <c r="V12" s="144">
        <f>COUNTIF(NazočnostZaRujan[19],"N")+COUNTIF(NazočnostZaRujan[19],"O")</f>
        <v>0</v>
      </c>
      <c r="W12" s="144">
        <f>COUNTIF(NazočnostZaRujan[20],"N")+COUNTIF(NazočnostZaRujan[20],"O")</f>
        <v>0</v>
      </c>
      <c r="X12" s="144">
        <f>COUNTIF(NazočnostZaRujan[21],"N")+COUNTIF(NazočnostZaRujan[21],"O")</f>
        <v>0</v>
      </c>
      <c r="Y12" s="144">
        <f>COUNTIF(NazočnostZaRujan[22],"N")+COUNTIF(NazočnostZaRujan[22],"O")</f>
        <v>0</v>
      </c>
      <c r="Z12" s="144">
        <f>COUNTIF(NazočnostZaRujan[23],"N")+COUNTIF(NazočnostZaRujan[23],"O")</f>
        <v>0</v>
      </c>
      <c r="AA12" s="144">
        <f>COUNTIF(NazočnostZaRujan[24],"N")+COUNTIF(NazočnostZaRujan[24],"O")</f>
        <v>0</v>
      </c>
      <c r="AB12" s="144">
        <f>COUNTIF(NazočnostZaRujan[25],"N")+COUNTIF(NazočnostZaRujan[25],"O")</f>
        <v>0</v>
      </c>
      <c r="AC12" s="144">
        <f>COUNTIF(NazočnostZaRujan[26],"N")+COUNTIF(NazočnostZaRujan[26],"O")</f>
        <v>0</v>
      </c>
      <c r="AD12" s="144">
        <f>COUNTIF(NazočnostZaRujan[27],"N")+COUNTIF(NazočnostZaRujan[27],"O")</f>
        <v>0</v>
      </c>
      <c r="AE12" s="144">
        <f>COUNTIF(NazočnostZaRujan[28],"N")+COUNTIF(NazočnostZaRujan[28],"O")</f>
        <v>0</v>
      </c>
      <c r="AF12" s="144">
        <f>COUNTIF(NazočnostZaRujan[29],"N")+COUNTIF(NazočnostZaRujan[29],"O")</f>
        <v>0</v>
      </c>
      <c r="AG12" s="144">
        <f>COUNTIF(NazočnostZaRujan[30],"N")+COUNTIF(NazočnostZaRujan[30],"O")</f>
        <v>0</v>
      </c>
      <c r="AH12" s="144">
        <f>COUNTIF(NazočnostZaRujan[[ ]],"N")+COUNTIF(NazočnostZaRujan[[ ]],"O")</f>
        <v>0</v>
      </c>
      <c r="AI12" s="144">
        <f>SUBTOTAL(109,NazočnostZaRujan[K])</f>
        <v>0</v>
      </c>
      <c r="AJ12" s="144">
        <f>SUBTOTAL(109,NazočnostZaRujan[O])</f>
        <v>0</v>
      </c>
      <c r="AK12" s="144">
        <f>SUBTOTAL(109,NazočnostZaRujan[N])</f>
        <v>0</v>
      </c>
      <c r="AL12" s="144">
        <f>SUBTOTAL(109,NazočnostZaRujan[P])</f>
        <v>0</v>
      </c>
      <c r="AM12" s="144">
        <f>SUBTOTAL(109,NazočnostZaRujan[Dani izostanaka])</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G7:AI11">
    <cfRule type="expression" dxfId="960" priority="8" stopIfTrue="1">
      <formula>AG7=Šifra2</formula>
    </cfRule>
  </conditionalFormatting>
  <conditionalFormatting sqref="AG7:AH11">
    <cfRule type="expression" dxfId="959" priority="9" stopIfTrue="1">
      <formula>AG7=Šifra5</formula>
    </cfRule>
    <cfRule type="expression" dxfId="958" priority="10" stopIfTrue="1">
      <formula>AG7=Šifra4</formula>
    </cfRule>
    <cfRule type="expression" dxfId="957" priority="11" stopIfTrue="1">
      <formula>AG7=Šifra3</formula>
    </cfRule>
    <cfRule type="expression" dxfId="956" priority="12" stopIfTrue="1">
      <formula>AG7=Šifra1</formula>
    </cfRule>
  </conditionalFormatting>
  <conditionalFormatting sqref="D7:AF11">
    <cfRule type="expression" dxfId="955" priority="2" stopIfTrue="1">
      <formula>D7=Šifra2</formula>
    </cfRule>
  </conditionalFormatting>
  <conditionalFormatting sqref="D7:AF11">
    <cfRule type="expression" dxfId="954" priority="3" stopIfTrue="1">
      <formula>D7=Šifra5</formula>
    </cfRule>
    <cfRule type="expression" dxfId="953" priority="4" stopIfTrue="1">
      <formula>D7=Šifra4</formula>
    </cfRule>
    <cfRule type="expression" dxfId="952" priority="5" stopIfTrue="1">
      <formula>D7=Šifra3</formula>
    </cfRule>
    <cfRule type="expression" dxfId="951" priority="6" stopIfTrue="1">
      <formula>D7=Šifra1</formula>
    </cfRule>
  </conditionalFormatting>
  <conditionalFormatting sqref="AM7:AM11">
    <cfRule type="dataBar" priority="1">
      <dataBar>
        <cfvo type="min"/>
        <cfvo type="num" val="31"/>
        <color theme="4"/>
      </dataBar>
      <extLst>
        <ext xmlns:x14="http://schemas.microsoft.com/office/spreadsheetml/2009/9/main" uri="{B025F937-C7B1-47D3-B67F-A62EFF666E3E}">
          <x14:id>{4201FF11-B823-4681-91AD-416DA3A08505}</x14:id>
        </ext>
      </extLst>
    </cfRule>
  </conditionalFormatting>
  <dataValidations disablePrompts="1"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201FF11-B823-4681-91AD-416DA3A08505}">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40"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40" customFormat="1" ht="13.5" x14ac:dyDescent="0.25"/>
    <row r="3" spans="1:40"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40" customFormat="1" ht="16.5" customHeight="1" x14ac:dyDescent="0.25"/>
    <row r="5" spans="1:40" s="2" customFormat="1" ht="18" customHeight="1" x14ac:dyDescent="0.3">
      <c r="B5" s="55">
        <f>DATE(KalendarskaGodina,10,1)</f>
        <v>41183</v>
      </c>
      <c r="C5" s="54"/>
      <c r="D5" s="37" t="str">
        <f>TEXT(WEEKDAY(DATE(KalendarskaGodina,10,1),1),"aaa")</f>
        <v>pon</v>
      </c>
      <c r="E5" s="37" t="str">
        <f>TEXT(WEEKDAY(DATE(KalendarskaGodina,10,2),1),"aaa")</f>
        <v>uto</v>
      </c>
      <c r="F5" s="37" t="str">
        <f>TEXT(WEEKDAY(DATE(KalendarskaGodina,10,3),1),"aaa")</f>
        <v>sri</v>
      </c>
      <c r="G5" s="37" t="str">
        <f>TEXT(WEEKDAY(DATE(KalendarskaGodina,10,4),1),"aaa")</f>
        <v>čet</v>
      </c>
      <c r="H5" s="37" t="str">
        <f>TEXT(WEEKDAY(DATE(KalendarskaGodina,10,5),1),"aaa")</f>
        <v>pet</v>
      </c>
      <c r="I5" s="37" t="str">
        <f>TEXT(WEEKDAY(DATE(KalendarskaGodina,10,6),1),"aaa")</f>
        <v>sub</v>
      </c>
      <c r="J5" s="37" t="str">
        <f>TEXT(WEEKDAY(DATE(KalendarskaGodina,10,7),1),"aaa")</f>
        <v>ned</v>
      </c>
      <c r="K5" s="37" t="str">
        <f>TEXT(WEEKDAY(DATE(KalendarskaGodina,10,8),1),"aaa")</f>
        <v>pon</v>
      </c>
      <c r="L5" s="37" t="str">
        <f>TEXT(WEEKDAY(DATE(KalendarskaGodina,10,9),1),"aaa")</f>
        <v>uto</v>
      </c>
      <c r="M5" s="37" t="str">
        <f>TEXT(WEEKDAY(DATE(KalendarskaGodina,10,10),1),"aaa")</f>
        <v>sri</v>
      </c>
      <c r="N5" s="37" t="str">
        <f>TEXT(WEEKDAY(DATE(KalendarskaGodina,10,11),1),"aaa")</f>
        <v>čet</v>
      </c>
      <c r="O5" s="37" t="str">
        <f>TEXT(WEEKDAY(DATE(KalendarskaGodina,10,12),1),"aaa")</f>
        <v>pet</v>
      </c>
      <c r="P5" s="37" t="str">
        <f>TEXT(WEEKDAY(DATE(KalendarskaGodina,10,13),1),"aaa")</f>
        <v>sub</v>
      </c>
      <c r="Q5" s="37" t="str">
        <f>TEXT(WEEKDAY(DATE(KalendarskaGodina,10,14),1),"aaa")</f>
        <v>ned</v>
      </c>
      <c r="R5" s="37" t="str">
        <f>TEXT(WEEKDAY(DATE(KalendarskaGodina,10,15),1),"aaa")</f>
        <v>pon</v>
      </c>
      <c r="S5" s="37" t="str">
        <f>TEXT(WEEKDAY(DATE(KalendarskaGodina,10,16),1),"aaa")</f>
        <v>uto</v>
      </c>
      <c r="T5" s="37" t="str">
        <f>TEXT(WEEKDAY(DATE(KalendarskaGodina,10,17),1),"aaa")</f>
        <v>sri</v>
      </c>
      <c r="U5" s="37" t="str">
        <f>TEXT(WEEKDAY(DATE(KalendarskaGodina,10,18),1),"aaa")</f>
        <v>čet</v>
      </c>
      <c r="V5" s="37" t="str">
        <f>TEXT(WEEKDAY(DATE(KalendarskaGodina,10,19),1),"aaa")</f>
        <v>pet</v>
      </c>
      <c r="W5" s="37" t="str">
        <f>TEXT(WEEKDAY(DATE(KalendarskaGodina,10,20),1),"aaa")</f>
        <v>sub</v>
      </c>
      <c r="X5" s="37" t="str">
        <f>TEXT(WEEKDAY(DATE(KalendarskaGodina,10,21),1),"aaa")</f>
        <v>ned</v>
      </c>
      <c r="Y5" s="37" t="str">
        <f>TEXT(WEEKDAY(DATE(KalendarskaGodina,10,22),1),"aaa")</f>
        <v>pon</v>
      </c>
      <c r="Z5" s="37" t="str">
        <f>TEXT(WEEKDAY(DATE(KalendarskaGodina,10,23),1),"aaa")</f>
        <v>uto</v>
      </c>
      <c r="AA5" s="37" t="str">
        <f>TEXT(WEEKDAY(DATE(KalendarskaGodina,10,24),1),"aaa")</f>
        <v>sri</v>
      </c>
      <c r="AB5" s="37" t="str">
        <f>TEXT(WEEKDAY(DATE(KalendarskaGodina,10,25),1),"aaa")</f>
        <v>čet</v>
      </c>
      <c r="AC5" s="37" t="str">
        <f>TEXT(WEEKDAY(DATE(KalendarskaGodina,10,26),1),"aaa")</f>
        <v>pet</v>
      </c>
      <c r="AD5" s="37" t="str">
        <f>TEXT(WEEKDAY(DATE(KalendarskaGodina,10,27),1),"aaa")</f>
        <v>sub</v>
      </c>
      <c r="AE5" s="37" t="str">
        <f>TEXT(WEEKDAY(DATE(KalendarskaGodina,10,28),1),"aaa")</f>
        <v>ned</v>
      </c>
      <c r="AF5" s="37" t="str">
        <f>TEXT(WEEKDAY(DATE(KalendarskaGodina,10,29),1),"aaa")</f>
        <v>pon</v>
      </c>
      <c r="AG5" s="37" t="str">
        <f>TEXT(WEEKDAY(DATE(KalendarskaGodina,10,30),1),"aaa")</f>
        <v>uto</v>
      </c>
      <c r="AH5" s="37" t="str">
        <f>TEXT(WEEKDAY(DATE(KalendarskaGodina,10,31),1),"aaa")</f>
        <v>sri</v>
      </c>
      <c r="AI5" s="119" t="s">
        <v>38</v>
      </c>
      <c r="AJ5" s="120"/>
      <c r="AK5" s="120"/>
      <c r="AL5" s="120"/>
      <c r="AM5" s="121"/>
    </row>
    <row r="6" spans="1:40" s="5" customFormat="1" ht="27" x14ac:dyDescent="0.25">
      <c r="B6" s="105" t="s">
        <v>34</v>
      </c>
      <c r="C6" s="4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145" t="s">
        <v>127</v>
      </c>
      <c r="AJ6" s="46" t="s">
        <v>128</v>
      </c>
      <c r="AK6" s="47" t="s">
        <v>68</v>
      </c>
      <c r="AL6" s="146" t="s">
        <v>31</v>
      </c>
      <c r="AM6" s="44" t="s">
        <v>37</v>
      </c>
      <c r="AN6" s="4"/>
    </row>
    <row r="7" spans="1:40" s="5" customFormat="1" ht="16.5" customHeight="1" x14ac:dyDescent="0.25">
      <c r="B7" s="41"/>
      <c r="C7" s="42" t="str">
        <f>IFERROR(VLOOKUP(NazočnostZaListopad[[#This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COUNTIF(NazočnostZaListopad[[#This Row],[1]:[31]],Šifra1)</f>
        <v>0</v>
      </c>
      <c r="AJ7" s="43">
        <f>COUNTIF(NazočnostZaListopad[[#This Row],[1]:[31]],Šifra2)</f>
        <v>0</v>
      </c>
      <c r="AK7" s="43">
        <f>COUNTIF(NazočnostZaListopad[[#This Row],[1]:[31]],Šifra3)</f>
        <v>0</v>
      </c>
      <c r="AL7" s="43">
        <f>COUNTIF(NazočnostZaListopad[[#This Row],[1]:[31]],Šifra4)</f>
        <v>0</v>
      </c>
      <c r="AM7" s="6">
        <f>SUM(NazočnostZaRujan[[#This Row],[O]:[N]])</f>
        <v>0</v>
      </c>
      <c r="AN7" s="4"/>
    </row>
    <row r="8" spans="1:40" s="5" customFormat="1" ht="16.5" customHeight="1" x14ac:dyDescent="0.25">
      <c r="B8" s="41"/>
      <c r="C8" s="42" t="str">
        <f>IFERROR(VLOOKUP(NazočnostZaListopad[[#This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COUNTIF(NazočnostZaListopad[[#This Row],[1]:[31]],Šifra1)</f>
        <v>0</v>
      </c>
      <c r="AJ8" s="43">
        <f>COUNTIF(NazočnostZaListopad[[#This Row],[1]:[31]],Šifra2)</f>
        <v>0</v>
      </c>
      <c r="AK8" s="43">
        <f>COUNTIF(NazočnostZaListopad[[#This Row],[1]:[31]],Šifra3)</f>
        <v>0</v>
      </c>
      <c r="AL8" s="43">
        <f>COUNTIF(NazočnostZaListopad[[#This Row],[1]:[31]],Šifra4)</f>
        <v>0</v>
      </c>
      <c r="AM8" s="6">
        <f>SUM(NazočnostZaRujan[[#This Row],[O]:[N]])</f>
        <v>0</v>
      </c>
      <c r="AN8" s="4"/>
    </row>
    <row r="9" spans="1:40" s="8" customFormat="1" ht="16.5" customHeight="1" x14ac:dyDescent="0.25">
      <c r="B9" s="41"/>
      <c r="C9" s="42" t="str">
        <f>IFERROR(VLOOKUP(NazočnostZaListopad[[#This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COUNTIF(NazočnostZaListopad[[#This Row],[1]:[31]],Šifra1)</f>
        <v>0</v>
      </c>
      <c r="AJ9" s="43">
        <f>COUNTIF(NazočnostZaListopad[[#This Row],[1]:[31]],Šifra2)</f>
        <v>0</v>
      </c>
      <c r="AK9" s="43">
        <f>COUNTIF(NazočnostZaListopad[[#This Row],[1]:[31]],Šifra3)</f>
        <v>0</v>
      </c>
      <c r="AL9" s="43">
        <f>COUNTIF(NazočnostZaListopad[[#This Row],[1]:[31]],Šifra4)</f>
        <v>0</v>
      </c>
      <c r="AM9" s="6">
        <f>SUM(NazočnostZaRujan[[#This Row],[O]:[N]])</f>
        <v>0</v>
      </c>
      <c r="AN9" s="7"/>
    </row>
    <row r="10" spans="1:40" ht="16.5" customHeight="1" x14ac:dyDescent="0.25">
      <c r="B10" s="41"/>
      <c r="C10" s="42" t="str">
        <f>IFERROR(VLOOKUP(NazočnostZaListopad[[#This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COUNTIF(NazočnostZaListopad[[#This Row],[1]:[31]],Šifra1)</f>
        <v>0</v>
      </c>
      <c r="AJ10" s="43">
        <f>COUNTIF(NazočnostZaListopad[[#This Row],[1]:[31]],Šifra2)</f>
        <v>0</v>
      </c>
      <c r="AK10" s="43">
        <f>COUNTIF(NazočnostZaListopad[[#This Row],[1]:[31]],Šifra3)</f>
        <v>0</v>
      </c>
      <c r="AL10" s="43">
        <f>COUNTIF(NazočnostZaListopad[[#This Row],[1]:[31]],Šifra4)</f>
        <v>0</v>
      </c>
      <c r="AM10" s="6">
        <f>SUM(NazočnostZaRujan[[#This Row],[O]:[N]])</f>
        <v>0</v>
      </c>
      <c r="AN10" s="10"/>
    </row>
    <row r="11" spans="1:40" ht="16.5" customHeight="1" x14ac:dyDescent="0.25">
      <c r="B11" s="41"/>
      <c r="C11" s="42" t="str">
        <f>IFERROR(VLOOKUP(NazočnostZaListopad[[#This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COUNTIF(NazočnostZaListopad[[#This Row],[1]:[31]],Šifra1)</f>
        <v>0</v>
      </c>
      <c r="AJ11" s="43">
        <f>COUNTIF(NazočnostZaListopad[[#This Row],[1]:[31]],Šifra2)</f>
        <v>0</v>
      </c>
      <c r="AK11" s="43">
        <f>COUNTIF(NazočnostZaListopad[[#This Row],[1]:[31]],Šifra3)</f>
        <v>0</v>
      </c>
      <c r="AL11" s="43">
        <f>COUNTIF(NazočnostZaListopad[[#This Row],[1]:[31]],Šifra4)</f>
        <v>0</v>
      </c>
      <c r="AM11" s="6">
        <f>SUM(NazočnostZaRujan[[#This Row],[O]:[N]])</f>
        <v>0</v>
      </c>
      <c r="AN11" s="10"/>
    </row>
    <row r="12" spans="1:40" ht="16.5" customHeight="1" x14ac:dyDescent="0.25">
      <c r="B12" s="142"/>
      <c r="C12" s="143" t="s">
        <v>117</v>
      </c>
      <c r="D12" s="144">
        <f>COUNTIF(NazočnostZaListopad[1],"N")+COUNTIF(NazočnostZaListopad[1],"O")</f>
        <v>0</v>
      </c>
      <c r="E12" s="144">
        <f>COUNTIF(NazočnostZaListopad[2],"N")+COUNTIF(NazočnostZaListopad[2],"O")</f>
        <v>0</v>
      </c>
      <c r="F12" s="144">
        <f>COUNTIF(NazočnostZaListopad[3],"N")+COUNTIF(NazočnostZaListopad[3],"O")</f>
        <v>0</v>
      </c>
      <c r="G12" s="144">
        <f>COUNTIF(NazočnostZaListopad[4],"N")+COUNTIF(NazočnostZaListopad[4],"O")</f>
        <v>0</v>
      </c>
      <c r="H12" s="144">
        <f>COUNTIF(NazočnostZaListopad[5],"N")+COUNTIF(NazočnostZaListopad[5],"O")</f>
        <v>0</v>
      </c>
      <c r="I12" s="144">
        <f>COUNTIF(NazočnostZaListopad[6],"N")+COUNTIF(NazočnostZaListopad[6],"O")</f>
        <v>0</v>
      </c>
      <c r="J12" s="144">
        <f>COUNTIF(NazočnostZaListopad[7],"N")+COUNTIF(NazočnostZaListopad[7],"O")</f>
        <v>0</v>
      </c>
      <c r="K12" s="144">
        <f>COUNTIF(NazočnostZaListopad[8],"N")+COUNTIF(NazočnostZaListopad[8],"O")</f>
        <v>0</v>
      </c>
      <c r="L12" s="144">
        <f>COUNTIF(NazočnostZaListopad[9],"N")+COUNTIF(NazočnostZaListopad[9],"O")</f>
        <v>0</v>
      </c>
      <c r="M12" s="144">
        <f>COUNTIF(NazočnostZaListopad[10],"N")+COUNTIF(NazočnostZaListopad[10],"O")</f>
        <v>0</v>
      </c>
      <c r="N12" s="144">
        <f>COUNTIF(NazočnostZaListopad[11],"N")+COUNTIF(NazočnostZaListopad[11],"O")</f>
        <v>0</v>
      </c>
      <c r="O12" s="144">
        <f>COUNTIF(NazočnostZaListopad[12],"N")+COUNTIF(NazočnostZaListopad[12],"O")</f>
        <v>0</v>
      </c>
      <c r="P12" s="144">
        <f>COUNTIF(NazočnostZaListopad[13],"N")+COUNTIF(NazočnostZaListopad[13],"O")</f>
        <v>0</v>
      </c>
      <c r="Q12" s="144">
        <f>COUNTIF(NazočnostZaListopad[14],"N")+COUNTIF(NazočnostZaListopad[14],"O")</f>
        <v>0</v>
      </c>
      <c r="R12" s="144">
        <f>COUNTIF(NazočnostZaListopad[15],"N")+COUNTIF(NazočnostZaListopad[15],"O")</f>
        <v>0</v>
      </c>
      <c r="S12" s="144">
        <f>COUNTIF(NazočnostZaListopad[16],"N")+COUNTIF(NazočnostZaListopad[16],"O")</f>
        <v>0</v>
      </c>
      <c r="T12" s="144">
        <f>COUNTIF(NazočnostZaListopad[17],"N")+COUNTIF(NazočnostZaListopad[17],"O")</f>
        <v>0</v>
      </c>
      <c r="U12" s="144">
        <f>COUNTIF(NazočnostZaListopad[18],"N")+COUNTIF(NazočnostZaListopad[18],"O")</f>
        <v>0</v>
      </c>
      <c r="V12" s="144">
        <f>COUNTIF(NazočnostZaListopad[19],"N")+COUNTIF(NazočnostZaListopad[19],"O")</f>
        <v>0</v>
      </c>
      <c r="W12" s="144">
        <f>COUNTIF(NazočnostZaListopad[20],"N")+COUNTIF(NazočnostZaListopad[20],"O")</f>
        <v>0</v>
      </c>
      <c r="X12" s="144">
        <f>COUNTIF(NazočnostZaListopad[21],"N")+COUNTIF(NazočnostZaListopad[21],"O")</f>
        <v>0</v>
      </c>
      <c r="Y12" s="144">
        <f>COUNTIF(NazočnostZaListopad[22],"N")+COUNTIF(NazočnostZaListopad[22],"O")</f>
        <v>0</v>
      </c>
      <c r="Z12" s="144">
        <f>COUNTIF(NazočnostZaListopad[23],"N")+COUNTIF(NazočnostZaListopad[23],"O")</f>
        <v>0</v>
      </c>
      <c r="AA12" s="144">
        <f>COUNTIF(NazočnostZaListopad[24],"N")+COUNTIF(NazočnostZaListopad[24],"O")</f>
        <v>0</v>
      </c>
      <c r="AB12" s="144">
        <f>COUNTIF(NazočnostZaListopad[25],"N")+COUNTIF(NazočnostZaListopad[25],"O")</f>
        <v>0</v>
      </c>
      <c r="AC12" s="144">
        <f>COUNTIF(NazočnostZaListopad[26],"N")+COUNTIF(NazočnostZaListopad[26],"O")</f>
        <v>0</v>
      </c>
      <c r="AD12" s="144">
        <f>COUNTIF(NazočnostZaListopad[27],"N")+COUNTIF(NazočnostZaListopad[27],"O")</f>
        <v>0</v>
      </c>
      <c r="AE12" s="144">
        <f>COUNTIF(NazočnostZaListopad[28],"N")+COUNTIF(NazočnostZaListopad[28],"O")</f>
        <v>0</v>
      </c>
      <c r="AF12" s="144">
        <f>COUNTIF(NazočnostZaListopad[29],"N")+COUNTIF(NazočnostZaListopad[29],"O")</f>
        <v>0</v>
      </c>
      <c r="AG12" s="144">
        <f>COUNTIF(NazočnostZaListopad[30],"N")+COUNTIF(NazočnostZaListopad[30],"O")</f>
        <v>0</v>
      </c>
      <c r="AH12" s="144">
        <f>COUNTIF(NazočnostZaListopad[31],"N")+COUNTIF(NazočnostZaListopad[31],"O")</f>
        <v>0</v>
      </c>
      <c r="AI12" s="144">
        <f>SUBTOTAL(109,NazočnostZaListopad[K])</f>
        <v>0</v>
      </c>
      <c r="AJ12" s="144">
        <f>SUBTOTAL(109,NazočnostZaListopad[O])</f>
        <v>0</v>
      </c>
      <c r="AK12" s="144">
        <f>SUBTOTAL(109,NazočnostZaListopad[N])</f>
        <v>0</v>
      </c>
      <c r="AL12" s="144">
        <f>SUBTOTAL(109,NazočnostZaListopad[P])</f>
        <v>0</v>
      </c>
      <c r="AM12" s="144">
        <f>SUBTOTAL(109,NazočnostZaListopad[Dani izostanaka])</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914" priority="7" stopIfTrue="1">
      <formula>AG7=Šifra2</formula>
    </cfRule>
  </conditionalFormatting>
  <conditionalFormatting sqref="AG7:AH11">
    <cfRule type="expression" dxfId="913" priority="8" stopIfTrue="1">
      <formula>AG7=Šifra5</formula>
    </cfRule>
    <cfRule type="expression" dxfId="912" priority="9" stopIfTrue="1">
      <formula>AG7=Šifra4</formula>
    </cfRule>
    <cfRule type="expression" dxfId="911" priority="10" stopIfTrue="1">
      <formula>AG7=Šifra3</formula>
    </cfRule>
    <cfRule type="expression" dxfId="910" priority="11" stopIfTrue="1">
      <formula>AG7=Šifra1</formula>
    </cfRule>
  </conditionalFormatting>
  <conditionalFormatting sqref="D7:AF11">
    <cfRule type="expression" dxfId="909" priority="1" stopIfTrue="1">
      <formula>D7=Šifra2</formula>
    </cfRule>
  </conditionalFormatting>
  <conditionalFormatting sqref="D7:AF11">
    <cfRule type="expression" dxfId="908" priority="2" stopIfTrue="1">
      <formula>D7=Šifra5</formula>
    </cfRule>
    <cfRule type="expression" dxfId="907" priority="3" stopIfTrue="1">
      <formula>D7=Šifra4</formula>
    </cfRule>
    <cfRule type="expression" dxfId="906" priority="4" stopIfTrue="1">
      <formula>D7=Šifra3</formula>
    </cfRule>
    <cfRule type="expression" dxfId="905" priority="5"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40"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40" customFormat="1" ht="13.5" x14ac:dyDescent="0.25"/>
    <row r="3" spans="1:40"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40" customFormat="1" ht="16.5" customHeight="1" x14ac:dyDescent="0.25"/>
    <row r="5" spans="1:40" s="2" customFormat="1" ht="18" customHeight="1" x14ac:dyDescent="0.3">
      <c r="B5" s="55">
        <f>DATE(KalendarskaGodina,11,1)</f>
        <v>41214</v>
      </c>
      <c r="C5" s="54"/>
      <c r="D5" s="37" t="str">
        <f>TEXT(WEEKDAY(DATE(KalendarskaGodina,11,1),1),"aaa")</f>
        <v>čet</v>
      </c>
      <c r="E5" s="37" t="str">
        <f>TEXT(WEEKDAY(DATE(KalendarskaGodina,11,2),1),"aaa")</f>
        <v>pet</v>
      </c>
      <c r="F5" s="37" t="str">
        <f>TEXT(WEEKDAY(DATE(KalendarskaGodina,11,3),1),"aaa")</f>
        <v>sub</v>
      </c>
      <c r="G5" s="37" t="str">
        <f>TEXT(WEEKDAY(DATE(KalendarskaGodina,11,4),1),"aaa")</f>
        <v>ned</v>
      </c>
      <c r="H5" s="37" t="str">
        <f>TEXT(WEEKDAY(DATE(KalendarskaGodina,11,5),1),"aaa")</f>
        <v>pon</v>
      </c>
      <c r="I5" s="37" t="str">
        <f>TEXT(WEEKDAY(DATE(KalendarskaGodina,11,6),1),"aaa")</f>
        <v>uto</v>
      </c>
      <c r="J5" s="37" t="str">
        <f>TEXT(WEEKDAY(DATE(KalendarskaGodina,11,7),1),"aaa")</f>
        <v>sri</v>
      </c>
      <c r="K5" s="37" t="str">
        <f>TEXT(WEEKDAY(DATE(KalendarskaGodina,11,8),1),"aaa")</f>
        <v>čet</v>
      </c>
      <c r="L5" s="37" t="str">
        <f>TEXT(WEEKDAY(DATE(KalendarskaGodina,11,9),1),"aaa")</f>
        <v>pet</v>
      </c>
      <c r="M5" s="37" t="str">
        <f>TEXT(WEEKDAY(DATE(KalendarskaGodina,11,10),1),"aaa")</f>
        <v>sub</v>
      </c>
      <c r="N5" s="37" t="str">
        <f>TEXT(WEEKDAY(DATE(KalendarskaGodina,11,11),1),"aaa")</f>
        <v>ned</v>
      </c>
      <c r="O5" s="37" t="str">
        <f>TEXT(WEEKDAY(DATE(KalendarskaGodina,11,12),1),"aaa")</f>
        <v>pon</v>
      </c>
      <c r="P5" s="37" t="str">
        <f>TEXT(WEEKDAY(DATE(KalendarskaGodina,11,13),1),"aaa")</f>
        <v>uto</v>
      </c>
      <c r="Q5" s="37" t="str">
        <f>TEXT(WEEKDAY(DATE(KalendarskaGodina,11,14),1),"aaa")</f>
        <v>sri</v>
      </c>
      <c r="R5" s="37" t="str">
        <f>TEXT(WEEKDAY(DATE(KalendarskaGodina,11,15),1),"aaa")</f>
        <v>čet</v>
      </c>
      <c r="S5" s="37" t="str">
        <f>TEXT(WEEKDAY(DATE(KalendarskaGodina,11,16),1),"aaa")</f>
        <v>pet</v>
      </c>
      <c r="T5" s="37" t="str">
        <f>TEXT(WEEKDAY(DATE(KalendarskaGodina,11,17),1),"aaa")</f>
        <v>sub</v>
      </c>
      <c r="U5" s="37" t="str">
        <f>TEXT(WEEKDAY(DATE(KalendarskaGodina,11,18),1),"aaa")</f>
        <v>ned</v>
      </c>
      <c r="V5" s="37" t="str">
        <f>TEXT(WEEKDAY(DATE(KalendarskaGodina,11,19),1),"aaa")</f>
        <v>pon</v>
      </c>
      <c r="W5" s="37" t="str">
        <f>TEXT(WEEKDAY(DATE(KalendarskaGodina,11,20),1),"aaa")</f>
        <v>uto</v>
      </c>
      <c r="X5" s="37" t="str">
        <f>TEXT(WEEKDAY(DATE(KalendarskaGodina,11,21),1),"aaa")</f>
        <v>sri</v>
      </c>
      <c r="Y5" s="37" t="str">
        <f>TEXT(WEEKDAY(DATE(KalendarskaGodina,11,22),1),"aaa")</f>
        <v>čet</v>
      </c>
      <c r="Z5" s="37" t="str">
        <f>TEXT(WEEKDAY(DATE(KalendarskaGodina,11,23),1),"aaa")</f>
        <v>pet</v>
      </c>
      <c r="AA5" s="37" t="str">
        <f>TEXT(WEEKDAY(DATE(KalendarskaGodina,11,24),1),"aaa")</f>
        <v>sub</v>
      </c>
      <c r="AB5" s="37" t="str">
        <f>TEXT(WEEKDAY(DATE(KalendarskaGodina,11,25),1),"aaa")</f>
        <v>ned</v>
      </c>
      <c r="AC5" s="37" t="str">
        <f>TEXT(WEEKDAY(DATE(KalendarskaGodina,11,26),1),"aaa")</f>
        <v>pon</v>
      </c>
      <c r="AD5" s="37" t="str">
        <f>TEXT(WEEKDAY(DATE(KalendarskaGodina,11,27),1),"aaa")</f>
        <v>uto</v>
      </c>
      <c r="AE5" s="37" t="str">
        <f>TEXT(WEEKDAY(DATE(KalendarskaGodina,11,28),1),"aaa")</f>
        <v>sri</v>
      </c>
      <c r="AF5" s="37" t="str">
        <f>TEXT(WEEKDAY(DATE(KalendarskaGodina,11,29),1),"aaa")</f>
        <v>čet</v>
      </c>
      <c r="AG5" s="37" t="str">
        <f>TEXT(WEEKDAY(DATE(KalendarskaGodina,11,30),1),"aaa")</f>
        <v>pet</v>
      </c>
      <c r="AH5" s="37"/>
      <c r="AI5" s="119" t="s">
        <v>38</v>
      </c>
      <c r="AJ5" s="120"/>
      <c r="AK5" s="120"/>
      <c r="AL5" s="120"/>
      <c r="AM5" s="121"/>
    </row>
    <row r="6" spans="1:40" s="5" customFormat="1" ht="27" x14ac:dyDescent="0.25">
      <c r="B6" s="105" t="s">
        <v>34</v>
      </c>
      <c r="C6" s="4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116</v>
      </c>
      <c r="AI6" s="145" t="s">
        <v>127</v>
      </c>
      <c r="AJ6" s="46" t="s">
        <v>128</v>
      </c>
      <c r="AK6" s="47" t="s">
        <v>68</v>
      </c>
      <c r="AL6" s="146" t="s">
        <v>31</v>
      </c>
      <c r="AM6" s="44" t="s">
        <v>37</v>
      </c>
      <c r="AN6" s="4"/>
    </row>
    <row r="7" spans="1:40" s="5" customFormat="1" ht="16.5" customHeight="1" x14ac:dyDescent="0.25">
      <c r="B7" s="41"/>
      <c r="C7" s="42" t="str">
        <f>IFERROR(VLOOKUP(NazočnostZaStudeni[[#This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COUNTIF(NazočnostZaStudeni[[#This Row],[1]:[ ]],Šifra1)</f>
        <v>0</v>
      </c>
      <c r="AJ7" s="43">
        <f>COUNTIF(NazočnostZaStudeni[[#This Row],[1]:[ ]],Šifra2)</f>
        <v>0</v>
      </c>
      <c r="AK7" s="43">
        <f>COUNTIF(NazočnostZaStudeni[[#This Row],[1]:[ ]],Šifra3)</f>
        <v>0</v>
      </c>
      <c r="AL7" s="43">
        <f>COUNTIF(NazočnostZaStudeni[[#This Row],[1]:[ ]],Šifra4)</f>
        <v>0</v>
      </c>
      <c r="AM7" s="6">
        <f>SUM(NazočnostZaRujan[[#This Row],[O]:[N]])</f>
        <v>0</v>
      </c>
      <c r="AN7" s="4"/>
    </row>
    <row r="8" spans="1:40" s="5" customFormat="1" ht="16.5" customHeight="1" x14ac:dyDescent="0.25">
      <c r="B8" s="41"/>
      <c r="C8" s="42" t="str">
        <f>IFERROR(VLOOKUP(NazočnostZaStudeni[[#This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COUNTIF(NazočnostZaStudeni[[#This Row],[1]:[ ]],Šifra1)</f>
        <v>0</v>
      </c>
      <c r="AJ8" s="43">
        <f>COUNTIF(NazočnostZaStudeni[[#This Row],[1]:[ ]],Šifra2)</f>
        <v>0</v>
      </c>
      <c r="AK8" s="43">
        <f>COUNTIF(NazočnostZaStudeni[[#This Row],[1]:[ ]],Šifra3)</f>
        <v>0</v>
      </c>
      <c r="AL8" s="43">
        <f>COUNTIF(NazočnostZaStudeni[[#This Row],[1]:[ ]],Šifra4)</f>
        <v>0</v>
      </c>
      <c r="AM8" s="6">
        <f>SUM(NazočnostZaRujan[[#This Row],[O]:[N]])</f>
        <v>0</v>
      </c>
      <c r="AN8" s="4"/>
    </row>
    <row r="9" spans="1:40" s="8" customFormat="1" ht="16.5" customHeight="1" x14ac:dyDescent="0.25">
      <c r="B9" s="41"/>
      <c r="C9" s="42" t="str">
        <f>IFERROR(VLOOKUP(NazočnostZaStudeni[[#This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COUNTIF(NazočnostZaStudeni[[#This Row],[1]:[ ]],Šifra1)</f>
        <v>0</v>
      </c>
      <c r="AJ9" s="43">
        <f>COUNTIF(NazočnostZaStudeni[[#This Row],[1]:[ ]],Šifra2)</f>
        <v>0</v>
      </c>
      <c r="AK9" s="43">
        <f>COUNTIF(NazočnostZaStudeni[[#This Row],[1]:[ ]],Šifra3)</f>
        <v>0</v>
      </c>
      <c r="AL9" s="43">
        <f>COUNTIF(NazočnostZaStudeni[[#This Row],[1]:[ ]],Šifra4)</f>
        <v>0</v>
      </c>
      <c r="AM9" s="6">
        <f>SUM(NazočnostZaRujan[[#This Row],[O]:[N]])</f>
        <v>0</v>
      </c>
      <c r="AN9" s="7"/>
    </row>
    <row r="10" spans="1:40" ht="16.5" customHeight="1" x14ac:dyDescent="0.25">
      <c r="B10" s="41"/>
      <c r="C10" s="42" t="str">
        <f>IFERROR(VLOOKUP(NazočnostZaStudeni[[#This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COUNTIF(NazočnostZaStudeni[[#This Row],[1]:[ ]],Šifra1)</f>
        <v>0</v>
      </c>
      <c r="AJ10" s="43">
        <f>COUNTIF(NazočnostZaStudeni[[#This Row],[1]:[ ]],Šifra2)</f>
        <v>0</v>
      </c>
      <c r="AK10" s="43">
        <f>COUNTIF(NazočnostZaStudeni[[#This Row],[1]:[ ]],Šifra3)</f>
        <v>0</v>
      </c>
      <c r="AL10" s="43">
        <f>COUNTIF(NazočnostZaStudeni[[#This Row],[1]:[ ]],Šifra4)</f>
        <v>0</v>
      </c>
      <c r="AM10" s="6">
        <f>SUM(NazočnostZaRujan[[#This Row],[O]:[N]])</f>
        <v>0</v>
      </c>
      <c r="AN10" s="10"/>
    </row>
    <row r="11" spans="1:40" ht="16.5" customHeight="1" x14ac:dyDescent="0.25">
      <c r="B11" s="41"/>
      <c r="C11" s="42" t="str">
        <f>IFERROR(VLOOKUP(NazočnostZaStudeni[[#This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COUNTIF(NazočnostZaStudeni[[#This Row],[1]:[ ]],Šifra1)</f>
        <v>0</v>
      </c>
      <c r="AJ11" s="43">
        <f>COUNTIF(NazočnostZaStudeni[[#This Row],[1]:[ ]],Šifra2)</f>
        <v>0</v>
      </c>
      <c r="AK11" s="43">
        <f>COUNTIF(NazočnostZaStudeni[[#This Row],[1]:[ ]],Šifra3)</f>
        <v>0</v>
      </c>
      <c r="AL11" s="43">
        <f>COUNTIF(NazočnostZaStudeni[[#This Row],[1]:[ ]],Šifra4)</f>
        <v>0</v>
      </c>
      <c r="AM11" s="6">
        <f>SUM(NazočnostZaRujan[[#This Row],[O]:[N]])</f>
        <v>0</v>
      </c>
      <c r="AN11" s="10"/>
    </row>
    <row r="12" spans="1:40" ht="16.5" customHeight="1" x14ac:dyDescent="0.25">
      <c r="B12" s="142"/>
      <c r="C12" s="143" t="s">
        <v>117</v>
      </c>
      <c r="D12" s="144">
        <f>COUNTIF(NazočnostZaStudeni[1],"N")+COUNTIF(NazočnostZaStudeni[1],"O")</f>
        <v>0</v>
      </c>
      <c r="E12" s="144">
        <f>COUNTIF(NazočnostZaStudeni[2],"N")+COUNTIF(NazočnostZaStudeni[2],"O")</f>
        <v>0</v>
      </c>
      <c r="F12" s="144">
        <f>COUNTIF(NazočnostZaStudeni[3],"N")+COUNTIF(NazočnostZaStudeni[3],"O")</f>
        <v>0</v>
      </c>
      <c r="G12" s="144">
        <f>COUNTIF(NazočnostZaStudeni[4],"N")+COUNTIF(NazočnostZaStudeni[4],"O")</f>
        <v>0</v>
      </c>
      <c r="H12" s="144">
        <f>COUNTIF(NazočnostZaStudeni[5],"N")+COUNTIF(NazočnostZaStudeni[5],"O")</f>
        <v>0</v>
      </c>
      <c r="I12" s="144">
        <f>COUNTIF(NazočnostZaStudeni[6],"N")+COUNTIF(NazočnostZaStudeni[6],"O")</f>
        <v>0</v>
      </c>
      <c r="J12" s="144">
        <f>COUNTIF(NazočnostZaStudeni[7],"N")+COUNTIF(NazočnostZaStudeni[7],"O")</f>
        <v>0</v>
      </c>
      <c r="K12" s="144">
        <f>COUNTIF(NazočnostZaStudeni[8],"N")+COUNTIF(NazočnostZaStudeni[8],"O")</f>
        <v>0</v>
      </c>
      <c r="L12" s="144">
        <f>COUNTIF(NazočnostZaStudeni[9],"N")+COUNTIF(NazočnostZaStudeni[9],"O")</f>
        <v>0</v>
      </c>
      <c r="M12" s="144">
        <f>COUNTIF(NazočnostZaStudeni[10],"N")+COUNTIF(NazočnostZaStudeni[10],"O")</f>
        <v>0</v>
      </c>
      <c r="N12" s="144">
        <f>COUNTIF(NazočnostZaStudeni[11],"N")+COUNTIF(NazočnostZaStudeni[11],"O")</f>
        <v>0</v>
      </c>
      <c r="O12" s="144">
        <f>COUNTIF(NazočnostZaStudeni[12],"N")+COUNTIF(NazočnostZaStudeni[12],"O")</f>
        <v>0</v>
      </c>
      <c r="P12" s="144">
        <f>COUNTIF(NazočnostZaStudeni[13],"N")+COUNTIF(NazočnostZaStudeni[13],"O")</f>
        <v>0</v>
      </c>
      <c r="Q12" s="144">
        <f>COUNTIF(NazočnostZaStudeni[14],"N")+COUNTIF(NazočnostZaStudeni[14],"O")</f>
        <v>0</v>
      </c>
      <c r="R12" s="144">
        <f>COUNTIF(NazočnostZaStudeni[15],"N")+COUNTIF(NazočnostZaStudeni[15],"O")</f>
        <v>0</v>
      </c>
      <c r="S12" s="144">
        <f>COUNTIF(NazočnostZaStudeni[16],"N")+COUNTIF(NazočnostZaStudeni[16],"O")</f>
        <v>0</v>
      </c>
      <c r="T12" s="144">
        <f>COUNTIF(NazočnostZaStudeni[17],"N")+COUNTIF(NazočnostZaStudeni[17],"O")</f>
        <v>0</v>
      </c>
      <c r="U12" s="144">
        <f>COUNTIF(NazočnostZaStudeni[18],"N")+COUNTIF(NazočnostZaStudeni[18],"O")</f>
        <v>0</v>
      </c>
      <c r="V12" s="144">
        <f>COUNTIF(NazočnostZaStudeni[19],"N")+COUNTIF(NazočnostZaStudeni[19],"O")</f>
        <v>0</v>
      </c>
      <c r="W12" s="144">
        <f>COUNTIF(NazočnostZaStudeni[20],"N")+COUNTIF(NazočnostZaStudeni[20],"O")</f>
        <v>0</v>
      </c>
      <c r="X12" s="144">
        <f>COUNTIF(NazočnostZaStudeni[21],"N")+COUNTIF(NazočnostZaStudeni[21],"O")</f>
        <v>0</v>
      </c>
      <c r="Y12" s="144">
        <f>COUNTIF(NazočnostZaStudeni[22],"N")+COUNTIF(NazočnostZaStudeni[22],"O")</f>
        <v>0</v>
      </c>
      <c r="Z12" s="144">
        <f>COUNTIF(NazočnostZaStudeni[23],"N")+COUNTIF(NazočnostZaStudeni[23],"O")</f>
        <v>0</v>
      </c>
      <c r="AA12" s="144">
        <f>COUNTIF(NazočnostZaStudeni[24],"N")+COUNTIF(NazočnostZaStudeni[24],"O")</f>
        <v>0</v>
      </c>
      <c r="AB12" s="144">
        <f>COUNTIF(NazočnostZaStudeni[25],"N")+COUNTIF(NazočnostZaStudeni[25],"O")</f>
        <v>0</v>
      </c>
      <c r="AC12" s="144">
        <f>COUNTIF(NazočnostZaStudeni[26],"N")+COUNTIF(NazočnostZaStudeni[26],"O")</f>
        <v>0</v>
      </c>
      <c r="AD12" s="144">
        <f>COUNTIF(NazočnostZaStudeni[27],"N")+COUNTIF(NazočnostZaStudeni[27],"O")</f>
        <v>0</v>
      </c>
      <c r="AE12" s="144">
        <f>COUNTIF(NazočnostZaStudeni[28],"N")+COUNTIF(NazočnostZaStudeni[28],"O")</f>
        <v>0</v>
      </c>
      <c r="AF12" s="144">
        <f>COUNTIF(NazočnostZaStudeni[29],"N")+COUNTIF(NazočnostZaStudeni[29],"O")</f>
        <v>0</v>
      </c>
      <c r="AG12" s="144">
        <f>COUNTIF(NazočnostZaStudeni[30],"N")+COUNTIF(NazočnostZaStudeni[30],"O")</f>
        <v>0</v>
      </c>
      <c r="AH12" s="144">
        <f>COUNTIF(NazočnostZaStudeni[[ ]],"N")+COUNTIF(NazočnostZaStudeni[[ ]],"O")</f>
        <v>0</v>
      </c>
      <c r="AI12" s="144">
        <f>SUBTOTAL(109,NazočnostZaStudeni[K])</f>
        <v>0</v>
      </c>
      <c r="AJ12" s="144">
        <f>SUBTOTAL(109,NazočnostZaStudeni[O])</f>
        <v>0</v>
      </c>
      <c r="AK12" s="144">
        <f>SUBTOTAL(109,NazočnostZaStudeni[N])</f>
        <v>0</v>
      </c>
      <c r="AL12" s="144">
        <f>SUBTOTAL(109,NazočnostZaStudeni[P])</f>
        <v>0</v>
      </c>
      <c r="AM12" s="144">
        <f>SUBTOTAL(109,NazočnostZaStudeni[Dani izostanaka])</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869" priority="7" stopIfTrue="1">
      <formula>AG7=Šifra2</formula>
    </cfRule>
  </conditionalFormatting>
  <conditionalFormatting sqref="AG7:AH11">
    <cfRule type="expression" dxfId="868" priority="8" stopIfTrue="1">
      <formula>AG7=Šifra5</formula>
    </cfRule>
    <cfRule type="expression" dxfId="867" priority="9" stopIfTrue="1">
      <formula>AG7=Šifra4</formula>
    </cfRule>
    <cfRule type="expression" dxfId="866" priority="10" stopIfTrue="1">
      <formula>AG7=Šifra3</formula>
    </cfRule>
    <cfRule type="expression" dxfId="865" priority="11" stopIfTrue="1">
      <formula>AG7=Šifra1</formula>
    </cfRule>
  </conditionalFormatting>
  <conditionalFormatting sqref="D7:AF11">
    <cfRule type="expression" dxfId="864" priority="1" stopIfTrue="1">
      <formula>D7=Šifra2</formula>
    </cfRule>
  </conditionalFormatting>
  <conditionalFormatting sqref="D7:AF11">
    <cfRule type="expression" dxfId="863" priority="2" stopIfTrue="1">
      <formula>D7=Šifra5</formula>
    </cfRule>
    <cfRule type="expression" dxfId="862" priority="3" stopIfTrue="1">
      <formula>D7=Šifra4</formula>
    </cfRule>
    <cfRule type="expression" dxfId="861" priority="4" stopIfTrue="1">
      <formula>D7=Šifra3</formula>
    </cfRule>
    <cfRule type="expression" dxfId="860" priority="5"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40"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40" customFormat="1" ht="13.5" x14ac:dyDescent="0.25"/>
    <row r="3" spans="1:40"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40" customFormat="1" ht="16.5" customHeight="1" x14ac:dyDescent="0.25"/>
    <row r="5" spans="1:40" s="2" customFormat="1" ht="18" customHeight="1" x14ac:dyDescent="0.3">
      <c r="B5" s="55">
        <f>DATE(KalendarskaGodina,12,1)</f>
        <v>41244</v>
      </c>
      <c r="C5" s="54"/>
      <c r="D5" s="37" t="str">
        <f>TEXT(WEEKDAY(DATE(KalendarskaGodina,12,1),1),"aaa")</f>
        <v>sub</v>
      </c>
      <c r="E5" s="37" t="str">
        <f>TEXT(WEEKDAY(DATE(KalendarskaGodina,12,2),1),"aaa")</f>
        <v>ned</v>
      </c>
      <c r="F5" s="37" t="str">
        <f>TEXT(WEEKDAY(DATE(KalendarskaGodina,12,3),1),"aaa")</f>
        <v>pon</v>
      </c>
      <c r="G5" s="37" t="str">
        <f>TEXT(WEEKDAY(DATE(KalendarskaGodina,12,4),1),"aaa")</f>
        <v>uto</v>
      </c>
      <c r="H5" s="37" t="str">
        <f>TEXT(WEEKDAY(DATE(KalendarskaGodina,12,5),1),"aaa")</f>
        <v>sri</v>
      </c>
      <c r="I5" s="37" t="str">
        <f>TEXT(WEEKDAY(DATE(KalendarskaGodina,12,6),1),"aaa")</f>
        <v>čet</v>
      </c>
      <c r="J5" s="37" t="str">
        <f>TEXT(WEEKDAY(DATE(KalendarskaGodina,12,7),1),"aaa")</f>
        <v>pet</v>
      </c>
      <c r="K5" s="37" t="str">
        <f>TEXT(WEEKDAY(DATE(KalendarskaGodina,12,8),1),"aaa")</f>
        <v>sub</v>
      </c>
      <c r="L5" s="37" t="str">
        <f>TEXT(WEEKDAY(DATE(KalendarskaGodina,12,9),1),"aaa")</f>
        <v>ned</v>
      </c>
      <c r="M5" s="37" t="str">
        <f>TEXT(WEEKDAY(DATE(KalendarskaGodina,12,10),1),"aaa")</f>
        <v>pon</v>
      </c>
      <c r="N5" s="37" t="str">
        <f>TEXT(WEEKDAY(DATE(KalendarskaGodina,12,11),1),"aaa")</f>
        <v>uto</v>
      </c>
      <c r="O5" s="37" t="str">
        <f>TEXT(WEEKDAY(DATE(KalendarskaGodina,12,12),1),"aaa")</f>
        <v>sri</v>
      </c>
      <c r="P5" s="37" t="str">
        <f>TEXT(WEEKDAY(DATE(KalendarskaGodina,12,13),1),"aaa")</f>
        <v>čet</v>
      </c>
      <c r="Q5" s="37" t="str">
        <f>TEXT(WEEKDAY(DATE(KalendarskaGodina,12,14),1),"aaa")</f>
        <v>pet</v>
      </c>
      <c r="R5" s="37" t="str">
        <f>TEXT(WEEKDAY(DATE(KalendarskaGodina,12,15),1),"aaa")</f>
        <v>sub</v>
      </c>
      <c r="S5" s="37" t="str">
        <f>TEXT(WEEKDAY(DATE(KalendarskaGodina,12,16),1),"aaa")</f>
        <v>ned</v>
      </c>
      <c r="T5" s="37" t="str">
        <f>TEXT(WEEKDAY(DATE(KalendarskaGodina,12,17),1),"aaa")</f>
        <v>pon</v>
      </c>
      <c r="U5" s="37" t="str">
        <f>TEXT(WEEKDAY(DATE(KalendarskaGodina,12,18),1),"aaa")</f>
        <v>uto</v>
      </c>
      <c r="V5" s="37" t="str">
        <f>TEXT(WEEKDAY(DATE(KalendarskaGodina,12,19),1),"aaa")</f>
        <v>sri</v>
      </c>
      <c r="W5" s="37" t="str">
        <f>TEXT(WEEKDAY(DATE(KalendarskaGodina,12,20),1),"aaa")</f>
        <v>čet</v>
      </c>
      <c r="X5" s="37" t="str">
        <f>TEXT(WEEKDAY(DATE(KalendarskaGodina,12,21),1),"aaa")</f>
        <v>pet</v>
      </c>
      <c r="Y5" s="37" t="str">
        <f>TEXT(WEEKDAY(DATE(KalendarskaGodina,12,22),1),"aaa")</f>
        <v>sub</v>
      </c>
      <c r="Z5" s="37" t="str">
        <f>TEXT(WEEKDAY(DATE(KalendarskaGodina,12,23),1),"aaa")</f>
        <v>ned</v>
      </c>
      <c r="AA5" s="37" t="str">
        <f>TEXT(WEEKDAY(DATE(KalendarskaGodina,12,24),1),"aaa")</f>
        <v>pon</v>
      </c>
      <c r="AB5" s="37" t="str">
        <f>TEXT(WEEKDAY(DATE(KalendarskaGodina,12,25),1),"aaa")</f>
        <v>uto</v>
      </c>
      <c r="AC5" s="37" t="str">
        <f>TEXT(WEEKDAY(DATE(KalendarskaGodina,12,26),1),"aaa")</f>
        <v>sri</v>
      </c>
      <c r="AD5" s="37" t="str">
        <f>TEXT(WEEKDAY(DATE(KalendarskaGodina,12,27),1),"aaa")</f>
        <v>čet</v>
      </c>
      <c r="AE5" s="37" t="str">
        <f>TEXT(WEEKDAY(DATE(KalendarskaGodina,12,28),1),"aaa")</f>
        <v>pet</v>
      </c>
      <c r="AF5" s="37" t="str">
        <f>TEXT(WEEKDAY(DATE(KalendarskaGodina,12,29),1),"aaa")</f>
        <v>sub</v>
      </c>
      <c r="AG5" s="37" t="str">
        <f>TEXT(WEEKDAY(DATE(KalendarskaGodina,12,30),1),"aaa")</f>
        <v>ned</v>
      </c>
      <c r="AH5" s="37" t="str">
        <f>TEXT(WEEKDAY(DATE(KalendarskaGodina,12,31),1),"aaa")</f>
        <v>pon</v>
      </c>
      <c r="AI5" s="119" t="s">
        <v>38</v>
      </c>
      <c r="AJ5" s="120"/>
      <c r="AK5" s="120"/>
      <c r="AL5" s="120"/>
      <c r="AM5" s="121"/>
    </row>
    <row r="6" spans="1:40" s="5" customFormat="1" ht="27" x14ac:dyDescent="0.25">
      <c r="B6" s="105" t="s">
        <v>34</v>
      </c>
      <c r="C6" s="40"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145" t="s">
        <v>127</v>
      </c>
      <c r="AJ6" s="46" t="s">
        <v>128</v>
      </c>
      <c r="AK6" s="47" t="s">
        <v>68</v>
      </c>
      <c r="AL6" s="146" t="s">
        <v>31</v>
      </c>
      <c r="AM6" s="44" t="s">
        <v>37</v>
      </c>
      <c r="AN6" s="4"/>
    </row>
    <row r="7" spans="1:40" s="5" customFormat="1" ht="16.5" customHeight="1" x14ac:dyDescent="0.25">
      <c r="B7" s="41"/>
      <c r="C7" s="42" t="str">
        <f>IFERROR(VLOOKUP(NazočnostZaProsinac[[#This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20"/>
      <c r="AH7" s="20"/>
      <c r="AI7" s="6">
        <f>COUNTIF(NazočnostZaProsinac[[#This Row],[1]:[31]],Šifra1)</f>
        <v>0</v>
      </c>
      <c r="AJ7" s="43">
        <f>COUNTIF(NazočnostZaProsinac[[#This Row],[1]:[31]],Šifra2)</f>
        <v>0</v>
      </c>
      <c r="AK7" s="43">
        <f>COUNTIF(NazočnostZaProsinac[[#This Row],[1]:[31]],Šifra3)</f>
        <v>0</v>
      </c>
      <c r="AL7" s="43">
        <f>COUNTIF(NazočnostZaProsinac[[#This Row],[1]:[31]],Šifra4)</f>
        <v>0</v>
      </c>
      <c r="AM7" s="6">
        <f>SUM(NazočnostZaRujan[[#This Row],[O]:[N]])</f>
        <v>0</v>
      </c>
      <c r="AN7" s="4"/>
    </row>
    <row r="8" spans="1:40" s="5" customFormat="1" ht="16.5" customHeight="1" x14ac:dyDescent="0.25">
      <c r="B8" s="41"/>
      <c r="C8" s="42" t="str">
        <f>IFERROR(VLOOKUP(NazočnostZaProsinac[[#This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0"/>
      <c r="AH8" s="20"/>
      <c r="AI8" s="6">
        <f>COUNTIF(NazočnostZaProsinac[[#This Row],[1]:[31]],Šifra1)</f>
        <v>0</v>
      </c>
      <c r="AJ8" s="43">
        <f>COUNTIF(NazočnostZaProsinac[[#This Row],[1]:[31]],Šifra2)</f>
        <v>0</v>
      </c>
      <c r="AK8" s="43">
        <f>COUNTIF(NazočnostZaProsinac[[#This Row],[1]:[31]],Šifra3)</f>
        <v>0</v>
      </c>
      <c r="AL8" s="43">
        <f>COUNTIF(NazočnostZaProsinac[[#This Row],[1]:[31]],Šifra4)</f>
        <v>0</v>
      </c>
      <c r="AM8" s="6">
        <f>SUM(NazočnostZaRujan[[#This Row],[O]:[N]])</f>
        <v>0</v>
      </c>
      <c r="AN8" s="4"/>
    </row>
    <row r="9" spans="1:40" s="8" customFormat="1" ht="16.5" customHeight="1" x14ac:dyDescent="0.25">
      <c r="B9" s="41"/>
      <c r="C9" s="42" t="str">
        <f>IFERROR(VLOOKUP(NazočnostZaProsinac[[#This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20"/>
      <c r="AH9" s="20"/>
      <c r="AI9" s="6">
        <f>COUNTIF(NazočnostZaProsinac[[#This Row],[1]:[31]],Šifra1)</f>
        <v>0</v>
      </c>
      <c r="AJ9" s="43">
        <f>COUNTIF(NazočnostZaProsinac[[#This Row],[1]:[31]],Šifra2)</f>
        <v>0</v>
      </c>
      <c r="AK9" s="43">
        <f>COUNTIF(NazočnostZaProsinac[[#This Row],[1]:[31]],Šifra3)</f>
        <v>0</v>
      </c>
      <c r="AL9" s="43">
        <f>COUNTIF(NazočnostZaProsinac[[#This Row],[1]:[31]],Šifra4)</f>
        <v>0</v>
      </c>
      <c r="AM9" s="6">
        <f>SUM(NazočnostZaRujan[[#This Row],[O]:[N]])</f>
        <v>0</v>
      </c>
      <c r="AN9" s="7"/>
    </row>
    <row r="10" spans="1:40" ht="16.5" customHeight="1" x14ac:dyDescent="0.25">
      <c r="B10" s="41"/>
      <c r="C10" s="42" t="str">
        <f>IFERROR(VLOOKUP(NazočnostZaProsinac[[#This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20"/>
      <c r="AH10" s="20"/>
      <c r="AI10" s="6">
        <f>COUNTIF(NazočnostZaProsinac[[#This Row],[1]:[31]],Šifra1)</f>
        <v>0</v>
      </c>
      <c r="AJ10" s="43">
        <f>COUNTIF(NazočnostZaProsinac[[#This Row],[1]:[31]],Šifra2)</f>
        <v>0</v>
      </c>
      <c r="AK10" s="43">
        <f>COUNTIF(NazočnostZaProsinac[[#This Row],[1]:[31]],Šifra3)</f>
        <v>0</v>
      </c>
      <c r="AL10" s="43">
        <f>COUNTIF(NazočnostZaProsinac[[#This Row],[1]:[31]],Šifra4)</f>
        <v>0</v>
      </c>
      <c r="AM10" s="6">
        <f>SUM(NazočnostZaRujan[[#This Row],[O]:[N]])</f>
        <v>0</v>
      </c>
      <c r="AN10" s="10"/>
    </row>
    <row r="11" spans="1:40" ht="16.5" customHeight="1" x14ac:dyDescent="0.25">
      <c r="B11" s="41"/>
      <c r="C11" s="42" t="str">
        <f>IFERROR(VLOOKUP(NazočnostZaProsinac[[#This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20"/>
      <c r="AH11" s="20"/>
      <c r="AI11" s="6">
        <f>COUNTIF(NazočnostZaProsinac[[#This Row],[1]:[31]],Šifra1)</f>
        <v>0</v>
      </c>
      <c r="AJ11" s="43">
        <f>COUNTIF(NazočnostZaProsinac[[#This Row],[1]:[31]],Šifra2)</f>
        <v>0</v>
      </c>
      <c r="AK11" s="43">
        <f>COUNTIF(NazočnostZaProsinac[[#This Row],[1]:[31]],Šifra3)</f>
        <v>0</v>
      </c>
      <c r="AL11" s="43">
        <f>COUNTIF(NazočnostZaProsinac[[#This Row],[1]:[31]],Šifra4)</f>
        <v>0</v>
      </c>
      <c r="AM11" s="6">
        <f>SUM(NazočnostZaRujan[[#This Row],[O]:[N]])</f>
        <v>0</v>
      </c>
      <c r="AN11" s="10"/>
    </row>
    <row r="12" spans="1:40" ht="16.5" customHeight="1" x14ac:dyDescent="0.25">
      <c r="B12" s="142"/>
      <c r="C12" s="143" t="s">
        <v>117</v>
      </c>
      <c r="D12" s="144">
        <f>COUNTIF(NazočnostZaProsinac[1],"N")+COUNTIF(NazočnostZaProsinac[1],"O")</f>
        <v>0</v>
      </c>
      <c r="E12" s="144">
        <f>COUNTIF(NazočnostZaProsinac[2],"N")+COUNTIF(NazočnostZaProsinac[2],"O")</f>
        <v>0</v>
      </c>
      <c r="F12" s="144">
        <f>COUNTIF(NazočnostZaProsinac[3],"N")+COUNTIF(NazočnostZaProsinac[3],"O")</f>
        <v>0</v>
      </c>
      <c r="G12" s="144">
        <f>COUNTIF(NazočnostZaProsinac[4],"N")+COUNTIF(NazočnostZaProsinac[4],"O")</f>
        <v>0</v>
      </c>
      <c r="H12" s="144">
        <f>COUNTIF(NazočnostZaProsinac[5],"N")+COUNTIF(NazočnostZaProsinac[5],"O")</f>
        <v>0</v>
      </c>
      <c r="I12" s="144">
        <f>COUNTIF(NazočnostZaProsinac[6],"N")+COUNTIF(NazočnostZaProsinac[6],"O")</f>
        <v>0</v>
      </c>
      <c r="J12" s="144">
        <f>COUNTIF(NazočnostZaProsinac[7],"N")+COUNTIF(NazočnostZaProsinac[7],"O")</f>
        <v>0</v>
      </c>
      <c r="K12" s="144">
        <f>COUNTIF(NazočnostZaProsinac[8],"N")+COUNTIF(NazočnostZaProsinac[8],"O")</f>
        <v>0</v>
      </c>
      <c r="L12" s="144">
        <f>COUNTIF(NazočnostZaProsinac[9],"N")+COUNTIF(NazočnostZaProsinac[9],"O")</f>
        <v>0</v>
      </c>
      <c r="M12" s="144">
        <f>COUNTIF(NazočnostZaProsinac[10],"N")+COUNTIF(NazočnostZaProsinac[10],"O")</f>
        <v>0</v>
      </c>
      <c r="N12" s="144">
        <f>COUNTIF(NazočnostZaProsinac[11],"N")+COUNTIF(NazočnostZaProsinac[11],"O")</f>
        <v>0</v>
      </c>
      <c r="O12" s="144">
        <f>COUNTIF(NazočnostZaProsinac[12],"N")+COUNTIF(NazočnostZaProsinac[12],"O")</f>
        <v>0</v>
      </c>
      <c r="P12" s="144">
        <f>COUNTIF(NazočnostZaProsinac[13],"N")+COUNTIF(NazočnostZaProsinac[13],"O")</f>
        <v>0</v>
      </c>
      <c r="Q12" s="144">
        <f>COUNTIF(NazočnostZaProsinac[14],"N")+COUNTIF(NazočnostZaProsinac[14],"O")</f>
        <v>0</v>
      </c>
      <c r="R12" s="144">
        <f>COUNTIF(NazočnostZaProsinac[15],"N")+COUNTIF(NazočnostZaProsinac[15],"O")</f>
        <v>0</v>
      </c>
      <c r="S12" s="144">
        <f>COUNTIF(NazočnostZaProsinac[16],"N")+COUNTIF(NazočnostZaProsinac[16],"O")</f>
        <v>0</v>
      </c>
      <c r="T12" s="144">
        <f>COUNTIF(NazočnostZaProsinac[17],"N")+COUNTIF(NazočnostZaProsinac[17],"O")</f>
        <v>0</v>
      </c>
      <c r="U12" s="144">
        <f>COUNTIF(NazočnostZaProsinac[18],"N")+COUNTIF(NazočnostZaProsinac[18],"O")</f>
        <v>0</v>
      </c>
      <c r="V12" s="144">
        <f>COUNTIF(NazočnostZaProsinac[19],"N")+COUNTIF(NazočnostZaProsinac[19],"O")</f>
        <v>0</v>
      </c>
      <c r="W12" s="144">
        <f>COUNTIF(NazočnostZaProsinac[20],"N")+COUNTIF(NazočnostZaProsinac[20],"O")</f>
        <v>0</v>
      </c>
      <c r="X12" s="144">
        <f>COUNTIF(NazočnostZaProsinac[21],"N")+COUNTIF(NazočnostZaProsinac[21],"O")</f>
        <v>0</v>
      </c>
      <c r="Y12" s="144">
        <f>COUNTIF(NazočnostZaProsinac[22],"N")+COUNTIF(NazočnostZaProsinac[22],"O")</f>
        <v>0</v>
      </c>
      <c r="Z12" s="144">
        <f>COUNTIF(NazočnostZaProsinac[23],"N")+COUNTIF(NazočnostZaProsinac[23],"O")</f>
        <v>0</v>
      </c>
      <c r="AA12" s="144">
        <f>COUNTIF(NazočnostZaProsinac[24],"N")+COUNTIF(NazočnostZaProsinac[24],"O")</f>
        <v>0</v>
      </c>
      <c r="AB12" s="144">
        <f>COUNTIF(NazočnostZaProsinac[25],"N")+COUNTIF(NazočnostZaProsinac[25],"O")</f>
        <v>0</v>
      </c>
      <c r="AC12" s="144">
        <f>COUNTIF(NazočnostZaProsinac[26],"N")+COUNTIF(NazočnostZaProsinac[26],"O")</f>
        <v>0</v>
      </c>
      <c r="AD12" s="144">
        <f>COUNTIF(NazočnostZaProsinac[27],"N")+COUNTIF(NazočnostZaProsinac[27],"O")</f>
        <v>0</v>
      </c>
      <c r="AE12" s="144">
        <f>COUNTIF(NazočnostZaProsinac[28],"N")+COUNTIF(NazočnostZaProsinac[28],"O")</f>
        <v>0</v>
      </c>
      <c r="AF12" s="144">
        <f>COUNTIF(NazočnostZaProsinac[29],"N")+COUNTIF(NazočnostZaProsinac[29],"O")</f>
        <v>0</v>
      </c>
      <c r="AG12" s="144">
        <f>COUNTIF(NazočnostZaProsinac[30],"N")+COUNTIF(NazočnostZaProsinac[30],"O")</f>
        <v>0</v>
      </c>
      <c r="AH12" s="144">
        <f>COUNTIF(NazočnostZaProsinac[31],"N")+COUNTIF(NazočnostZaProsinac[31],"O")</f>
        <v>0</v>
      </c>
      <c r="AI12" s="144">
        <f>SUBTOTAL(109,NazočnostZaProsinac[K])</f>
        <v>0</v>
      </c>
      <c r="AJ12" s="144">
        <f>SUBTOTAL(109,NazočnostZaProsinac[O])</f>
        <v>0</v>
      </c>
      <c r="AK12" s="144">
        <f>SUBTOTAL(109,NazočnostZaProsinac[N])</f>
        <v>0</v>
      </c>
      <c r="AL12" s="144">
        <f>SUBTOTAL(109,NazočnostZaProsinac[P])</f>
        <v>0</v>
      </c>
      <c r="AM12" s="144">
        <f>SUBTOTAL(109,NazočnostZaProsinac[Dani izostanaka])</f>
        <v>0</v>
      </c>
    </row>
    <row r="14" spans="1:40" ht="16.5" customHeight="1" x14ac:dyDescent="0.25"/>
    <row r="15" spans="1:40" ht="16.5" customHeight="1" x14ac:dyDescent="0.25"/>
    <row r="16" spans="1:40"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1">
    <cfRule type="expression" dxfId="824" priority="7" stopIfTrue="1">
      <formula>AG7=Šifra2</formula>
    </cfRule>
  </conditionalFormatting>
  <conditionalFormatting sqref="AG7:AH11">
    <cfRule type="expression" dxfId="823" priority="8" stopIfTrue="1">
      <formula>AG7=Šifra5</formula>
    </cfRule>
    <cfRule type="expression" dxfId="822" priority="9" stopIfTrue="1">
      <formula>AG7=Šifra4</formula>
    </cfRule>
    <cfRule type="expression" dxfId="821" priority="10" stopIfTrue="1">
      <formula>AG7=Šifra3</formula>
    </cfRule>
    <cfRule type="expression" dxfId="820" priority="11" stopIfTrue="1">
      <formula>AG7=Šifra1</formula>
    </cfRule>
  </conditionalFormatting>
  <conditionalFormatting sqref="D7:AF11">
    <cfRule type="expression" dxfId="819" priority="1" stopIfTrue="1">
      <formula>D7=Šifra2</formula>
    </cfRule>
  </conditionalFormatting>
  <conditionalFormatting sqref="D7:AF11">
    <cfRule type="expression" dxfId="818" priority="2" stopIfTrue="1">
      <formula>D7=Šifra5</formula>
    </cfRule>
    <cfRule type="expression" dxfId="817" priority="3" stopIfTrue="1">
      <formula>D7=Šifra4</formula>
    </cfRule>
    <cfRule type="expression" dxfId="816" priority="4" stopIfTrue="1">
      <formula>D7=Šifra3</formula>
    </cfRule>
    <cfRule type="expression" dxfId="815" priority="5"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39"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39" customFormat="1" ht="13.5" x14ac:dyDescent="0.25"/>
    <row r="3" spans="1:39"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39" customFormat="1" ht="16.5" customHeight="1" x14ac:dyDescent="0.25"/>
    <row r="5" spans="1:39" s="2" customFormat="1" ht="18" customHeight="1" x14ac:dyDescent="0.3">
      <c r="B5" s="55">
        <f>DATE(KalendarskaGodina+1,1,1)</f>
        <v>41275</v>
      </c>
      <c r="C5" s="54"/>
      <c r="D5" s="37" t="str">
        <f>TEXT(WEEKDAY(DATE(KalendarskaGodina+1,1,1),1),"aaa")</f>
        <v>uto</v>
      </c>
      <c r="E5" s="37" t="str">
        <f>TEXT(WEEKDAY(DATE(KalendarskaGodina+1,1,2),1),"aaa")</f>
        <v>sri</v>
      </c>
      <c r="F5" s="37" t="str">
        <f>TEXT(WEEKDAY(DATE(KalendarskaGodina+1,1,3),1),"aaa")</f>
        <v>čet</v>
      </c>
      <c r="G5" s="37" t="str">
        <f>TEXT(WEEKDAY(DATE(KalendarskaGodina+1,1,4),1),"aaa")</f>
        <v>pet</v>
      </c>
      <c r="H5" s="37" t="str">
        <f>TEXT(WEEKDAY(DATE(KalendarskaGodina+1,1,5),1),"aaa")</f>
        <v>sub</v>
      </c>
      <c r="I5" s="37" t="str">
        <f>TEXT(WEEKDAY(DATE(KalendarskaGodina+1,1,6),1),"aaa")</f>
        <v>ned</v>
      </c>
      <c r="J5" s="37" t="str">
        <f>TEXT(WEEKDAY(DATE(KalendarskaGodina+1,1,7),1),"aaa")</f>
        <v>pon</v>
      </c>
      <c r="K5" s="37" t="str">
        <f>TEXT(WEEKDAY(DATE(KalendarskaGodina+1,1,8),1),"aaa")</f>
        <v>uto</v>
      </c>
      <c r="L5" s="37" t="str">
        <f>TEXT(WEEKDAY(DATE(KalendarskaGodina+1,1,9),1),"aaa")</f>
        <v>sri</v>
      </c>
      <c r="M5" s="37" t="str">
        <f>TEXT(WEEKDAY(DATE(KalendarskaGodina+1,1,10),1),"aaa")</f>
        <v>čet</v>
      </c>
      <c r="N5" s="37" t="str">
        <f>TEXT(WEEKDAY(DATE(KalendarskaGodina+1,1,11),1),"aaa")</f>
        <v>pet</v>
      </c>
      <c r="O5" s="37" t="str">
        <f>TEXT(WEEKDAY(DATE(KalendarskaGodina+1,1,12),1),"aaa")</f>
        <v>sub</v>
      </c>
      <c r="P5" s="37" t="str">
        <f>TEXT(WEEKDAY(DATE(KalendarskaGodina+1,1,13),1),"aaa")</f>
        <v>ned</v>
      </c>
      <c r="Q5" s="37" t="str">
        <f>TEXT(WEEKDAY(DATE(KalendarskaGodina+1,1,14),1),"aaa")</f>
        <v>pon</v>
      </c>
      <c r="R5" s="37" t="str">
        <f>TEXT(WEEKDAY(DATE(KalendarskaGodina+1,1,15),1),"aaa")</f>
        <v>uto</v>
      </c>
      <c r="S5" s="37" t="str">
        <f>TEXT(WEEKDAY(DATE(KalendarskaGodina+1,1,16),1),"aaa")</f>
        <v>sri</v>
      </c>
      <c r="T5" s="37" t="str">
        <f>TEXT(WEEKDAY(DATE(KalendarskaGodina+1,1,17),1),"aaa")</f>
        <v>čet</v>
      </c>
      <c r="U5" s="37" t="str">
        <f>TEXT(WEEKDAY(DATE(KalendarskaGodina+1,1,18),1),"aaa")</f>
        <v>pet</v>
      </c>
      <c r="V5" s="37" t="str">
        <f>TEXT(WEEKDAY(DATE(KalendarskaGodina+1,1,19),1),"aaa")</f>
        <v>sub</v>
      </c>
      <c r="W5" s="37" t="str">
        <f>TEXT(WEEKDAY(DATE(KalendarskaGodina+1,1,20),1),"aaa")</f>
        <v>ned</v>
      </c>
      <c r="X5" s="37" t="str">
        <f>TEXT(WEEKDAY(DATE(KalendarskaGodina+1,1,21),1),"aaa")</f>
        <v>pon</v>
      </c>
      <c r="Y5" s="37" t="str">
        <f>TEXT(WEEKDAY(DATE(KalendarskaGodina+1,1,22),1),"aaa")</f>
        <v>uto</v>
      </c>
      <c r="Z5" s="37" t="str">
        <f>TEXT(WEEKDAY(DATE(KalendarskaGodina+1,1,23),1),"aaa")</f>
        <v>sri</v>
      </c>
      <c r="AA5" s="37" t="str">
        <f>TEXT(WEEKDAY(DATE(KalendarskaGodina+1,1,24),1),"aaa")</f>
        <v>čet</v>
      </c>
      <c r="AB5" s="37" t="str">
        <f>TEXT(WEEKDAY(DATE(KalendarskaGodina+1,1,25),1),"aaa")</f>
        <v>pet</v>
      </c>
      <c r="AC5" s="37" t="str">
        <f>TEXT(WEEKDAY(DATE(KalendarskaGodina+1,1,26),1),"aaa")</f>
        <v>sub</v>
      </c>
      <c r="AD5" s="37" t="str">
        <f>TEXT(WEEKDAY(DATE(KalendarskaGodina+1,1,27),1),"aaa")</f>
        <v>ned</v>
      </c>
      <c r="AE5" s="37" t="str">
        <f>TEXT(WEEKDAY(DATE(KalendarskaGodina+1,1,28),1),"aaa")</f>
        <v>pon</v>
      </c>
      <c r="AF5" s="37" t="str">
        <f>TEXT(WEEKDAY(DATE(KalendarskaGodina+1,1,29),1),"aaa")</f>
        <v>uto</v>
      </c>
      <c r="AG5" s="37" t="str">
        <f>TEXT(WEEKDAY(DATE(KalendarskaGodina+1,1,30),1),"aaa")</f>
        <v>sri</v>
      </c>
      <c r="AH5" s="37" t="str">
        <f>TEXT(WEEKDAY(DATE(KalendarskaGodina+1,1,31),1),"aaa")</f>
        <v>čet</v>
      </c>
      <c r="AI5" s="122" t="s">
        <v>38</v>
      </c>
      <c r="AJ5" s="122"/>
      <c r="AK5" s="122"/>
      <c r="AL5" s="122"/>
      <c r="AM5" s="122"/>
    </row>
    <row r="6" spans="1:39" ht="27" x14ac:dyDescent="0.25">
      <c r="B6" s="106" t="s">
        <v>34</v>
      </c>
      <c r="C6" s="24" t="s">
        <v>36</v>
      </c>
      <c r="D6" s="25" t="s">
        <v>0</v>
      </c>
      <c r="E6" s="25" t="s">
        <v>1</v>
      </c>
      <c r="F6" s="25" t="s">
        <v>2</v>
      </c>
      <c r="G6" s="25" t="s">
        <v>3</v>
      </c>
      <c r="H6" s="25" t="s">
        <v>4</v>
      </c>
      <c r="I6" s="25" t="s">
        <v>5</v>
      </c>
      <c r="J6" s="25" t="s">
        <v>6</v>
      </c>
      <c r="K6" s="25" t="s">
        <v>7</v>
      </c>
      <c r="L6" s="25" t="s">
        <v>8</v>
      </c>
      <c r="M6" s="25" t="s">
        <v>9</v>
      </c>
      <c r="N6" s="25" t="s">
        <v>10</v>
      </c>
      <c r="O6" s="25" t="s">
        <v>11</v>
      </c>
      <c r="P6" s="25" t="s">
        <v>12</v>
      </c>
      <c r="Q6" s="25" t="s">
        <v>13</v>
      </c>
      <c r="R6" s="25" t="s">
        <v>14</v>
      </c>
      <c r="S6" s="25" t="s">
        <v>15</v>
      </c>
      <c r="T6" s="25" t="s">
        <v>16</v>
      </c>
      <c r="U6" s="25" t="s">
        <v>17</v>
      </c>
      <c r="V6" s="25" t="s">
        <v>18</v>
      </c>
      <c r="W6" s="25" t="s">
        <v>19</v>
      </c>
      <c r="X6" s="25" t="s">
        <v>20</v>
      </c>
      <c r="Y6" s="25" t="s">
        <v>21</v>
      </c>
      <c r="Z6" s="25" t="s">
        <v>22</v>
      </c>
      <c r="AA6" s="25" t="s">
        <v>23</v>
      </c>
      <c r="AB6" s="25" t="s">
        <v>24</v>
      </c>
      <c r="AC6" s="25" t="s">
        <v>25</v>
      </c>
      <c r="AD6" s="25" t="s">
        <v>26</v>
      </c>
      <c r="AE6" s="25" t="s">
        <v>27</v>
      </c>
      <c r="AF6" s="25" t="s">
        <v>28</v>
      </c>
      <c r="AG6" s="25" t="s">
        <v>29</v>
      </c>
      <c r="AH6" s="25" t="s">
        <v>30</v>
      </c>
      <c r="AI6" s="145" t="s">
        <v>127</v>
      </c>
      <c r="AJ6" s="46" t="s">
        <v>128</v>
      </c>
      <c r="AK6" s="47" t="s">
        <v>68</v>
      </c>
      <c r="AL6" s="147" t="s">
        <v>31</v>
      </c>
      <c r="AM6" t="s">
        <v>37</v>
      </c>
    </row>
    <row r="7" spans="1:39" ht="16.5" customHeight="1" x14ac:dyDescent="0.25">
      <c r="B7" s="23"/>
      <c r="C7" s="19" t="str">
        <f>IFERROR(VLOOKUP(NazočnostZaSiječanj[[#This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1">
        <f>COUNTIF(NazočnostZaSiječanj[[#This Row],[1]:[31]],Šifra1)</f>
        <v>0</v>
      </c>
      <c r="AJ7" s="31">
        <f>COUNTIF(NazočnostZaSiječanj[[#This Row],[1]:[31]],Šifra2)</f>
        <v>0</v>
      </c>
      <c r="AK7" s="31">
        <f>COUNTIF(NazočnostZaSiječanj[[#This Row],[1]:[31]],Šifra3)</f>
        <v>0</v>
      </c>
      <c r="AL7" s="31">
        <f>COUNTIF(NazočnostZaSiječanj[[#This Row],[1]:[31]],Šifra4)</f>
        <v>0</v>
      </c>
      <c r="AM7" s="6">
        <f>SUM(NazočnostZaRujan[[#This Row],[O]:[N]])</f>
        <v>0</v>
      </c>
    </row>
    <row r="8" spans="1:39" ht="16.5" customHeight="1" x14ac:dyDescent="0.25">
      <c r="B8" s="23"/>
      <c r="C8" s="19" t="str">
        <f>IFERROR(VLOOKUP(NazočnostZaSiječanj[[#This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1">
        <f>COUNTIF(NazočnostZaSiječanj[[#This Row],[1]:[31]],Šifra1)</f>
        <v>0</v>
      </c>
      <c r="AJ8" s="31">
        <f>COUNTIF(NazočnostZaSiječanj[[#This Row],[1]:[31]],Šifra2)</f>
        <v>0</v>
      </c>
      <c r="AK8" s="31">
        <f>COUNTIF(NazočnostZaSiječanj[[#This Row],[1]:[31]],Šifra3)</f>
        <v>0</v>
      </c>
      <c r="AL8" s="31">
        <f>COUNTIF(NazočnostZaSiječanj[[#This Row],[1]:[31]],Šifra4)</f>
        <v>0</v>
      </c>
      <c r="AM8" s="6">
        <f>SUM(NazočnostZaRujan[[#This Row],[O]:[N]])</f>
        <v>0</v>
      </c>
    </row>
    <row r="9" spans="1:39" ht="16.5" customHeight="1" x14ac:dyDescent="0.25">
      <c r="B9" s="23"/>
      <c r="C9" s="19" t="str">
        <f>IFERROR(VLOOKUP(NazočnostZaSiječanj[[#This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1">
        <f>COUNTIF(NazočnostZaSiječanj[[#This Row],[1]:[31]],Šifra1)</f>
        <v>0</v>
      </c>
      <c r="AJ9" s="31">
        <f>COUNTIF(NazočnostZaSiječanj[[#This Row],[1]:[31]],Šifra2)</f>
        <v>0</v>
      </c>
      <c r="AK9" s="31">
        <f>COUNTIF(NazočnostZaSiječanj[[#This Row],[1]:[31]],Šifra3)</f>
        <v>0</v>
      </c>
      <c r="AL9" s="31">
        <f>COUNTIF(NazočnostZaSiječanj[[#This Row],[1]:[31]],Šifra4)</f>
        <v>0</v>
      </c>
      <c r="AM9" s="6">
        <f>SUM(NazočnostZaRujan[[#This Row],[O]:[N]])</f>
        <v>0</v>
      </c>
    </row>
    <row r="10" spans="1:39" ht="16.5" customHeight="1" x14ac:dyDescent="0.25">
      <c r="B10" s="23"/>
      <c r="C10" s="19" t="str">
        <f>IFERROR(VLOOKUP(NazočnostZaSiječanj[[#This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1">
        <f>COUNTIF(NazočnostZaSiječanj[[#This Row],[1]:[31]],Šifra1)</f>
        <v>0</v>
      </c>
      <c r="AJ10" s="31">
        <f>COUNTIF(NazočnostZaSiječanj[[#This Row],[1]:[31]],Šifra2)</f>
        <v>0</v>
      </c>
      <c r="AK10" s="31">
        <f>COUNTIF(NazočnostZaSiječanj[[#This Row],[1]:[31]],Šifra3)</f>
        <v>0</v>
      </c>
      <c r="AL10" s="31">
        <f>COUNTIF(NazočnostZaSiječanj[[#This Row],[1]:[31]],Šifra4)</f>
        <v>0</v>
      </c>
      <c r="AM10" s="6">
        <f>SUM(NazočnostZaRujan[[#This Row],[O]:[N]])</f>
        <v>0</v>
      </c>
    </row>
    <row r="11" spans="1:39" ht="16.5" customHeight="1" x14ac:dyDescent="0.25">
      <c r="B11" s="23"/>
      <c r="C11" s="19" t="str">
        <f>IFERROR(VLOOKUP(NazočnostZaSiječanj[[#This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1">
        <f>COUNTIF(NazočnostZaSiječanj[[#This Row],[1]:[31]],Šifra1)</f>
        <v>0</v>
      </c>
      <c r="AJ11" s="31">
        <f>COUNTIF(NazočnostZaSiječanj[[#This Row],[1]:[31]],Šifra2)</f>
        <v>0</v>
      </c>
      <c r="AK11" s="31">
        <f>COUNTIF(NazočnostZaSiječanj[[#This Row],[1]:[31]],Šifra3)</f>
        <v>0</v>
      </c>
      <c r="AL11" s="31">
        <f>COUNTIF(NazočnostZaSiječanj[[#This Row],[1]:[31]],Šifra4)</f>
        <v>0</v>
      </c>
      <c r="AM11" s="6">
        <f>SUM(NazočnostZaRujan[[#This Row],[O]:[N]])</f>
        <v>0</v>
      </c>
    </row>
    <row r="12" spans="1:39" ht="16.5" customHeight="1" x14ac:dyDescent="0.25">
      <c r="B12" s="142"/>
      <c r="C12" s="143" t="s">
        <v>117</v>
      </c>
      <c r="D12" s="144">
        <f>COUNTIF(NazočnostZaSiječanj[1],"N")+COUNTIF(NazočnostZaSiječanj[1],"O")</f>
        <v>0</v>
      </c>
      <c r="E12" s="144">
        <f>COUNTIF(NazočnostZaSiječanj[2],"N")+COUNTIF(NazočnostZaSiječanj[2],"O")</f>
        <v>0</v>
      </c>
      <c r="F12" s="144">
        <f>COUNTIF(NazočnostZaSiječanj[3],"N")+COUNTIF(NazočnostZaSiječanj[3],"O")</f>
        <v>0</v>
      </c>
      <c r="G12" s="144">
        <f>COUNTIF(NazočnostZaSiječanj[4],"N")+COUNTIF(NazočnostZaSiječanj[4],"O")</f>
        <v>0</v>
      </c>
      <c r="H12" s="144">
        <f>COUNTIF(NazočnostZaSiječanj[5],"N")+COUNTIF(NazočnostZaSiječanj[5],"O")</f>
        <v>0</v>
      </c>
      <c r="I12" s="144">
        <f>COUNTIF(NazočnostZaSiječanj[6],"N")+COUNTIF(NazočnostZaSiječanj[6],"O")</f>
        <v>0</v>
      </c>
      <c r="J12" s="144">
        <f>COUNTIF(NazočnostZaSiječanj[7],"N")+COUNTIF(NazočnostZaSiječanj[7],"O")</f>
        <v>0</v>
      </c>
      <c r="K12" s="144">
        <f>COUNTIF(NazočnostZaSiječanj[8],"N")+COUNTIF(NazočnostZaSiječanj[8],"O")</f>
        <v>0</v>
      </c>
      <c r="L12" s="144">
        <f>COUNTIF(NazočnostZaSiječanj[9],"N")+COUNTIF(NazočnostZaSiječanj[9],"O")</f>
        <v>0</v>
      </c>
      <c r="M12" s="144">
        <f>COUNTIF(NazočnostZaSiječanj[10],"N")+COUNTIF(NazočnostZaSiječanj[10],"O")</f>
        <v>0</v>
      </c>
      <c r="N12" s="144">
        <f>COUNTIF(NazočnostZaSiječanj[11],"N")+COUNTIF(NazočnostZaSiječanj[11],"O")</f>
        <v>0</v>
      </c>
      <c r="O12" s="144">
        <f>COUNTIF(NazočnostZaSiječanj[12],"N")+COUNTIF(NazočnostZaSiječanj[12],"O")</f>
        <v>0</v>
      </c>
      <c r="P12" s="144">
        <f>COUNTIF(NazočnostZaSiječanj[13],"N")+COUNTIF(NazočnostZaSiječanj[13],"O")</f>
        <v>0</v>
      </c>
      <c r="Q12" s="144">
        <f>COUNTIF(NazočnostZaSiječanj[14],"N")+COUNTIF(NazočnostZaSiječanj[14],"O")</f>
        <v>0</v>
      </c>
      <c r="R12" s="144">
        <f>COUNTIF(NazočnostZaSiječanj[15],"N")+COUNTIF(NazočnostZaSiječanj[15],"O")</f>
        <v>0</v>
      </c>
      <c r="S12" s="144">
        <f>COUNTIF(NazočnostZaSiječanj[16],"N")+COUNTIF(NazočnostZaSiječanj[16],"O")</f>
        <v>0</v>
      </c>
      <c r="T12" s="144">
        <f>COUNTIF(NazočnostZaSiječanj[17],"N")+COUNTIF(NazočnostZaSiječanj[17],"O")</f>
        <v>0</v>
      </c>
      <c r="U12" s="144">
        <f>COUNTIF(NazočnostZaSiječanj[18],"N")+COUNTIF(NazočnostZaSiječanj[18],"O")</f>
        <v>0</v>
      </c>
      <c r="V12" s="144">
        <f>COUNTIF(NazočnostZaSiječanj[19],"N")+COUNTIF(NazočnostZaSiječanj[19],"O")</f>
        <v>0</v>
      </c>
      <c r="W12" s="144">
        <f>COUNTIF(NazočnostZaSiječanj[20],"N")+COUNTIF(NazočnostZaSiječanj[20],"O")</f>
        <v>0</v>
      </c>
      <c r="X12" s="144">
        <f>COUNTIF(NazočnostZaSiječanj[21],"N")+COUNTIF(NazočnostZaSiječanj[21],"O")</f>
        <v>0</v>
      </c>
      <c r="Y12" s="144">
        <f>COUNTIF(NazočnostZaSiječanj[22],"N")+COUNTIF(NazočnostZaSiječanj[22],"O")</f>
        <v>0</v>
      </c>
      <c r="Z12" s="144">
        <f>COUNTIF(NazočnostZaSiječanj[23],"N")+COUNTIF(NazočnostZaSiječanj[23],"O")</f>
        <v>0</v>
      </c>
      <c r="AA12" s="144">
        <f>COUNTIF(NazočnostZaSiječanj[24],"N")+COUNTIF(NazočnostZaSiječanj[24],"O")</f>
        <v>0</v>
      </c>
      <c r="AB12" s="144">
        <f>COUNTIF(NazočnostZaSiječanj[25],"N")+COUNTIF(NazočnostZaSiječanj[25],"O")</f>
        <v>0</v>
      </c>
      <c r="AC12" s="144">
        <f>COUNTIF(NazočnostZaSiječanj[26],"N")+COUNTIF(NazočnostZaSiječanj[26],"O")</f>
        <v>0</v>
      </c>
      <c r="AD12" s="144">
        <f>COUNTIF(NazočnostZaSiječanj[27],"N")+COUNTIF(NazočnostZaSiječanj[27],"O")</f>
        <v>0</v>
      </c>
      <c r="AE12" s="144">
        <f>COUNTIF(NazočnostZaSiječanj[28],"N")+COUNTIF(NazočnostZaSiječanj[28],"O")</f>
        <v>0</v>
      </c>
      <c r="AF12" s="144">
        <f>COUNTIF(NazočnostZaSiječanj[29],"N")+COUNTIF(NazočnostZaSiječanj[29],"O")</f>
        <v>0</v>
      </c>
      <c r="AG12" s="144">
        <f>COUNTIF(NazočnostZaSiječanj[30],"N")+COUNTIF(NazočnostZaSiječanj[30],"O")</f>
        <v>0</v>
      </c>
      <c r="AH12" s="144">
        <f>COUNTIF(NazočnostZaSiječanj[31],"N")+COUNTIF(NazočnostZaSiječanj[31],"O")</f>
        <v>0</v>
      </c>
      <c r="AI12" s="144">
        <f>SUBTOTAL(109,NazočnostZaSiječanj[K])</f>
        <v>0</v>
      </c>
      <c r="AJ12" s="144">
        <f>SUBTOTAL(109,NazočnostZaSiječanj[O])</f>
        <v>0</v>
      </c>
      <c r="AK12" s="144">
        <f>SUBTOTAL(109,NazočnostZaSiječanj[N])</f>
        <v>0</v>
      </c>
      <c r="AL12" s="144">
        <f>SUBTOTAL(109,NazočnostZaSiječanj[P])</f>
        <v>0</v>
      </c>
      <c r="AM12" s="144">
        <f>SUBTOTAL(109,NazočnostZaSiječanj[Dani izostanaka])</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KalendarskaGodina,2,1),DATE(KalendarskaGodina,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779" priority="4" stopIfTrue="1">
      <formula>D7=Šifra2</formula>
    </cfRule>
  </conditionalFormatting>
  <conditionalFormatting sqref="D7:AF11">
    <cfRule type="expression" dxfId="778" priority="5" stopIfTrue="1">
      <formula>D7=Šifra5</formula>
    </cfRule>
    <cfRule type="expression" dxfId="777" priority="6" stopIfTrue="1">
      <formula>D7=Šifra4</formula>
    </cfRule>
    <cfRule type="expression" dxfId="776" priority="7" stopIfTrue="1">
      <formula>D7=Šifra3</formula>
    </cfRule>
    <cfRule type="expression" dxfId="775" priority="8" stopIfTrue="1">
      <formula>D7=Šifra1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DATEDIF(DATE(KalendarskaGodina,2,1),DATE(KalendarskaGodina,3,1),"d")</xm:f>
              </x14:cfvo>
              <x14:borderColor theme="4"/>
              <x14:negativeFillColor rgb="FFFF0000"/>
              <x14:negativeBorderColor rgb="FFFF0000"/>
              <x14:axisColor rgb="FF000000"/>
            </x14:dataBar>
          </x14:cfRule>
          <xm:sqref>AM7:AM11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x14ac:dyDescent="0.25"/>
  <cols>
    <col min="1" max="1" width="2.7109375" style="11" customWidth="1"/>
    <col min="2" max="2" width="13.7109375" style="11" bestFit="1" customWidth="1"/>
    <col min="3" max="3" width="28.85546875" style="12" customWidth="1"/>
    <col min="4" max="34" width="5" style="10" customWidth="1"/>
    <col min="35" max="35" width="4.7109375" style="9" customWidth="1"/>
    <col min="36" max="36" width="4.7109375" style="10" customWidth="1"/>
    <col min="37" max="38" width="4.7109375" style="11" customWidth="1"/>
    <col min="39" max="39" width="16" style="11" bestFit="1" customWidth="1"/>
    <col min="40" max="16384" width="9.140625" style="11"/>
  </cols>
  <sheetData>
    <row r="1" spans="1:39" s="1" customFormat="1" ht="42" customHeight="1" x14ac:dyDescent="0.25">
      <c r="A1" s="32" t="s">
        <v>86</v>
      </c>
      <c r="B1" s="33"/>
      <c r="C1" s="33"/>
      <c r="D1" s="34"/>
      <c r="E1" s="34"/>
      <c r="F1" s="34"/>
      <c r="G1" s="34"/>
      <c r="H1" s="34"/>
      <c r="I1" s="34"/>
      <c r="J1" s="34"/>
      <c r="K1" s="34"/>
      <c r="L1" s="34"/>
      <c r="M1" s="34"/>
      <c r="N1" s="34"/>
      <c r="O1" s="34"/>
      <c r="P1" s="34"/>
      <c r="Q1" s="34"/>
      <c r="R1" s="34"/>
      <c r="S1" s="34"/>
      <c r="T1" s="34"/>
      <c r="U1" s="34"/>
      <c r="V1" s="34"/>
      <c r="W1" s="34"/>
      <c r="X1" s="34"/>
      <c r="Y1" s="34"/>
      <c r="Z1" s="34"/>
      <c r="AA1" s="34"/>
      <c r="AB1" s="34"/>
      <c r="AC1" s="33"/>
      <c r="AD1" s="33"/>
      <c r="AE1" s="33"/>
      <c r="AF1" s="33"/>
      <c r="AG1" s="35"/>
      <c r="AH1" s="33"/>
      <c r="AI1" s="33"/>
      <c r="AJ1" s="36"/>
      <c r="AK1" s="33"/>
      <c r="AL1" s="51" t="s">
        <v>69</v>
      </c>
      <c r="AM1" s="52">
        <f>KalendarskaGodina</f>
        <v>2012</v>
      </c>
    </row>
    <row r="2" spans="1:39" customFormat="1" ht="13.5" x14ac:dyDescent="0.25"/>
    <row r="3" spans="1:39" s="27" customFormat="1" ht="12.75" customHeight="1" x14ac:dyDescent="0.25">
      <c r="C3" s="39" t="str">
        <f>TekstOpisaBoja</f>
        <v xml:space="preserve">OPIS BOJA </v>
      </c>
      <c r="D3" s="45" t="str">
        <f>Šifra1</f>
        <v>K</v>
      </c>
      <c r="E3" s="62" t="str">
        <f>TekstŠifre1</f>
        <v>Kašnjenje</v>
      </c>
      <c r="F3" s="53"/>
      <c r="H3" s="46" t="str">
        <f>Šifra2</f>
        <v>O</v>
      </c>
      <c r="I3" s="50" t="str">
        <f>TekstŠifre2</f>
        <v>Opravdani</v>
      </c>
      <c r="L3" s="47" t="str">
        <f>Šifra3</f>
        <v>N</v>
      </c>
      <c r="M3" s="50" t="str">
        <f>TekstŠifre3</f>
        <v>Neopravdani</v>
      </c>
      <c r="P3" s="48" t="str">
        <f>Šifra4</f>
        <v>P</v>
      </c>
      <c r="Q3" s="50" t="str">
        <f>TekstŠifre4</f>
        <v>Prisutan</v>
      </c>
      <c r="T3" s="49" t="str">
        <f>Šifra5</f>
        <v>Ne</v>
      </c>
      <c r="U3" s="50" t="str">
        <f>TekstŠifre5</f>
        <v>Nema škole</v>
      </c>
      <c r="W3"/>
      <c r="X3"/>
      <c r="Y3"/>
      <c r="AD3" s="26"/>
      <c r="AE3" s="26"/>
      <c r="AH3" s="28"/>
      <c r="AI3" s="29"/>
      <c r="AK3" s="30"/>
    </row>
    <row r="4" spans="1:39" customFormat="1" ht="16.5" customHeight="1" x14ac:dyDescent="0.25"/>
    <row r="5" spans="1:39" s="2" customFormat="1" ht="18" customHeight="1" x14ac:dyDescent="0.3">
      <c r="B5" s="55">
        <f>DATE(KalendarskaGodina+1,2,1)</f>
        <v>41306</v>
      </c>
      <c r="C5" s="54"/>
      <c r="D5" s="37" t="str">
        <f>TEXT(WEEKDAY(DATE(KalendarskaGodina+1,2,1),1),"aaa")</f>
        <v>pet</v>
      </c>
      <c r="E5" s="37" t="str">
        <f>TEXT(WEEKDAY(DATE(KalendarskaGodina+1,2,2),1),"aaa")</f>
        <v>sub</v>
      </c>
      <c r="F5" s="37" t="str">
        <f>TEXT(WEEKDAY(DATE(KalendarskaGodina+1,2,3),1),"aaa")</f>
        <v>ned</v>
      </c>
      <c r="G5" s="37" t="str">
        <f>TEXT(WEEKDAY(DATE(KalendarskaGodina+1,2,4),1),"aaa")</f>
        <v>pon</v>
      </c>
      <c r="H5" s="37" t="str">
        <f>TEXT(WEEKDAY(DATE(KalendarskaGodina+1,2,5),1),"aaa")</f>
        <v>uto</v>
      </c>
      <c r="I5" s="37" t="str">
        <f>TEXT(WEEKDAY(DATE(KalendarskaGodina+1,2,6),1),"aaa")</f>
        <v>sri</v>
      </c>
      <c r="J5" s="37" t="str">
        <f>TEXT(WEEKDAY(DATE(KalendarskaGodina+1,2,7),1),"aaa")</f>
        <v>čet</v>
      </c>
      <c r="K5" s="37" t="str">
        <f>TEXT(WEEKDAY(DATE(KalendarskaGodina+1,2,8),1),"aaa")</f>
        <v>pet</v>
      </c>
      <c r="L5" s="37" t="str">
        <f>TEXT(WEEKDAY(DATE(KalendarskaGodina+1,2,9),1),"aaa")</f>
        <v>sub</v>
      </c>
      <c r="M5" s="37" t="str">
        <f>TEXT(WEEKDAY(DATE(KalendarskaGodina+1,2,10),1),"aaa")</f>
        <v>ned</v>
      </c>
      <c r="N5" s="37" t="str">
        <f>TEXT(WEEKDAY(DATE(KalendarskaGodina+1,2,11),1),"aaa")</f>
        <v>pon</v>
      </c>
      <c r="O5" s="37" t="str">
        <f>TEXT(WEEKDAY(DATE(KalendarskaGodina+1,2,12),1),"aaa")</f>
        <v>uto</v>
      </c>
      <c r="P5" s="37" t="str">
        <f>TEXT(WEEKDAY(DATE(KalendarskaGodina+1,2,13),1),"aaa")</f>
        <v>sri</v>
      </c>
      <c r="Q5" s="37" t="str">
        <f>TEXT(WEEKDAY(DATE(KalendarskaGodina+1,2,14),1),"aaa")</f>
        <v>čet</v>
      </c>
      <c r="R5" s="37" t="str">
        <f>TEXT(WEEKDAY(DATE(KalendarskaGodina+1,2,15),1),"aaa")</f>
        <v>pet</v>
      </c>
      <c r="S5" s="37" t="str">
        <f>TEXT(WEEKDAY(DATE(KalendarskaGodina+1,2,16),1),"aaa")</f>
        <v>sub</v>
      </c>
      <c r="T5" s="37" t="str">
        <f>TEXT(WEEKDAY(DATE(KalendarskaGodina+1,2,17),1),"aaa")</f>
        <v>ned</v>
      </c>
      <c r="U5" s="37" t="str">
        <f>TEXT(WEEKDAY(DATE(KalendarskaGodina+1,2,18),1),"aaa")</f>
        <v>pon</v>
      </c>
      <c r="V5" s="37" t="str">
        <f>TEXT(WEEKDAY(DATE(KalendarskaGodina+1,2,19),1),"aaa")</f>
        <v>uto</v>
      </c>
      <c r="W5" s="37" t="str">
        <f>TEXT(WEEKDAY(DATE(KalendarskaGodina+1,2,20),1),"aaa")</f>
        <v>sri</v>
      </c>
      <c r="X5" s="37" t="str">
        <f>TEXT(WEEKDAY(DATE(KalendarskaGodina+1,2,21),1),"aaa")</f>
        <v>čet</v>
      </c>
      <c r="Y5" s="37" t="str">
        <f>TEXT(WEEKDAY(DATE(KalendarskaGodina+1,2,22),1),"aaa")</f>
        <v>pet</v>
      </c>
      <c r="Z5" s="37" t="str">
        <f>TEXT(WEEKDAY(DATE(KalendarskaGodina+1,2,23),1),"aaa")</f>
        <v>sub</v>
      </c>
      <c r="AA5" s="37" t="str">
        <f>TEXT(WEEKDAY(DATE(KalendarskaGodina+1,2,24),1),"aaa")</f>
        <v>ned</v>
      </c>
      <c r="AB5" s="37" t="str">
        <f>TEXT(WEEKDAY(DATE(KalendarskaGodina+1,2,25),1),"aaa")</f>
        <v>pon</v>
      </c>
      <c r="AC5" s="37" t="str">
        <f>TEXT(WEEKDAY(DATE(KalendarskaGodina+1,2,26),1),"aaa")</f>
        <v>uto</v>
      </c>
      <c r="AD5" s="37" t="str">
        <f>TEXT(WEEKDAY(DATE(KalendarskaGodina+1,2,27),1),"aaa")</f>
        <v>sri</v>
      </c>
      <c r="AE5" s="37" t="str">
        <f>TEXT(WEEKDAY(DATE(KalendarskaGodina+1,2,28),1),"aaa")</f>
        <v>čet</v>
      </c>
      <c r="AF5" s="37" t="str">
        <f>TEXT(WEEKDAY(DATE(KalendarskaGodina+1,2,29),1),"aaa")</f>
        <v>pet</v>
      </c>
      <c r="AG5" s="37"/>
      <c r="AH5" s="37"/>
      <c r="AI5" s="122" t="s">
        <v>38</v>
      </c>
      <c r="AJ5" s="122"/>
      <c r="AK5" s="122"/>
      <c r="AL5" s="122"/>
      <c r="AM5" s="122"/>
    </row>
    <row r="6" spans="1:39" ht="27" x14ac:dyDescent="0.25">
      <c r="B6" s="106" t="s">
        <v>34</v>
      </c>
      <c r="C6" s="24" t="s">
        <v>36</v>
      </c>
      <c r="D6" s="25" t="s">
        <v>0</v>
      </c>
      <c r="E6" s="25" t="s">
        <v>1</v>
      </c>
      <c r="F6" s="25" t="s">
        <v>2</v>
      </c>
      <c r="G6" s="25" t="s">
        <v>3</v>
      </c>
      <c r="H6" s="25" t="s">
        <v>4</v>
      </c>
      <c r="I6" s="25" t="s">
        <v>5</v>
      </c>
      <c r="J6" s="25" t="s">
        <v>6</v>
      </c>
      <c r="K6" s="25" t="s">
        <v>7</v>
      </c>
      <c r="L6" s="25" t="s">
        <v>8</v>
      </c>
      <c r="M6" s="25" t="s">
        <v>9</v>
      </c>
      <c r="N6" s="25" t="s">
        <v>10</v>
      </c>
      <c r="O6" s="25" t="s">
        <v>11</v>
      </c>
      <c r="P6" s="25" t="s">
        <v>12</v>
      </c>
      <c r="Q6" s="25" t="s">
        <v>13</v>
      </c>
      <c r="R6" s="25" t="s">
        <v>14</v>
      </c>
      <c r="S6" s="25" t="s">
        <v>15</v>
      </c>
      <c r="T6" s="25" t="s">
        <v>16</v>
      </c>
      <c r="U6" s="25" t="s">
        <v>17</v>
      </c>
      <c r="V6" s="25" t="s">
        <v>18</v>
      </c>
      <c r="W6" s="25" t="s">
        <v>19</v>
      </c>
      <c r="X6" s="25" t="s">
        <v>20</v>
      </c>
      <c r="Y6" s="25" t="s">
        <v>21</v>
      </c>
      <c r="Z6" s="25" t="s">
        <v>22</v>
      </c>
      <c r="AA6" s="25" t="s">
        <v>23</v>
      </c>
      <c r="AB6" s="25" t="s">
        <v>24</v>
      </c>
      <c r="AC6" s="25" t="s">
        <v>25</v>
      </c>
      <c r="AD6" s="25" t="s">
        <v>26</v>
      </c>
      <c r="AE6" s="25" t="s">
        <v>27</v>
      </c>
      <c r="AF6" s="25" t="s">
        <v>28</v>
      </c>
      <c r="AG6" s="25" t="s">
        <v>29</v>
      </c>
      <c r="AH6" s="25" t="s">
        <v>30</v>
      </c>
      <c r="AI6" s="145" t="s">
        <v>127</v>
      </c>
      <c r="AJ6" s="46" t="s">
        <v>128</v>
      </c>
      <c r="AK6" s="47" t="s">
        <v>68</v>
      </c>
      <c r="AL6" s="147" t="s">
        <v>31</v>
      </c>
      <c r="AM6" t="s">
        <v>37</v>
      </c>
    </row>
    <row r="7" spans="1:39" ht="16.5" customHeight="1" x14ac:dyDescent="0.25">
      <c r="B7" s="23"/>
      <c r="C7" s="19" t="str">
        <f>IFERROR(VLOOKUP(NazočnostZaVeljaču[[#This Row],[Identifikacijski broj učenika]],PopisUčenika[],18,FALSE),"")</f>
        <v/>
      </c>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2"/>
      <c r="AG7" s="3"/>
      <c r="AH7" s="3"/>
      <c r="AI7" s="31">
        <f>COUNTIF(NazočnostZaVeljaču[[#This Row],[1]:[31]],Šifra1)</f>
        <v>0</v>
      </c>
      <c r="AJ7" s="31">
        <f>COUNTIF(NazočnostZaVeljaču[[#This Row],[1]:[31]],Šifra2)</f>
        <v>0</v>
      </c>
      <c r="AK7" s="31">
        <f>COUNTIF(NazočnostZaVeljaču[[#This Row],[1]:[31]],Šifra3)</f>
        <v>0</v>
      </c>
      <c r="AL7" s="31">
        <f>COUNTIF(NazočnostZaVeljaču[[#This Row],[1]:[31]],Šifra4)</f>
        <v>0</v>
      </c>
      <c r="AM7" s="6">
        <f>SUM(NazočnostZaRujan[[#This Row],[O]:[N]])</f>
        <v>0</v>
      </c>
    </row>
    <row r="8" spans="1:39" ht="16.5" customHeight="1" x14ac:dyDescent="0.25">
      <c r="B8" s="23"/>
      <c r="C8" s="19" t="str">
        <f>IFERROR(VLOOKUP(NazočnostZaVeljaču[[#This Row],[Identifikacijski broj učenika]],PopisUčenika[],18,FALSE),"")</f>
        <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3"/>
      <c r="AH8" s="3"/>
      <c r="AI8" s="31">
        <f>COUNTIF(NazočnostZaVeljaču[[#This Row],[1]:[31]],Šifra1)</f>
        <v>0</v>
      </c>
      <c r="AJ8" s="31">
        <f>COUNTIF(NazočnostZaVeljaču[[#This Row],[1]:[31]],Šifra2)</f>
        <v>0</v>
      </c>
      <c r="AK8" s="31">
        <f>COUNTIF(NazočnostZaVeljaču[[#This Row],[1]:[31]],Šifra3)</f>
        <v>0</v>
      </c>
      <c r="AL8" s="31">
        <f>COUNTIF(NazočnostZaVeljaču[[#This Row],[1]:[31]],Šifra4)</f>
        <v>0</v>
      </c>
      <c r="AM8" s="6">
        <f>SUM(NazočnostZaRujan[[#This Row],[O]:[N]])</f>
        <v>0</v>
      </c>
    </row>
    <row r="9" spans="1:39" ht="16.5" customHeight="1" x14ac:dyDescent="0.25">
      <c r="B9" s="23"/>
      <c r="C9" s="19" t="str">
        <f>IFERROR(VLOOKUP(NazočnostZaVeljaču[[#This Row],[Identifikacijski broj učenika]],PopisUčenika[],18,FALSE),"")</f>
        <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2"/>
      <c r="AG9" s="3"/>
      <c r="AH9" s="3"/>
      <c r="AI9" s="31">
        <f>COUNTIF(NazočnostZaVeljaču[[#This Row],[1]:[31]],Šifra1)</f>
        <v>0</v>
      </c>
      <c r="AJ9" s="31">
        <f>COUNTIF(NazočnostZaVeljaču[[#This Row],[1]:[31]],Šifra2)</f>
        <v>0</v>
      </c>
      <c r="AK9" s="31">
        <f>COUNTIF(NazočnostZaVeljaču[[#This Row],[1]:[31]],Šifra3)</f>
        <v>0</v>
      </c>
      <c r="AL9" s="31">
        <f>COUNTIF(NazočnostZaVeljaču[[#This Row],[1]:[31]],Šifra4)</f>
        <v>0</v>
      </c>
      <c r="AM9" s="6">
        <f>SUM(NazočnostZaRujan[[#This Row],[O]:[N]])</f>
        <v>0</v>
      </c>
    </row>
    <row r="10" spans="1:39" ht="16.5" customHeight="1" x14ac:dyDescent="0.25">
      <c r="B10" s="23"/>
      <c r="C10" s="19" t="str">
        <f>IFERROR(VLOOKUP(NazočnostZaVeljaču[[#This Row],[Identifikacijski broj učenika]],PopisUčenika[],18,FALSE),"")</f>
        <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2"/>
      <c r="AG10" s="3"/>
      <c r="AH10" s="3"/>
      <c r="AI10" s="31">
        <f>COUNTIF(NazočnostZaVeljaču[[#This Row],[1]:[31]],Šifra1)</f>
        <v>0</v>
      </c>
      <c r="AJ10" s="31">
        <f>COUNTIF(NazočnostZaVeljaču[[#This Row],[1]:[31]],Šifra2)</f>
        <v>0</v>
      </c>
      <c r="AK10" s="31">
        <f>COUNTIF(NazočnostZaVeljaču[[#This Row],[1]:[31]],Šifra3)</f>
        <v>0</v>
      </c>
      <c r="AL10" s="31">
        <f>COUNTIF(NazočnostZaVeljaču[[#This Row],[1]:[31]],Šifra4)</f>
        <v>0</v>
      </c>
      <c r="AM10" s="6">
        <f>SUM(NazočnostZaRujan[[#This Row],[O]:[N]])</f>
        <v>0</v>
      </c>
    </row>
    <row r="11" spans="1:39" ht="16.5" customHeight="1" x14ac:dyDescent="0.25">
      <c r="B11" s="23"/>
      <c r="C11" s="19" t="str">
        <f>IFERROR(VLOOKUP(NazočnostZaVeljaču[[#This Row],[Identifikacijski broj učenika]],PopisUčenika[],18,FALSE),"")</f>
        <v/>
      </c>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2"/>
      <c r="AG11" s="3"/>
      <c r="AH11" s="3"/>
      <c r="AI11" s="31">
        <f>COUNTIF(NazočnostZaVeljaču[[#This Row],[1]:[31]],Šifra1)</f>
        <v>0</v>
      </c>
      <c r="AJ11" s="31">
        <f>COUNTIF(NazočnostZaVeljaču[[#This Row],[1]:[31]],Šifra2)</f>
        <v>0</v>
      </c>
      <c r="AK11" s="31">
        <f>COUNTIF(NazočnostZaVeljaču[[#This Row],[1]:[31]],Šifra3)</f>
        <v>0</v>
      </c>
      <c r="AL11" s="31">
        <f>COUNTIF(NazočnostZaVeljaču[[#This Row],[1]:[31]],Šifra4)</f>
        <v>0</v>
      </c>
      <c r="AM11" s="6">
        <f>SUM(NazočnostZaRujan[[#This Row],[O]:[N]])</f>
        <v>0</v>
      </c>
    </row>
    <row r="12" spans="1:39" ht="16.5" customHeight="1" x14ac:dyDescent="0.25">
      <c r="B12" s="142"/>
      <c r="C12" s="143" t="s">
        <v>117</v>
      </c>
      <c r="D12" s="144">
        <f>COUNTIF(NazočnostZaVeljaču[1],"N")+COUNTIF(NazočnostZaVeljaču[1],"O")</f>
        <v>0</v>
      </c>
      <c r="E12" s="144">
        <f>COUNTIF(NazočnostZaVeljaču[2],"N")+COUNTIF(NazočnostZaVeljaču[2],"O")</f>
        <v>0</v>
      </c>
      <c r="F12" s="144">
        <f>COUNTIF(NazočnostZaVeljaču[3],"N")+COUNTIF(NazočnostZaVeljaču[3],"O")</f>
        <v>0</v>
      </c>
      <c r="G12" s="144">
        <f>COUNTIF(NazočnostZaVeljaču[4],"N")+COUNTIF(NazočnostZaVeljaču[4],"O")</f>
        <v>0</v>
      </c>
      <c r="H12" s="144">
        <f>COUNTIF(NazočnostZaVeljaču[5],"N")+COUNTIF(NazočnostZaVeljaču[5],"O")</f>
        <v>0</v>
      </c>
      <c r="I12" s="144">
        <f>COUNTIF(NazočnostZaVeljaču[6],"N")+COUNTIF(NazočnostZaVeljaču[6],"O")</f>
        <v>0</v>
      </c>
      <c r="J12" s="144">
        <f>COUNTIF(NazočnostZaVeljaču[7],"N")+COUNTIF(NazočnostZaVeljaču[7],"O")</f>
        <v>0</v>
      </c>
      <c r="K12" s="144">
        <f>COUNTIF(NazočnostZaVeljaču[8],"N")+COUNTIF(NazočnostZaVeljaču[8],"O")</f>
        <v>0</v>
      </c>
      <c r="L12" s="144">
        <f>COUNTIF(NazočnostZaVeljaču[9],"N")+COUNTIF(NazočnostZaVeljaču[9],"O")</f>
        <v>0</v>
      </c>
      <c r="M12" s="144">
        <f>COUNTIF(NazočnostZaVeljaču[10],"N")+COUNTIF(NazočnostZaVeljaču[10],"O")</f>
        <v>0</v>
      </c>
      <c r="N12" s="144">
        <f>COUNTIF(NazočnostZaVeljaču[11],"N")+COUNTIF(NazočnostZaVeljaču[11],"O")</f>
        <v>0</v>
      </c>
      <c r="O12" s="144">
        <f>COUNTIF(NazočnostZaVeljaču[12],"N")+COUNTIF(NazočnostZaVeljaču[12],"O")</f>
        <v>0</v>
      </c>
      <c r="P12" s="144">
        <f>COUNTIF(NazočnostZaVeljaču[13],"N")+COUNTIF(NazočnostZaVeljaču[13],"O")</f>
        <v>0</v>
      </c>
      <c r="Q12" s="144">
        <f>COUNTIF(NazočnostZaVeljaču[14],"N")+COUNTIF(NazočnostZaVeljaču[14],"O")</f>
        <v>0</v>
      </c>
      <c r="R12" s="144">
        <f>COUNTIF(NazočnostZaVeljaču[15],"N")+COUNTIF(NazočnostZaVeljaču[15],"O")</f>
        <v>0</v>
      </c>
      <c r="S12" s="144">
        <f>COUNTIF(NazočnostZaVeljaču[16],"N")+COUNTIF(NazočnostZaVeljaču[16],"O")</f>
        <v>0</v>
      </c>
      <c r="T12" s="144">
        <f>COUNTIF(NazočnostZaVeljaču[17],"N")+COUNTIF(NazočnostZaVeljaču[17],"O")</f>
        <v>0</v>
      </c>
      <c r="U12" s="144">
        <f>COUNTIF(NazočnostZaVeljaču[18],"N")+COUNTIF(NazočnostZaVeljaču[18],"O")</f>
        <v>0</v>
      </c>
      <c r="V12" s="144">
        <f>COUNTIF(NazočnostZaVeljaču[19],"N")+COUNTIF(NazočnostZaVeljaču[19],"O")</f>
        <v>0</v>
      </c>
      <c r="W12" s="144">
        <f>COUNTIF(NazočnostZaVeljaču[20],"N")+COUNTIF(NazočnostZaVeljaču[20],"O")</f>
        <v>0</v>
      </c>
      <c r="X12" s="144">
        <f>COUNTIF(NazočnostZaVeljaču[21],"N")+COUNTIF(NazočnostZaVeljaču[21],"O")</f>
        <v>0</v>
      </c>
      <c r="Y12" s="144">
        <f>COUNTIF(NazočnostZaVeljaču[22],"N")+COUNTIF(NazočnostZaVeljaču[22],"O")</f>
        <v>0</v>
      </c>
      <c r="Z12" s="144">
        <f>COUNTIF(NazočnostZaVeljaču[23],"N")+COUNTIF(NazočnostZaVeljaču[23],"O")</f>
        <v>0</v>
      </c>
      <c r="AA12" s="144">
        <f>COUNTIF(NazočnostZaVeljaču[24],"N")+COUNTIF(NazočnostZaVeljaču[24],"O")</f>
        <v>0</v>
      </c>
      <c r="AB12" s="144">
        <f>COUNTIF(NazočnostZaVeljaču[25],"N")+COUNTIF(NazočnostZaVeljaču[25],"O")</f>
        <v>0</v>
      </c>
      <c r="AC12" s="144">
        <f>COUNTIF(NazočnostZaVeljaču[26],"N")+COUNTIF(NazočnostZaVeljaču[26],"O")</f>
        <v>0</v>
      </c>
      <c r="AD12" s="144">
        <f>COUNTIF(NazočnostZaVeljaču[27],"N")+COUNTIF(NazočnostZaVeljaču[27],"O")</f>
        <v>0</v>
      </c>
      <c r="AE12" s="144">
        <f>COUNTIF(NazočnostZaVeljaču[28],"N")+COUNTIF(NazočnostZaVeljaču[28],"O")</f>
        <v>0</v>
      </c>
      <c r="AF12" s="144">
        <f>COUNTIF(NazočnostZaVeljaču[29],"N")+COUNTIF(NazočnostZaVeljaču[29],"O")</f>
        <v>0</v>
      </c>
      <c r="AG12" s="144">
        <f>COUNTIF(NazočnostZaVeljaču[30],"N")+COUNTIF(NazočnostZaVeljaču[30],"O")</f>
        <v>0</v>
      </c>
      <c r="AH12" s="144">
        <f>COUNTIF(NazočnostZaVeljaču[31],"N")+COUNTIF(NazočnostZaVeljaču[31],"O")</f>
        <v>0</v>
      </c>
      <c r="AI12" s="144">
        <f>SUBTOTAL(109,NazočnostZaVeljaču[K])</f>
        <v>0</v>
      </c>
      <c r="AJ12" s="144">
        <f>SUBTOTAL(109,NazočnostZaVeljaču[O])</f>
        <v>0</v>
      </c>
      <c r="AK12" s="144">
        <f>SUBTOTAL(109,NazočnostZaVeljaču[N])</f>
        <v>0</v>
      </c>
      <c r="AL12" s="144">
        <f>SUBTOTAL(109,NazočnostZaVeljaču[P])</f>
        <v>0</v>
      </c>
      <c r="AM12" s="144">
        <f>SUBTOTAL(109,NazočnostZaVeljaču[Dani izostanaka])</f>
        <v>0</v>
      </c>
    </row>
    <row r="14" spans="1:39" ht="16.5" customHeight="1" x14ac:dyDescent="0.25"/>
    <row r="15" spans="1:39" ht="16.5" customHeight="1" x14ac:dyDescent="0.25"/>
    <row r="16" spans="1:39"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sheetData>
  <sheetProtection formatCells="0" formatColumns="0" formatRows="0" insertColumns="0" insertRows="0" insertHyperlinks="0" deleteColumns="0" deleteRows="0" sort="0" autoFilter="0" pivotTables="0"/>
  <mergeCells count="1">
    <mergeCell ref="AI5:AM5"/>
  </mergeCells>
  <conditionalFormatting sqref="AM7:AM11">
    <cfRule type="dataBar" priority="3">
      <dataBar>
        <cfvo type="min"/>
        <cfvo type="num" val="DATEDIF(DATE(KalendarskaGodina,2,1),DATE(KalendarskaGodina,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734" priority="2">
      <formula>DATE(KalendarskaGodina+1,2,AF6)&gt;EOMONTH(DATE(KalendarskaGodina+1,1,1),1)</formula>
    </cfRule>
  </conditionalFormatting>
  <conditionalFormatting sqref="D7:AF11">
    <cfRule type="expression" dxfId="733" priority="5" stopIfTrue="1">
      <formula>D7=Šifra2</formula>
    </cfRule>
  </conditionalFormatting>
  <conditionalFormatting sqref="D7:AF11">
    <cfRule type="expression" dxfId="732" priority="6" stopIfTrue="1">
      <formula>D7=Šifra5</formula>
    </cfRule>
    <cfRule type="expression" dxfId="731" priority="7" stopIfTrue="1">
      <formula>D7=Šifra4</formula>
    </cfRule>
    <cfRule type="expression" dxfId="730" priority="8" stopIfTrue="1">
      <formula>D7=Šifra3</formula>
    </cfRule>
    <cfRule type="expression" dxfId="729" priority="9" stopIfTrue="1">
      <formula>D7=Šifra1</formula>
    </cfRule>
  </conditionalFormatting>
  <conditionalFormatting sqref="AF6:AH6">
    <cfRule type="expression" dxfId="728" priority="1">
      <formula>DATE(KalendarskaGodina+1,2,AF6)&gt;EOMONTH(DATE(KalendarskaGodina+1,1,1),1)</formula>
    </cfRule>
  </conditionalFormatting>
  <dataValidations count="1">
    <dataValidation type="list" errorStyle="warning" allowBlank="1" showInputMessage="1" showErrorMessage="1" errorTitle="Ups!" error="Identifikacijskog broja učenika koji ste unijeli na list Popis učenika. Možete kliknuti Da da biste koristili ono što ste unijeli, ali taj identifikacijski broj učenika neće biti dostupan na listu Izvješće o nazočnosti učenika." sqref="B7:B11">
      <formula1>IDučenika</formula1>
    </dataValidation>
  </dataValidations>
  <printOptions horizontalCentered="1"/>
  <pageMargins left="0.5" right="0.5" top="0.75" bottom="0.75" header="0.3" footer="0.3"/>
  <pageSetup paperSize="9" scale="59"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DATEDIF(DATE(KalendarskaGodina,2,1),DATE(KalendarskaGodina,3,1),"d")</xm:f>
              </x14:cfvo>
              <x14:borderColor theme="4"/>
              <x14:negativeFillColor rgb="FFFF0000"/>
              <x14:negativeBorderColor rgb="FFFF0000"/>
              <x14:axisColor rgb="FF000000"/>
            </x14:dataBar>
          </x14:cfRule>
          <xm:sqref>AM7:AM11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8badc642-15f9-493b-af2e-800910d66b6f">english</DirectSourceMarket>
    <ApprovalStatus xmlns="8badc642-15f9-493b-af2e-800910d66b6f">InProgress</ApprovalStatus>
    <MarketSpecific xmlns="8badc642-15f9-493b-af2e-800910d66b6f">false</MarketSpecific>
    <LocComments xmlns="8badc642-15f9-493b-af2e-800910d66b6f" xsi:nil="true"/>
    <ThumbnailAssetId xmlns="8badc642-15f9-493b-af2e-800910d66b6f" xsi:nil="true"/>
    <PrimaryImageGen xmlns="8badc642-15f9-493b-af2e-800910d66b6f">true</PrimaryImageGen>
    <LegacyData xmlns="8badc642-15f9-493b-af2e-800910d66b6f" xsi:nil="true"/>
    <LocRecommendedHandoff xmlns="8badc642-15f9-493b-af2e-800910d66b6f" xsi:nil="true"/>
    <BusinessGroup xmlns="8badc642-15f9-493b-af2e-800910d66b6f" xsi:nil="true"/>
    <BlockPublish xmlns="8badc642-15f9-493b-af2e-800910d66b6f">false</BlockPublish>
    <TPFriendlyName xmlns="8badc642-15f9-493b-af2e-800910d66b6f" xsi:nil="true"/>
    <NumericId xmlns="8badc642-15f9-493b-af2e-800910d66b6f" xsi:nil="true"/>
    <APEditor xmlns="8badc642-15f9-493b-af2e-800910d66b6f">
      <UserInfo>
        <DisplayName/>
        <AccountId xsi:nil="true"/>
        <AccountType/>
      </UserInfo>
    </APEditor>
    <SourceTitle xmlns="8badc642-15f9-493b-af2e-800910d66b6f" xsi:nil="true"/>
    <OpenTemplate xmlns="8badc642-15f9-493b-af2e-800910d66b6f">true</OpenTemplate>
    <UALocComments xmlns="8badc642-15f9-493b-af2e-800910d66b6f" xsi:nil="true"/>
    <ParentAssetId xmlns="8badc642-15f9-493b-af2e-800910d66b6f" xsi:nil="true"/>
    <IntlLangReviewDate xmlns="8badc642-15f9-493b-af2e-800910d66b6f" xsi:nil="true"/>
    <FeatureTagsTaxHTField0 xmlns="8badc642-15f9-493b-af2e-800910d66b6f">
      <Terms xmlns="http://schemas.microsoft.com/office/infopath/2007/PartnerControls"/>
    </FeatureTagsTaxHTField0>
    <PublishStatusLookup xmlns="8badc642-15f9-493b-af2e-800910d66b6f">
      <Value>212495</Value>
    </PublishStatusLookup>
    <Providers xmlns="8badc642-15f9-493b-af2e-800910d66b6f" xsi:nil="true"/>
    <MachineTranslated xmlns="8badc642-15f9-493b-af2e-800910d66b6f">false</MachineTranslated>
    <OriginalSourceMarket xmlns="8badc642-15f9-493b-af2e-800910d66b6f">english</OriginalSourceMarket>
    <APDescription xmlns="8badc642-15f9-493b-af2e-800910d66b6f">Teachers can use this handy template to track the attendance of all their students by month and year. Detailed instructions are included.
</APDescription>
    <ClipArtFilename xmlns="8badc642-15f9-493b-af2e-800910d66b6f" xsi:nil="true"/>
    <ContentItem xmlns="8badc642-15f9-493b-af2e-800910d66b6f" xsi:nil="true"/>
    <TPInstallLocation xmlns="8badc642-15f9-493b-af2e-800910d66b6f" xsi:nil="true"/>
    <PublishTargets xmlns="8badc642-15f9-493b-af2e-800910d66b6f">OfficeOnlineVNext</PublishTargets>
    <TimesCloned xmlns="8badc642-15f9-493b-af2e-800910d66b6f" xsi:nil="true"/>
    <AssetStart xmlns="8badc642-15f9-493b-af2e-800910d66b6f">2011-12-15T00:32:00+00:00</AssetStart>
    <Provider xmlns="8badc642-15f9-493b-af2e-800910d66b6f" xsi:nil="true"/>
    <AcquiredFrom xmlns="8badc642-15f9-493b-af2e-800910d66b6f">Internal MS</AcquiredFrom>
    <FriendlyTitle xmlns="8badc642-15f9-493b-af2e-800910d66b6f" xsi:nil="true"/>
    <LastHandOff xmlns="8badc642-15f9-493b-af2e-800910d66b6f" xsi:nil="true"/>
    <TPClientViewer xmlns="8badc642-15f9-493b-af2e-800910d66b6f" xsi:nil="true"/>
    <UACurrentWords xmlns="8badc642-15f9-493b-af2e-800910d66b6f" xsi:nil="true"/>
    <ArtSampleDocs xmlns="8badc642-15f9-493b-af2e-800910d66b6f" xsi:nil="true"/>
    <UALocRecommendation xmlns="8badc642-15f9-493b-af2e-800910d66b6f">Localize</UALocRecommendation>
    <Manager xmlns="8badc642-15f9-493b-af2e-800910d66b6f" xsi:nil="true"/>
    <ShowIn xmlns="8badc642-15f9-493b-af2e-800910d66b6f">Show everywhere</ShowIn>
    <UANotes xmlns="8badc642-15f9-493b-af2e-800910d66b6f" xsi:nil="true"/>
    <TemplateStatus xmlns="8badc642-15f9-493b-af2e-800910d66b6f">Complete</TemplateStatus>
    <InternalTagsTaxHTField0 xmlns="8badc642-15f9-493b-af2e-800910d66b6f">
      <Terms xmlns="http://schemas.microsoft.com/office/infopath/2007/PartnerControls"/>
    </InternalTagsTaxHTField0>
    <CSXHash xmlns="8badc642-15f9-493b-af2e-800910d66b6f" xsi:nil="true"/>
    <Downloads xmlns="8badc642-15f9-493b-af2e-800910d66b6f">0</Downloads>
    <VoteCount xmlns="8badc642-15f9-493b-af2e-800910d66b6f" xsi:nil="true"/>
    <OOCacheId xmlns="8badc642-15f9-493b-af2e-800910d66b6f" xsi:nil="true"/>
    <IsDeleted xmlns="8badc642-15f9-493b-af2e-800910d66b6f">false</IsDeleted>
    <AssetExpire xmlns="8badc642-15f9-493b-af2e-800910d66b6f">2035-01-01T08:00:00+00:00</AssetExpire>
    <DSATActionTaken xmlns="8badc642-15f9-493b-af2e-800910d66b6f" xsi:nil="true"/>
    <CSXSubmissionMarket xmlns="8badc642-15f9-493b-af2e-800910d66b6f" xsi:nil="true"/>
    <TPExecutable xmlns="8badc642-15f9-493b-af2e-800910d66b6f" xsi:nil="true"/>
    <SubmitterId xmlns="8badc642-15f9-493b-af2e-800910d66b6f" xsi:nil="true"/>
    <EditorialTags xmlns="8badc642-15f9-493b-af2e-800910d66b6f" xsi:nil="true"/>
    <ApprovalLog xmlns="8badc642-15f9-493b-af2e-800910d66b6f" xsi:nil="true"/>
    <AssetType xmlns="8badc642-15f9-493b-af2e-800910d66b6f">TP</AssetType>
    <BugNumber xmlns="8badc642-15f9-493b-af2e-800910d66b6f" xsi:nil="true"/>
    <CSXSubmissionDate xmlns="8badc642-15f9-493b-af2e-800910d66b6f" xsi:nil="true"/>
    <CSXUpdate xmlns="8badc642-15f9-493b-af2e-800910d66b6f">false</CSXUpdate>
    <Milestone xmlns="8badc642-15f9-493b-af2e-800910d66b6f" xsi:nil="true"/>
    <RecommendationsModifier xmlns="8badc642-15f9-493b-af2e-800910d66b6f" xsi:nil="true"/>
    <OriginAsset xmlns="8badc642-15f9-493b-af2e-800910d66b6f" xsi:nil="true"/>
    <TPComponent xmlns="8badc642-15f9-493b-af2e-800910d66b6f" xsi:nil="true"/>
    <AssetId xmlns="8badc642-15f9-493b-af2e-800910d66b6f">TP102802368</AssetId>
    <IntlLocPriority xmlns="8badc642-15f9-493b-af2e-800910d66b6f" xsi:nil="true"/>
    <PolicheckWords xmlns="8badc642-15f9-493b-af2e-800910d66b6f" xsi:nil="true"/>
    <TPLaunchHelpLink xmlns="8badc642-15f9-493b-af2e-800910d66b6f" xsi:nil="true"/>
    <TPApplication xmlns="8badc642-15f9-493b-af2e-800910d66b6f" xsi:nil="true"/>
    <CrawlForDependencies xmlns="8badc642-15f9-493b-af2e-800910d66b6f">false</CrawlForDependencies>
    <HandoffToMSDN xmlns="8badc642-15f9-493b-af2e-800910d66b6f" xsi:nil="true"/>
    <PlannedPubDate xmlns="8badc642-15f9-493b-af2e-800910d66b6f" xsi:nil="true"/>
    <IntlLangReviewer xmlns="8badc642-15f9-493b-af2e-800910d66b6f" xsi:nil="true"/>
    <TrustLevel xmlns="8badc642-15f9-493b-af2e-800910d66b6f">1 Microsoft Managed Content</TrustLevel>
    <LocLastLocAttemptVersionLookup xmlns="8badc642-15f9-493b-af2e-800910d66b6f">712809</LocLastLocAttemptVersionLookup>
    <IsSearchable xmlns="8badc642-15f9-493b-af2e-800910d66b6f">true</IsSearchable>
    <TemplateTemplateType xmlns="8badc642-15f9-493b-af2e-800910d66b6f">Excel 2007 Default</TemplateTemplateType>
    <CampaignTagsTaxHTField0 xmlns="8badc642-15f9-493b-af2e-800910d66b6f">
      <Terms xmlns="http://schemas.microsoft.com/office/infopath/2007/PartnerControls"/>
    </CampaignTagsTaxHTField0>
    <TPNamespace xmlns="8badc642-15f9-493b-af2e-800910d66b6f" xsi:nil="true"/>
    <TaxCatchAll xmlns="8badc642-15f9-493b-af2e-800910d66b6f"/>
    <Markets xmlns="8badc642-15f9-493b-af2e-800910d66b6f"/>
    <UAProjectedTotalWords xmlns="8badc642-15f9-493b-af2e-800910d66b6f" xsi:nil="true"/>
    <IntlLangReview xmlns="8badc642-15f9-493b-af2e-800910d66b6f">false</IntlLangReview>
    <OutputCachingOn xmlns="8badc642-15f9-493b-af2e-800910d66b6f">false</OutputCachingOn>
    <APAuthor xmlns="8badc642-15f9-493b-af2e-800910d66b6f">
      <UserInfo>
        <DisplayName>REDMOND\v-aptall</DisplayName>
        <AccountId>2566</AccountId>
        <AccountType/>
      </UserInfo>
    </APAuthor>
    <LocManualTestRequired xmlns="8badc642-15f9-493b-af2e-800910d66b6f">false</LocManualTestRequired>
    <TPCommandLine xmlns="8badc642-15f9-493b-af2e-800910d66b6f" xsi:nil="true"/>
    <TPAppVersion xmlns="8badc642-15f9-493b-af2e-800910d66b6f" xsi:nil="true"/>
    <EditorialStatus xmlns="8badc642-15f9-493b-af2e-800910d66b6f">Complete</EditorialStatus>
    <LastModifiedDateTime xmlns="8badc642-15f9-493b-af2e-800910d66b6f" xsi:nil="true"/>
    <ScenarioTagsTaxHTField0 xmlns="8badc642-15f9-493b-af2e-800910d66b6f">
      <Terms xmlns="http://schemas.microsoft.com/office/infopath/2007/PartnerControls"/>
    </ScenarioTagsTaxHTField0>
    <OriginalRelease xmlns="8badc642-15f9-493b-af2e-800910d66b6f">14</OriginalRelease>
    <TPLaunchHelpLinkType xmlns="8badc642-15f9-493b-af2e-800910d66b6f">Template</TPLaunchHelpLinkType>
    <LocalizationTagsTaxHTField0 xmlns="8badc642-15f9-493b-af2e-800910d66b6f">
      <Terms xmlns="http://schemas.microsoft.com/office/infopath/2007/PartnerControls"/>
    </LocalizationTagsTaxHTField0>
    <LocMarketGroupTiers2 xmlns="8badc642-15f9-493b-af2e-800910d66b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CE6EEBCA2A20434687F63529BC62C70C0400B49D3FDEBF6E5C4BBABD28DFF7A72F5A" ma:contentTypeVersion="54" ma:contentTypeDescription="Create a new document." ma:contentTypeScope="" ma:versionID="58ff7075f9734c70ab641fcf680773ae">
  <xsd:schema xmlns:xsd="http://www.w3.org/2001/XMLSchema" xmlns:xs="http://www.w3.org/2001/XMLSchema" xmlns:p="http://schemas.microsoft.com/office/2006/metadata/properties" xmlns:ns2="8badc642-15f9-493b-af2e-800910d66b6f" targetNamespace="http://schemas.microsoft.com/office/2006/metadata/properties" ma:root="true" ma:fieldsID="de94c5732a8b162287d2446f6e1438f1" ns2:_="">
    <xsd:import namespace="8badc642-15f9-493b-af2e-800910d66b6f"/>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dc642-15f9-493b-af2e-800910d66b6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69000a1-ebd1-4561-a409-e2a811eea2fe}"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242CDFB2-E9AA-41D4-B020-0C08EC68947A}" ma:internalName="CSXSubmissionMarket" ma:readOnly="false" ma:showField="MarketName" ma:web="8badc642-15f9-493b-af2e-800910d66b6f">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2edc058-e423-4792-9b61-e659cfc9195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CE75894-05D9-4C45-93AB-724995D6B13E}" ma:internalName="InProjectListLookup" ma:readOnly="true" ma:showField="InProjectList"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682b718-e217-497b-9c91-6b2604332d2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CE75894-05D9-4C45-93AB-724995D6B13E}" ma:internalName="LastCompleteVersionLookup" ma:readOnly="true" ma:showField="LastCompleteVersion"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CE75894-05D9-4C45-93AB-724995D6B13E}" ma:internalName="LastPreviewErrorLookup" ma:readOnly="true" ma:showField="LastPreviewError"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CE75894-05D9-4C45-93AB-724995D6B13E}" ma:internalName="LastPreviewResultLookup" ma:readOnly="true" ma:showField="LastPreviewResult"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CE75894-05D9-4C45-93AB-724995D6B13E}" ma:internalName="LastPreviewAttemptDateLookup" ma:readOnly="true" ma:showField="LastPreviewAttemptDat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CE75894-05D9-4C45-93AB-724995D6B13E}" ma:internalName="LastPreviewedByLookup" ma:readOnly="true" ma:showField="LastPreviewedBy"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CE75894-05D9-4C45-93AB-724995D6B13E}" ma:internalName="LastPreviewTimeLookup" ma:readOnly="true" ma:showField="LastPreviewTim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CE75894-05D9-4C45-93AB-724995D6B13E}" ma:internalName="LastPreviewVersionLookup" ma:readOnly="true" ma:showField="LastPreviewVersion"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CE75894-05D9-4C45-93AB-724995D6B13E}" ma:internalName="LastPublishErrorLookup" ma:readOnly="true" ma:showField="LastPublishError"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CE75894-05D9-4C45-93AB-724995D6B13E}" ma:internalName="LastPublishResultLookup" ma:readOnly="true" ma:showField="LastPublishResult"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CE75894-05D9-4C45-93AB-724995D6B13E}" ma:internalName="LastPublishAttemptDateLookup" ma:readOnly="true" ma:showField="LastPublishAttemptDat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CE75894-05D9-4C45-93AB-724995D6B13E}" ma:internalName="LastPublishedByLookup" ma:readOnly="true" ma:showField="LastPublishedBy"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CE75894-05D9-4C45-93AB-724995D6B13E}" ma:internalName="LastPublishTimeLookup" ma:readOnly="true" ma:showField="LastPublishTim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CE75894-05D9-4C45-93AB-724995D6B13E}" ma:internalName="LastPublishVersionLookup" ma:readOnly="true" ma:showField="LastPublishVersion"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40AED7CC-D31B-4E42-956F-872B0282B0E2}" ma:internalName="LocLastLocAttemptVersionLookup" ma:readOnly="false" ma:showField="LastLocAttemptVersion" ma:web="8badc642-15f9-493b-af2e-800910d66b6f">
      <xsd:simpleType>
        <xsd:restriction base="dms:Lookup"/>
      </xsd:simpleType>
    </xsd:element>
    <xsd:element name="LocLastLocAttemptVersionTypeLookup" ma:index="71" nillable="true" ma:displayName="Loc Last Loc Attempt Version Type" ma:default="" ma:list="{40AED7CC-D31B-4E42-956F-872B0282B0E2}" ma:internalName="LocLastLocAttemptVersionTypeLookup" ma:readOnly="true" ma:showField="LastLocAttemptVersionType" ma:web="8badc642-15f9-493b-af2e-800910d66b6f">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40AED7CC-D31B-4E42-956F-872B0282B0E2}" ma:internalName="LocNewPublishedVersionLookup" ma:readOnly="true" ma:showField="NewPublishedVersion" ma:web="8badc642-15f9-493b-af2e-800910d66b6f">
      <xsd:simpleType>
        <xsd:restriction base="dms:Lookup"/>
      </xsd:simpleType>
    </xsd:element>
    <xsd:element name="LocOverallHandbackStatusLookup" ma:index="75" nillable="true" ma:displayName="Loc Overall Handback Status" ma:default="" ma:list="{40AED7CC-D31B-4E42-956F-872B0282B0E2}" ma:internalName="LocOverallHandbackStatusLookup" ma:readOnly="true" ma:showField="OverallHandbackStatus" ma:web="8badc642-15f9-493b-af2e-800910d66b6f">
      <xsd:simpleType>
        <xsd:restriction base="dms:Lookup"/>
      </xsd:simpleType>
    </xsd:element>
    <xsd:element name="LocOverallLocStatusLookup" ma:index="76" nillable="true" ma:displayName="Loc Overall Localize Status" ma:default="" ma:list="{40AED7CC-D31B-4E42-956F-872B0282B0E2}" ma:internalName="LocOverallLocStatusLookup" ma:readOnly="true" ma:showField="OverallLocStatus" ma:web="8badc642-15f9-493b-af2e-800910d66b6f">
      <xsd:simpleType>
        <xsd:restriction base="dms:Lookup"/>
      </xsd:simpleType>
    </xsd:element>
    <xsd:element name="LocOverallPreviewStatusLookup" ma:index="77" nillable="true" ma:displayName="Loc Overall Preview Status" ma:default="" ma:list="{40AED7CC-D31B-4E42-956F-872B0282B0E2}" ma:internalName="LocOverallPreviewStatusLookup" ma:readOnly="true" ma:showField="OverallPreviewStatus" ma:web="8badc642-15f9-493b-af2e-800910d66b6f">
      <xsd:simpleType>
        <xsd:restriction base="dms:Lookup"/>
      </xsd:simpleType>
    </xsd:element>
    <xsd:element name="LocOverallPublishStatusLookup" ma:index="78" nillable="true" ma:displayName="Loc Overall Publish Status" ma:default="" ma:list="{40AED7CC-D31B-4E42-956F-872B0282B0E2}" ma:internalName="LocOverallPublishStatusLookup" ma:readOnly="true" ma:showField="OverallPublishStatus" ma:web="8badc642-15f9-493b-af2e-800910d66b6f">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40AED7CC-D31B-4E42-956F-872B0282B0E2}" ma:internalName="LocProcessedForHandoffsLookup" ma:readOnly="true" ma:showField="ProcessedForHandoffs" ma:web="8badc642-15f9-493b-af2e-800910d66b6f">
      <xsd:simpleType>
        <xsd:restriction base="dms:Lookup"/>
      </xsd:simpleType>
    </xsd:element>
    <xsd:element name="LocProcessedForMarketsLookup" ma:index="81" nillable="true" ma:displayName="Loc Processed For Markets" ma:default="" ma:list="{40AED7CC-D31B-4E42-956F-872B0282B0E2}" ma:internalName="LocProcessedForMarketsLookup" ma:readOnly="true" ma:showField="ProcessedForMarkets" ma:web="8badc642-15f9-493b-af2e-800910d66b6f">
      <xsd:simpleType>
        <xsd:restriction base="dms:Lookup"/>
      </xsd:simpleType>
    </xsd:element>
    <xsd:element name="LocPublishedDependentAssetsLookup" ma:index="82" nillable="true" ma:displayName="Loc Published Dependent Assets" ma:default="" ma:list="{40AED7CC-D31B-4E42-956F-872B0282B0E2}" ma:internalName="LocPublishedDependentAssetsLookup" ma:readOnly="true" ma:showField="PublishedDependentAssets" ma:web="8badc642-15f9-493b-af2e-800910d66b6f">
      <xsd:simpleType>
        <xsd:restriction base="dms:Lookup"/>
      </xsd:simpleType>
    </xsd:element>
    <xsd:element name="LocPublishedLinkedAssetsLookup" ma:index="83" nillable="true" ma:displayName="Loc Published Linked Assets" ma:default="" ma:list="{40AED7CC-D31B-4E42-956F-872B0282B0E2}" ma:internalName="LocPublishedLinkedAssetsLookup" ma:readOnly="true" ma:showField="PublishedLinkedAssets" ma:web="8badc642-15f9-493b-af2e-800910d66b6f">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961b3df-62bf-4d6c-9143-bdeee396cb7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242CDFB2-E9AA-41D4-B020-0C08EC68947A}" ma:internalName="Markets" ma:readOnly="false" ma:showField="MarketNam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CE75894-05D9-4C45-93AB-724995D6B13E}" ma:internalName="NumOfRatingsLookup" ma:readOnly="true" ma:showField="NumOfRatings"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CE75894-05D9-4C45-93AB-724995D6B13E}" ma:internalName="PublishStatusLookup" ma:readOnly="false" ma:showField="PublishStatus"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56b87052-c4fe-45e6-97bd-ce59e177822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63442d1a-70a6-4e69-9f2c-62ec59343502}" ma:internalName="TaxCatchAll" ma:showField="CatchAllData"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63442d1a-70a6-4e69-9f2c-62ec59343502}" ma:internalName="TaxCatchAllLabel" ma:readOnly="true" ma:showField="CatchAllDataLabel"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CD18CD-13F4-472B-B1AB-DDBE2AC449C0}"/>
</file>

<file path=customXml/itemProps2.xml><?xml version="1.0" encoding="utf-8"?>
<ds:datastoreItem xmlns:ds="http://schemas.openxmlformats.org/officeDocument/2006/customXml" ds:itemID="{E8F49177-07E4-4945-8B2E-E6385401DEBD}"/>
</file>

<file path=customXml/itemProps3.xml><?xml version="1.0" encoding="utf-8"?>
<ds:datastoreItem xmlns:ds="http://schemas.openxmlformats.org/officeDocument/2006/customXml" ds:itemID="{7BAC6F9A-68FB-4B31-AB4D-0B088178DC7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Način korištenja ovog predloška</vt:lpstr>
      <vt:lpstr>Popis učenika</vt:lpstr>
      <vt:lpstr>Kolovoz</vt:lpstr>
      <vt:lpstr>Rujan</vt:lpstr>
      <vt:lpstr>Listopad</vt:lpstr>
      <vt:lpstr>Studeni</vt:lpstr>
      <vt:lpstr>Prosinac</vt:lpstr>
      <vt:lpstr>Siječanj</vt:lpstr>
      <vt:lpstr>Veljača</vt:lpstr>
      <vt:lpstr>Ožujak</vt:lpstr>
      <vt:lpstr>Travanj</vt:lpstr>
      <vt:lpstr>Svibanj</vt:lpstr>
      <vt:lpstr>Lipanj</vt:lpstr>
      <vt:lpstr>Srpanj</vt:lpstr>
      <vt:lpstr>Izvješće o nazočnosti učenika</vt:lpstr>
      <vt:lpstr>IDučenika</vt:lpstr>
      <vt:lpstr>ImeIPrezimeUčenika</vt:lpstr>
      <vt:lpstr>KalendarskaGodina</vt:lpstr>
      <vt:lpstr>'Popis učenika'!Print_Titles</vt:lpstr>
      <vt:lpstr>Šifra1</vt:lpstr>
      <vt:lpstr>Šifra2</vt:lpstr>
      <vt:lpstr>Šifra3</vt:lpstr>
      <vt:lpstr>Šifra4</vt:lpstr>
      <vt:lpstr>Šifra5</vt:lpstr>
      <vt:lpstr>TekstOpisaBoja</vt:lpstr>
      <vt:lpstr>TekstŠifre1</vt:lpstr>
      <vt:lpstr>TekstŠifre2</vt:lpstr>
      <vt:lpstr>TekstŠifre3</vt:lpstr>
      <vt:lpstr>TekstŠifre4</vt:lpstr>
      <vt:lpstr>TekstŠifre5</vt:lpstr>
      <vt:lpstr>TraženjeUčenika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 Administrator</cp:lastModifiedBy>
  <dcterms:created xsi:type="dcterms:W3CDTF">2011-04-01T16:06:21Z</dcterms:created>
  <dcterms:modified xsi:type="dcterms:W3CDTF">2013-04-19T13:45:40Z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0x010100CE6EEBCA2A20434687F63529BC62C70C0400B49D3FDEBF6E5C4BBABD28DFF7A72F5A</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