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Deli\P2016\MSOFFICEUA\Templates\Templates_Gemini_G1\Phases\170717_Accessibility_FY18Q1_batch1\05_FinalcheckImplementation\templates\vi-vn\"/>
    </mc:Choice>
  </mc:AlternateContent>
  <bookViews>
    <workbookView xWindow="0" yWindow="0" windowWidth="28800" windowHeight="11850" xr2:uid="{00000000-000D-0000-FFFF-FFFF00000000}"/>
  </bookViews>
  <sheets>
    <sheet name="Doanh thu (Doanh số)" sheetId="2" r:id="rId1"/>
    <sheet name="Giá vốn Hàng bán" sheetId="3" r:id="rId2"/>
    <sheet name="Chi phí" sheetId="4" r:id="rId3"/>
  </sheets>
  <definedNames>
    <definedName name="FYMonthNo">IF(FYMonthStart="THG1",1,IF(FYMonthStart="THG2",2,IF(FYMonthStart="THG3",3,IF(FYMonthStart="THG4",4,IF(FYMonthStart="THG5",5,IF(FYMonthStart="THG6",6,IF(FYMonthStart="THG7",7,IF(FYMonthStart="THG8",8,IF(FYMonthStart="THG9",9,IF(FYMonthStart="THG10",10,IF(FYMonthStart="THG11",11,12)))))))))))</definedName>
    <definedName name="FYMonthStart">'Doanh thu (Doanh số)'!$AC$2</definedName>
    <definedName name="FYStartYear">'Doanh thu (Doanh số)'!$AD$2</definedName>
    <definedName name="In_Tiêu_đề" localSheetId="2">'Chi phí'!$3:$4</definedName>
    <definedName name="In_Tiêu_đề" localSheetId="0">'Doanh thu (Doanh số)'!$3:$4</definedName>
    <definedName name="In_Tiêu_đề" localSheetId="1">'Giá vốn Hàng bán'!$3:$4</definedName>
    <definedName name="Tên_Công_ty">'Doanh thu (Doanh số)'!$AD$1</definedName>
    <definedName name="Tiêu_đề_1">Doanh_thu[[#Headers],[DOANH THU (DOANH SỐ)]]</definedName>
    <definedName name="Tiêu_đề_2">Giá_vốn_Hàng_bán[[#Headers],[GIÁ VỐN HÀNG BÁN]]</definedName>
    <definedName name="Tiêu_đề_3">tblExpenses[[#Headers],[CHI PHÍ]]</definedName>
    <definedName name="Tiêu_đề_Giai_đoạn_Dự_đoán">'Doanh thu (Doanh số)'!$B$1</definedName>
    <definedName name="Tiêu_đề_Wksht">'Doanh thu (Doanh số)'!$B$2</definedName>
  </definedNames>
  <calcPr calcId="171027"/>
</workbook>
</file>

<file path=xl/calcChain.xml><?xml version="1.0" encoding="utf-8"?>
<calcChain xmlns="http://schemas.openxmlformats.org/spreadsheetml/2006/main">
  <c r="E24" i="4" l="1"/>
  <c r="F24" i="4"/>
  <c r="T12" i="4" s="1"/>
  <c r="G24" i="4"/>
  <c r="U8" i="4" s="1"/>
  <c r="H24" i="4"/>
  <c r="V14" i="4" s="1"/>
  <c r="I24" i="4"/>
  <c r="J24" i="4"/>
  <c r="X14" i="4" s="1"/>
  <c r="K24" i="4"/>
  <c r="L24" i="4"/>
  <c r="Z6" i="4" s="1"/>
  <c r="M24" i="4"/>
  <c r="N24" i="4"/>
  <c r="AB6" i="4" s="1"/>
  <c r="O24" i="4"/>
  <c r="AC7" i="4" s="1"/>
  <c r="E12" i="3"/>
  <c r="S6" i="3" s="1"/>
  <c r="F12" i="3"/>
  <c r="T10" i="3" s="1"/>
  <c r="G12" i="3"/>
  <c r="U8" i="3" s="1"/>
  <c r="H12" i="3"/>
  <c r="V10" i="3" s="1"/>
  <c r="I12" i="3"/>
  <c r="J12" i="3"/>
  <c r="X10" i="3" s="1"/>
  <c r="K12" i="3"/>
  <c r="Y8" i="3" s="1"/>
  <c r="L12" i="3"/>
  <c r="Z10" i="3" s="1"/>
  <c r="M12" i="3"/>
  <c r="N12" i="3"/>
  <c r="AB10" i="3" s="1"/>
  <c r="O12" i="3"/>
  <c r="AC7" i="3" s="1"/>
  <c r="E12" i="2"/>
  <c r="F12" i="2"/>
  <c r="G12" i="2"/>
  <c r="H12" i="2"/>
  <c r="V8" i="2" s="1"/>
  <c r="I12" i="2"/>
  <c r="J12" i="2"/>
  <c r="K12" i="2"/>
  <c r="L12" i="2"/>
  <c r="AA9" i="2" s="1"/>
  <c r="M12" i="2"/>
  <c r="N12" i="2"/>
  <c r="O12" i="2"/>
  <c r="B2" i="4"/>
  <c r="B1" i="4"/>
  <c r="AD1" i="4"/>
  <c r="AC8" i="4"/>
  <c r="AC16" i="4"/>
  <c r="AB10" i="4"/>
  <c r="AB16" i="4"/>
  <c r="AB21" i="4"/>
  <c r="AA7" i="4"/>
  <c r="AA8" i="4"/>
  <c r="AA9" i="4"/>
  <c r="AA11" i="4"/>
  <c r="AA12" i="4"/>
  <c r="AA13" i="4"/>
  <c r="AA15" i="4"/>
  <c r="AA16" i="4"/>
  <c r="AA17" i="4"/>
  <c r="AA19" i="4"/>
  <c r="AA20" i="4"/>
  <c r="AA21" i="4"/>
  <c r="AA23" i="4"/>
  <c r="Z10" i="4"/>
  <c r="Z18" i="4"/>
  <c r="Y7" i="4"/>
  <c r="Y15" i="4"/>
  <c r="Y23" i="4"/>
  <c r="X10" i="4"/>
  <c r="X20" i="4"/>
  <c r="W6" i="4"/>
  <c r="W7" i="4"/>
  <c r="W8" i="4"/>
  <c r="W10" i="4"/>
  <c r="W11" i="4"/>
  <c r="W12" i="4"/>
  <c r="W14" i="4"/>
  <c r="W15" i="4"/>
  <c r="W16" i="4"/>
  <c r="W18" i="4"/>
  <c r="W19" i="4"/>
  <c r="W20" i="4"/>
  <c r="W22" i="4"/>
  <c r="W23" i="4"/>
  <c r="U12" i="4"/>
  <c r="U20" i="4"/>
  <c r="T8" i="4"/>
  <c r="T18" i="4"/>
  <c r="S6" i="4"/>
  <c r="S7" i="4"/>
  <c r="S9" i="4"/>
  <c r="S10" i="4"/>
  <c r="S11" i="4"/>
  <c r="S13" i="4"/>
  <c r="S14" i="4"/>
  <c r="S15" i="4"/>
  <c r="S17" i="4"/>
  <c r="S18" i="4"/>
  <c r="S19" i="4"/>
  <c r="S21" i="4"/>
  <c r="S22" i="4"/>
  <c r="S23" i="4"/>
  <c r="W5" i="4"/>
  <c r="AA5" i="4"/>
  <c r="Q24" i="4"/>
  <c r="D24" i="4"/>
  <c r="R20" i="4" s="1"/>
  <c r="P6" i="4"/>
  <c r="P7" i="4"/>
  <c r="P8" i="4"/>
  <c r="P9" i="4"/>
  <c r="P10" i="4"/>
  <c r="P11" i="4"/>
  <c r="P12" i="4"/>
  <c r="P13" i="4"/>
  <c r="P14" i="4"/>
  <c r="P15" i="4"/>
  <c r="P16" i="4"/>
  <c r="P17" i="4"/>
  <c r="P18" i="4"/>
  <c r="P19" i="4"/>
  <c r="P20" i="4"/>
  <c r="P21" i="4"/>
  <c r="P22" i="4"/>
  <c r="P23" i="4"/>
  <c r="P5" i="4"/>
  <c r="B2" i="3"/>
  <c r="B1" i="3"/>
  <c r="AD1" i="3"/>
  <c r="AB6" i="3"/>
  <c r="AB8" i="3"/>
  <c r="AB5" i="3"/>
  <c r="Z8" i="3"/>
  <c r="X6" i="3"/>
  <c r="X8" i="3"/>
  <c r="X5" i="3"/>
  <c r="V8" i="3"/>
  <c r="T6" i="3"/>
  <c r="T8" i="3"/>
  <c r="T5" i="3"/>
  <c r="Q12" i="3"/>
  <c r="AA6" i="3"/>
  <c r="W6" i="3"/>
  <c r="D12" i="3"/>
  <c r="R7" i="3" s="1"/>
  <c r="P6" i="3"/>
  <c r="P7" i="3"/>
  <c r="P8" i="3"/>
  <c r="P9" i="3"/>
  <c r="P10" i="3"/>
  <c r="P11" i="3"/>
  <c r="P5" i="3"/>
  <c r="AD11" i="2"/>
  <c r="AD5" i="2"/>
  <c r="AA11" i="2"/>
  <c r="Y9" i="2"/>
  <c r="Y5" i="2"/>
  <c r="U5" i="2"/>
  <c r="Q12" i="2"/>
  <c r="AD6" i="2"/>
  <c r="Y7" i="2"/>
  <c r="U7" i="2"/>
  <c r="D12" i="2"/>
  <c r="P6" i="2"/>
  <c r="P7" i="2"/>
  <c r="P8" i="2"/>
  <c r="P9" i="2"/>
  <c r="P10" i="2"/>
  <c r="P11" i="2"/>
  <c r="P5" i="2"/>
  <c r="R10" i="3" l="1"/>
  <c r="R6" i="3"/>
  <c r="V6" i="2"/>
  <c r="R5" i="3"/>
  <c r="R8" i="3"/>
  <c r="T13" i="4"/>
  <c r="X21" i="4"/>
  <c r="X16" i="4"/>
  <c r="X9" i="4"/>
  <c r="Z22" i="4"/>
  <c r="Z14" i="4"/>
  <c r="AB22" i="4"/>
  <c r="AB17" i="4"/>
  <c r="AB12" i="4"/>
  <c r="R11" i="2"/>
  <c r="AC7" i="2"/>
  <c r="T8" i="2"/>
  <c r="W9" i="2"/>
  <c r="E14" i="3"/>
  <c r="E26" i="4" s="1"/>
  <c r="R9" i="2"/>
  <c r="Z8" i="2"/>
  <c r="V5" i="2"/>
  <c r="R7" i="2"/>
  <c r="X8" i="2"/>
  <c r="R10" i="2"/>
  <c r="R6" i="2"/>
  <c r="AB8" i="2"/>
  <c r="R5" i="2"/>
  <c r="R8" i="2"/>
  <c r="R14" i="4"/>
  <c r="R9" i="4"/>
  <c r="V6" i="4"/>
  <c r="V18" i="4"/>
  <c r="V10" i="4"/>
  <c r="V22" i="4"/>
  <c r="T20" i="4"/>
  <c r="T9" i="4"/>
  <c r="T14" i="4"/>
  <c r="R21" i="4"/>
  <c r="R16" i="4"/>
  <c r="R10" i="4"/>
  <c r="R5" i="4"/>
  <c r="R18" i="4"/>
  <c r="R13" i="4"/>
  <c r="R8" i="4"/>
  <c r="R22" i="4"/>
  <c r="R17" i="4"/>
  <c r="R12" i="4"/>
  <c r="R6" i="4"/>
  <c r="Y9" i="4"/>
  <c r="U19" i="4"/>
  <c r="Y12" i="4"/>
  <c r="AC23" i="4"/>
  <c r="AC15" i="4"/>
  <c r="X7" i="4"/>
  <c r="X18" i="4"/>
  <c r="AC9" i="4"/>
  <c r="U9" i="4"/>
  <c r="U11" i="4"/>
  <c r="Y20" i="4"/>
  <c r="AB7" i="4"/>
  <c r="T7" i="4"/>
  <c r="T22" i="4"/>
  <c r="T17" i="4"/>
  <c r="T6" i="4"/>
  <c r="U16" i="4"/>
  <c r="X13" i="4"/>
  <c r="X8" i="4"/>
  <c r="Y19" i="4"/>
  <c r="Y11" i="4"/>
  <c r="AB20" i="4"/>
  <c r="AB14" i="4"/>
  <c r="AB9" i="4"/>
  <c r="AC20" i="4"/>
  <c r="AC12" i="4"/>
  <c r="R23" i="4"/>
  <c r="R19" i="4"/>
  <c r="R15" i="4"/>
  <c r="R11" i="4"/>
  <c r="R7" i="4"/>
  <c r="S5" i="4"/>
  <c r="S20" i="4"/>
  <c r="S16" i="4"/>
  <c r="S12" i="4"/>
  <c r="S8" i="4"/>
  <c r="T21" i="4"/>
  <c r="T16" i="4"/>
  <c r="T10" i="4"/>
  <c r="U23" i="4"/>
  <c r="U15" i="4"/>
  <c r="U7" i="4"/>
  <c r="W21" i="4"/>
  <c r="W17" i="4"/>
  <c r="W13" i="4"/>
  <c r="W9" i="4"/>
  <c r="X22" i="4"/>
  <c r="X17" i="4"/>
  <c r="X12" i="4"/>
  <c r="X6" i="4"/>
  <c r="Y16" i="4"/>
  <c r="Y8" i="4"/>
  <c r="AA22" i="4"/>
  <c r="AA18" i="4"/>
  <c r="AA14" i="4"/>
  <c r="AA10" i="4"/>
  <c r="AA6" i="4"/>
  <c r="AB18" i="4"/>
  <c r="AB13" i="4"/>
  <c r="AB8" i="4"/>
  <c r="AC19" i="4"/>
  <c r="AC11" i="4"/>
  <c r="Z7" i="4"/>
  <c r="V7" i="4"/>
  <c r="Z5" i="4"/>
  <c r="V5" i="4"/>
  <c r="V21" i="4"/>
  <c r="V17" i="4"/>
  <c r="V13" i="4"/>
  <c r="V9" i="4"/>
  <c r="Z21" i="4"/>
  <c r="Z17" i="4"/>
  <c r="Z13" i="4"/>
  <c r="Z9" i="4"/>
  <c r="AC5" i="4"/>
  <c r="Y5" i="4"/>
  <c r="U5" i="4"/>
  <c r="U22" i="4"/>
  <c r="U18" i="4"/>
  <c r="U14" i="4"/>
  <c r="U10" i="4"/>
  <c r="U6" i="4"/>
  <c r="V20" i="4"/>
  <c r="V16" i="4"/>
  <c r="V12" i="4"/>
  <c r="V8" i="4"/>
  <c r="Y22" i="4"/>
  <c r="Y18" i="4"/>
  <c r="Y14" i="4"/>
  <c r="Y10" i="4"/>
  <c r="Y6" i="4"/>
  <c r="Z20" i="4"/>
  <c r="Z16" i="4"/>
  <c r="Z12" i="4"/>
  <c r="Z8" i="4"/>
  <c r="AC22" i="4"/>
  <c r="AC18" i="4"/>
  <c r="AC14" i="4"/>
  <c r="AC10" i="4"/>
  <c r="AC6" i="4"/>
  <c r="AB5" i="4"/>
  <c r="X5" i="4"/>
  <c r="T5" i="4"/>
  <c r="T23" i="4"/>
  <c r="T19" i="4"/>
  <c r="T15" i="4"/>
  <c r="T11" i="4"/>
  <c r="U21" i="4"/>
  <c r="U17" i="4"/>
  <c r="U13" i="4"/>
  <c r="V23" i="4"/>
  <c r="V19" i="4"/>
  <c r="V15" i="4"/>
  <c r="V11" i="4"/>
  <c r="X23" i="4"/>
  <c r="X19" i="4"/>
  <c r="X15" i="4"/>
  <c r="X11" i="4"/>
  <c r="Y21" i="4"/>
  <c r="Y17" i="4"/>
  <c r="Y13" i="4"/>
  <c r="Z23" i="4"/>
  <c r="Z19" i="4"/>
  <c r="Z15" i="4"/>
  <c r="Z11" i="4"/>
  <c r="AB23" i="4"/>
  <c r="AB19" i="4"/>
  <c r="AB15" i="4"/>
  <c r="AB11" i="4"/>
  <c r="AC21" i="4"/>
  <c r="AC17" i="4"/>
  <c r="AC13" i="4"/>
  <c r="V6" i="3"/>
  <c r="Z6" i="3"/>
  <c r="Z7" i="3"/>
  <c r="V5" i="3"/>
  <c r="Z5" i="3"/>
  <c r="V7" i="3"/>
  <c r="T6" i="2"/>
  <c r="F14" i="3"/>
  <c r="F26" i="4" s="1"/>
  <c r="N14" i="3"/>
  <c r="N26" i="4" s="1"/>
  <c r="U9" i="2"/>
  <c r="X10" i="2"/>
  <c r="Y8" i="2"/>
  <c r="AA7" i="2"/>
  <c r="AD8" i="2"/>
  <c r="J14" i="3"/>
  <c r="J26" i="4" s="1"/>
  <c r="T10" i="2"/>
  <c r="U8" i="2"/>
  <c r="X6" i="2"/>
  <c r="Z5" i="2"/>
  <c r="AC9" i="2"/>
  <c r="AD7" i="2"/>
  <c r="S7" i="2"/>
  <c r="W11" i="2"/>
  <c r="S10" i="2"/>
  <c r="S8" i="2"/>
  <c r="T11" i="2"/>
  <c r="T7" i="2"/>
  <c r="U10" i="2"/>
  <c r="U6" i="2"/>
  <c r="V9" i="2"/>
  <c r="W5" i="2"/>
  <c r="W8" i="2"/>
  <c r="X11" i="2"/>
  <c r="X7" i="2"/>
  <c r="Y10" i="2"/>
  <c r="Y6" i="2"/>
  <c r="Z9" i="2"/>
  <c r="AA5" i="2"/>
  <c r="AA8" i="2"/>
  <c r="AB11" i="2"/>
  <c r="AB7" i="2"/>
  <c r="AC10" i="2"/>
  <c r="AC6" i="2"/>
  <c r="AD9" i="2"/>
  <c r="S11" i="2"/>
  <c r="W7" i="2"/>
  <c r="AB10" i="2"/>
  <c r="AB6" i="2"/>
  <c r="S5" i="2"/>
  <c r="S6" i="2"/>
  <c r="T9" i="2"/>
  <c r="V11" i="2"/>
  <c r="V7" i="2"/>
  <c r="W10" i="2"/>
  <c r="W6" i="2"/>
  <c r="X9" i="2"/>
  <c r="Z11" i="2"/>
  <c r="Z7" i="2"/>
  <c r="AA10" i="2"/>
  <c r="AA6" i="2"/>
  <c r="AB9" i="2"/>
  <c r="AC5" i="2"/>
  <c r="AC8" i="2"/>
  <c r="S9" i="2"/>
  <c r="T5" i="2"/>
  <c r="U11" i="2"/>
  <c r="V10" i="2"/>
  <c r="X5" i="2"/>
  <c r="Y11" i="2"/>
  <c r="Y12" i="2" s="1"/>
  <c r="Z10" i="2"/>
  <c r="Z6" i="2"/>
  <c r="AB5" i="2"/>
  <c r="AC11" i="2"/>
  <c r="AD10" i="2"/>
  <c r="P24" i="4"/>
  <c r="AD14" i="4" s="1"/>
  <c r="S9" i="3"/>
  <c r="U11" i="3"/>
  <c r="U7" i="3"/>
  <c r="W9" i="3"/>
  <c r="Y11" i="3"/>
  <c r="Y7" i="3"/>
  <c r="AA9" i="3"/>
  <c r="AC10" i="3"/>
  <c r="AC6" i="3"/>
  <c r="M14" i="3"/>
  <c r="M26" i="4" s="1"/>
  <c r="I14" i="3"/>
  <c r="I26" i="4" s="1"/>
  <c r="R9" i="3"/>
  <c r="S5" i="3"/>
  <c r="S8" i="3"/>
  <c r="T11" i="3"/>
  <c r="T7" i="3"/>
  <c r="U10" i="3"/>
  <c r="U6" i="3"/>
  <c r="V9" i="3"/>
  <c r="W5" i="3"/>
  <c r="W8" i="3"/>
  <c r="X11" i="3"/>
  <c r="X7" i="3"/>
  <c r="Y10" i="3"/>
  <c r="Y6" i="3"/>
  <c r="Z9" i="3"/>
  <c r="AA5" i="3"/>
  <c r="AA8" i="3"/>
  <c r="AB11" i="3"/>
  <c r="AB7" i="3"/>
  <c r="AC9" i="3"/>
  <c r="AC5" i="3"/>
  <c r="D14" i="3"/>
  <c r="D26" i="4" s="1"/>
  <c r="L14" i="3"/>
  <c r="L26" i="4" s="1"/>
  <c r="H14" i="3"/>
  <c r="H26" i="4" s="1"/>
  <c r="S11" i="3"/>
  <c r="S7" i="3"/>
  <c r="U9" i="3"/>
  <c r="W11" i="3"/>
  <c r="W7" i="3"/>
  <c r="Y9" i="3"/>
  <c r="AA11" i="3"/>
  <c r="AA7" i="3"/>
  <c r="AC8" i="3"/>
  <c r="O14" i="3"/>
  <c r="O26" i="4" s="1"/>
  <c r="K14" i="3"/>
  <c r="K26" i="4" s="1"/>
  <c r="G14" i="3"/>
  <c r="G26" i="4" s="1"/>
  <c r="R11" i="3"/>
  <c r="S10" i="3"/>
  <c r="T9" i="3"/>
  <c r="U5" i="3"/>
  <c r="V11" i="3"/>
  <c r="W10" i="3"/>
  <c r="X9" i="3"/>
  <c r="Y5" i="3"/>
  <c r="Z11" i="3"/>
  <c r="AA10" i="3"/>
  <c r="AB9" i="3"/>
  <c r="AC11" i="3"/>
  <c r="S12" i="3"/>
  <c r="P12" i="3"/>
  <c r="P12" i="2"/>
  <c r="AD2" i="2"/>
  <c r="O3" i="4" l="1"/>
  <c r="AC3" i="4" s="1"/>
  <c r="M3" i="4"/>
  <c r="AA3" i="4" s="1"/>
  <c r="K3" i="4"/>
  <c r="Y3" i="4" s="1"/>
  <c r="I3" i="4"/>
  <c r="W3" i="4" s="1"/>
  <c r="G3" i="4"/>
  <c r="U3" i="4" s="1"/>
  <c r="E3" i="4"/>
  <c r="S3" i="4" s="1"/>
  <c r="N3" i="4"/>
  <c r="AB3" i="4" s="1"/>
  <c r="L3" i="4"/>
  <c r="Z3" i="4" s="1"/>
  <c r="J3" i="4"/>
  <c r="X3" i="4" s="1"/>
  <c r="H3" i="4"/>
  <c r="V3" i="4" s="1"/>
  <c r="F3" i="4"/>
  <c r="T3" i="4" s="1"/>
  <c r="D3" i="4"/>
  <c r="R3" i="4" s="1"/>
  <c r="O3" i="3"/>
  <c r="AC3" i="3" s="1"/>
  <c r="M3" i="3"/>
  <c r="AA3" i="3" s="1"/>
  <c r="K3" i="3"/>
  <c r="Y3" i="3" s="1"/>
  <c r="I3" i="3"/>
  <c r="W3" i="3" s="1"/>
  <c r="G3" i="3"/>
  <c r="U3" i="3" s="1"/>
  <c r="E3" i="3"/>
  <c r="S3" i="3" s="1"/>
  <c r="N3" i="3"/>
  <c r="AB3" i="3" s="1"/>
  <c r="L3" i="3"/>
  <c r="Z3" i="3" s="1"/>
  <c r="J3" i="3"/>
  <c r="X3" i="3" s="1"/>
  <c r="H3" i="3"/>
  <c r="V3" i="3" s="1"/>
  <c r="F3" i="3"/>
  <c r="T3" i="3" s="1"/>
  <c r="D3" i="3"/>
  <c r="R3" i="3" s="1"/>
  <c r="N3" i="2"/>
  <c r="AB3" i="2" s="1"/>
  <c r="O3" i="2"/>
  <c r="AC3" i="2" s="1"/>
  <c r="L3" i="2"/>
  <c r="Z3" i="2" s="1"/>
  <c r="M3" i="2"/>
  <c r="AA3" i="2" s="1"/>
  <c r="J3" i="2"/>
  <c r="X3" i="2" s="1"/>
  <c r="K3" i="2"/>
  <c r="Y3" i="2" s="1"/>
  <c r="H3" i="2"/>
  <c r="V3" i="2" s="1"/>
  <c r="I3" i="2"/>
  <c r="W3" i="2" s="1"/>
  <c r="D3" i="2"/>
  <c r="R3" i="2" s="1"/>
  <c r="G3" i="2"/>
  <c r="U3" i="2" s="1"/>
  <c r="F3" i="2"/>
  <c r="T3" i="2" s="1"/>
  <c r="E3" i="2"/>
  <c r="S3" i="2" s="1"/>
  <c r="AB12" i="3"/>
  <c r="R12" i="3"/>
  <c r="Z12" i="3"/>
  <c r="Y12" i="3"/>
  <c r="U12" i="3"/>
  <c r="X12" i="3"/>
  <c r="V12" i="3"/>
  <c r="AD12" i="2"/>
  <c r="V12" i="2"/>
  <c r="U12" i="2"/>
  <c r="R12" i="2"/>
  <c r="T12" i="2"/>
  <c r="S12" i="2"/>
  <c r="X12" i="2"/>
  <c r="R24" i="4"/>
  <c r="AD23" i="4"/>
  <c r="AD16" i="4"/>
  <c r="AD17" i="4"/>
  <c r="AD11" i="4"/>
  <c r="AC12" i="3"/>
  <c r="AA12" i="3"/>
  <c r="W12" i="3"/>
  <c r="T12" i="3"/>
  <c r="AA12" i="2"/>
  <c r="AB12" i="2"/>
  <c r="Z12" i="2"/>
  <c r="AC12" i="2"/>
  <c r="P14" i="3"/>
  <c r="S14" i="3" s="1"/>
  <c r="W12" i="2"/>
  <c r="AD20" i="4"/>
  <c r="AD21" i="4"/>
  <c r="AD18" i="4"/>
  <c r="AD15" i="4"/>
  <c r="AD8" i="4"/>
  <c r="AD9" i="4"/>
  <c r="AD6" i="4"/>
  <c r="AD22" i="4"/>
  <c r="AD19" i="4"/>
  <c r="AD12" i="4"/>
  <c r="AD13" i="4"/>
  <c r="AD10" i="4"/>
  <c r="AD7" i="4"/>
  <c r="AD5" i="4"/>
  <c r="AD5" i="3"/>
  <c r="AD6" i="3"/>
  <c r="AD10" i="3"/>
  <c r="AD11" i="3"/>
  <c r="AD8" i="3"/>
  <c r="AD9" i="3"/>
  <c r="AD7" i="3"/>
  <c r="AD2" i="4"/>
  <c r="AC2" i="4"/>
  <c r="AD2" i="3"/>
  <c r="AC2" i="3"/>
  <c r="Y14" i="3" l="1"/>
  <c r="T14" i="3"/>
  <c r="U14" i="3"/>
  <c r="W14" i="3"/>
  <c r="AB14" i="3"/>
  <c r="AA14" i="3"/>
  <c r="AD14" i="3"/>
  <c r="X14" i="3"/>
  <c r="V14" i="3"/>
  <c r="Z14" i="3"/>
  <c r="R14" i="3"/>
  <c r="AC14" i="3"/>
  <c r="AD12" i="3"/>
  <c r="AC24" i="4"/>
  <c r="AB24" i="4"/>
  <c r="Y24" i="4"/>
  <c r="X24" i="4"/>
  <c r="U24" i="4"/>
  <c r="T24" i="4"/>
  <c r="Z24" i="4" l="1"/>
  <c r="V24" i="4"/>
  <c r="S24" i="4"/>
  <c r="W24" i="4"/>
  <c r="AA24" i="4"/>
  <c r="AD24" i="4" l="1"/>
  <c r="P26" i="4"/>
  <c r="X26" i="4" s="1"/>
  <c r="T26" i="4" l="1"/>
  <c r="V26" i="4"/>
  <c r="AB26" i="4"/>
  <c r="U26" i="4"/>
  <c r="R26" i="4"/>
  <c r="AD26" i="4"/>
  <c r="S26" i="4"/>
  <c r="W26" i="4"/>
  <c r="AA26" i="4"/>
  <c r="AC26" i="4"/>
  <c r="Z26" i="4"/>
  <c r="Y26" i="4"/>
</calcChain>
</file>

<file path=xl/sharedStrings.xml><?xml version="1.0" encoding="utf-8"?>
<sst xmlns="http://schemas.openxmlformats.org/spreadsheetml/2006/main" count="161" uniqueCount="78">
  <si>
    <t>Mười hai Tháng</t>
  </si>
  <si>
    <t>DỰ ĐOÁN LỢI NHUẬN &amp; TỔN THẤT</t>
  </si>
  <si>
    <t>DOANH THU (DOANH SỐ)</t>
  </si>
  <si>
    <t>Doanh thu 1</t>
  </si>
  <si>
    <t>Doanh thu 2</t>
  </si>
  <si>
    <t>Doanh thu 3</t>
  </si>
  <si>
    <t>Doanh thu 4</t>
  </si>
  <si>
    <t>Doanh thu 5</t>
  </si>
  <si>
    <t>Doanh thu 6</t>
  </si>
  <si>
    <t>Doanh thu 7</t>
  </si>
  <si>
    <t>TỔNG DOANH SỐ</t>
  </si>
  <si>
    <t>XU HƯỚNG</t>
  </si>
  <si>
    <t>Thg1</t>
  </si>
  <si>
    <t>Thg2</t>
  </si>
  <si>
    <t>Thg3</t>
  </si>
  <si>
    <t>Thg4</t>
  </si>
  <si>
    <t>Thg5</t>
  </si>
  <si>
    <t>Thg6</t>
  </si>
  <si>
    <t>Thg7</t>
  </si>
  <si>
    <t>Thg8</t>
  </si>
  <si>
    <t>Thg9</t>
  </si>
  <si>
    <t>Thg10</t>
  </si>
  <si>
    <t>Thg11</t>
  </si>
  <si>
    <t>Thg12</t>
  </si>
  <si>
    <t>HÀNG NĂM</t>
  </si>
  <si>
    <t>Hàng năm</t>
  </si>
  <si>
    <t>% CHỈ MỤC</t>
  </si>
  <si>
    <t>% Chỉ mục</t>
  </si>
  <si>
    <t>% Thg1</t>
  </si>
  <si>
    <t>% Thg2</t>
  </si>
  <si>
    <t>% Thg3</t>
  </si>
  <si>
    <t>% Thg4</t>
  </si>
  <si>
    <t>% Thg5</t>
  </si>
  <si>
    <t>% Thg6</t>
  </si>
  <si>
    <t>% Thg7</t>
  </si>
  <si>
    <t>% Thg8</t>
  </si>
  <si>
    <t>% Thg9</t>
  </si>
  <si>
    <t>% Thg10</t>
  </si>
  <si>
    <t>NĂM TÀI CHÍNH BẮT ĐẦU:</t>
  </si>
  <si>
    <t>% Thg11</t>
  </si>
  <si>
    <t>THG1</t>
  </si>
  <si>
    <t>% Thg12</t>
  </si>
  <si>
    <t>Tên Công ty</t>
  </si>
  <si>
    <t>% NĂM</t>
  </si>
  <si>
    <t>% Năm</t>
  </si>
  <si>
    <t>GIÁ VỐN HÀNG BÁN</t>
  </si>
  <si>
    <t>Chi phí 1</t>
  </si>
  <si>
    <t>Chi phí 2</t>
  </si>
  <si>
    <t>Chi phí 3</t>
  </si>
  <si>
    <t>Chi phí 4</t>
  </si>
  <si>
    <t>Chi phí 5</t>
  </si>
  <si>
    <t>Chi phí 6</t>
  </si>
  <si>
    <t>Chi phí 7</t>
  </si>
  <si>
    <t>TỔNG GIÁ VỐN HÀNG BÁN</t>
  </si>
  <si>
    <t>Lợi nhuận Gộp</t>
  </si>
  <si>
    <t>NĂM TÀI CHÍNH:</t>
  </si>
  <si>
    <t>CHI PHÍ</t>
  </si>
  <si>
    <t xml:space="preserve">Chi phí tiền lương </t>
  </si>
  <si>
    <t xml:space="preserve">Chi phí tổng quỹ lương </t>
  </si>
  <si>
    <t>Dịch vụ bên ngoài</t>
  </si>
  <si>
    <t>Nhu yếu phẩm (văn phòng và hoạt động)</t>
  </si>
  <si>
    <t>Sửa chữa và bảo trì</t>
  </si>
  <si>
    <t>Quảng cáo</t>
  </si>
  <si>
    <t>Xe cộ, chuyển phát và đi lại</t>
  </si>
  <si>
    <t>Kế toán và pháp lý</t>
  </si>
  <si>
    <t>Tiền thuê</t>
  </si>
  <si>
    <t>Điện thoại</t>
  </si>
  <si>
    <t>Tiện ích</t>
  </si>
  <si>
    <t>Bảo hiểm</t>
  </si>
  <si>
    <t>Thuế (bất động sản, v.v.)</t>
  </si>
  <si>
    <t>Lãi suất</t>
  </si>
  <si>
    <t>Khấu hao</t>
  </si>
  <si>
    <t>Chi phí khác (ghi rõ)</t>
  </si>
  <si>
    <t>Khác (không xác định)</t>
  </si>
  <si>
    <t>TỔNG CHI PHÍ</t>
  </si>
  <si>
    <t>Lợi nhuận Ròng</t>
  </si>
  <si>
    <t xml:space="preserve"> </t>
  </si>
  <si>
    <t>Cột_1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</si>
</sst>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quot;_-;\-* #,##0\ &quot;₫&quot;_-;_-* &quot;-&quot;\ &quot;₫&quot;_-;_-@_-"/>
    <numFmt numFmtId="164" formatCode="_(&quot;$&quot;* #,##0_);_(&quot;$&quot;* \(#,##0\);_(&quot;$&quot;* &quot;-&quot;_);_(@_)"/>
    <numFmt numFmtId="165" formatCode="_(* #,##0_);_(* \(#,##0\);_(* &quot;-&quot;_);_(@_)"/>
    <numFmt numFmtId="166" formatCode="_(* #,##0.00_);_(* \(#,##0.00\);_(* &quot;-&quot;??_);_(@_)"/>
    <numFmt numFmtId="167" formatCode=";;;"/>
    <numFmt numFmtId="168" formatCode="0%;;&quot;-&quot;;"/>
    <numFmt numFmtId="169" formatCode="_(&quot;$&quot;* #,##0_);_(&quot;$&quot;* \(#,##0\);_(&quot;$&quot;* &quot;-&quot;??_);_(@_)"/>
    <numFmt numFmtId="170" formatCode="[$-409]mmm\-yy;@"/>
  </numFmts>
  <fonts count="22" x14ac:knownFonts="1">
    <font>
      <sz val="11"/>
      <color theme="1"/>
      <name val="Calibri"/>
      <family val="2"/>
      <charset val="163"/>
    </font>
    <font>
      <sz val="11"/>
      <color theme="1"/>
      <name val="Century Gothic"/>
      <family val="2"/>
      <scheme val="minor"/>
    </font>
    <font>
      <sz val="10"/>
      <color theme="1"/>
      <name val="Century Gothic"/>
      <family val="2"/>
      <scheme val="minor"/>
    </font>
    <font>
      <b/>
      <sz val="26"/>
      <color theme="3"/>
      <name val="Century Gothic"/>
      <family val="2"/>
      <scheme val="minor"/>
    </font>
    <font>
      <b/>
      <i/>
      <sz val="22"/>
      <color theme="7"/>
      <name val="Bookman Old Style"/>
      <family val="1"/>
      <scheme val="major"/>
    </font>
    <font>
      <b/>
      <sz val="11"/>
      <color theme="8"/>
      <name val="Century Gothic"/>
      <family val="2"/>
      <scheme val="minor"/>
    </font>
    <font>
      <sz val="11"/>
      <name val="Century Gothic"/>
      <family val="2"/>
      <scheme val="minor"/>
    </font>
    <font>
      <sz val="11"/>
      <name val="Calibri"/>
      <family val="2"/>
      <charset val="163"/>
    </font>
    <font>
      <b/>
      <sz val="22"/>
      <color theme="3"/>
      <name val="Calibri"/>
      <family val="2"/>
      <charset val="163"/>
    </font>
    <font>
      <sz val="11"/>
      <color theme="1"/>
      <name val="Calibri"/>
      <family val="2"/>
      <charset val="163"/>
    </font>
    <font>
      <b/>
      <i/>
      <sz val="22"/>
      <color theme="7"/>
      <name val="Calibri"/>
      <family val="2"/>
      <charset val="163"/>
    </font>
    <font>
      <b/>
      <i/>
      <sz val="22"/>
      <color theme="7" tint="-0.24994659260841701"/>
      <name val="Calibri"/>
      <family val="2"/>
      <charset val="163"/>
    </font>
    <font>
      <b/>
      <sz val="26"/>
      <color theme="3"/>
      <name val="Calibri"/>
      <family val="2"/>
      <charset val="163"/>
    </font>
    <font>
      <b/>
      <sz val="11"/>
      <color theme="8"/>
      <name val="Calibri"/>
      <family val="2"/>
      <charset val="163"/>
    </font>
    <font>
      <b/>
      <sz val="12"/>
      <color theme="3"/>
      <name val="Calibri"/>
      <family val="2"/>
      <charset val="163"/>
    </font>
    <font>
      <b/>
      <sz val="12"/>
      <color theme="0"/>
      <name val="Calibri"/>
      <family val="2"/>
      <charset val="163"/>
    </font>
    <font>
      <b/>
      <sz val="11"/>
      <color theme="0"/>
      <name val="Calibri"/>
      <family val="2"/>
      <charset val="163"/>
    </font>
    <font>
      <sz val="10"/>
      <color theme="1"/>
      <name val="Calibri"/>
      <family val="2"/>
      <charset val="163"/>
    </font>
    <font>
      <sz val="11"/>
      <color theme="3"/>
      <name val="Arial"/>
      <family val="2"/>
      <charset val="163"/>
    </font>
    <font>
      <b/>
      <i/>
      <sz val="16"/>
      <color theme="7" tint="-0.24994659260841701"/>
      <name val="Arial"/>
      <family val="2"/>
      <charset val="163"/>
    </font>
    <font>
      <b/>
      <i/>
      <sz val="22"/>
      <color theme="7" tint="-0.24994659260841701"/>
      <name val="Arial"/>
      <family val="2"/>
      <charset val="163"/>
    </font>
    <font>
      <b/>
      <sz val="12"/>
      <color theme="8"/>
      <name val="Arial"/>
      <family val="2"/>
      <charset val="163"/>
    </font>
  </fonts>
  <fills count="7">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s>
  <cellStyleXfs count="19">
    <xf numFmtId="0" fontId="0" fillId="0" borderId="0"/>
    <xf numFmtId="9" fontId="7" fillId="0" borderId="0" applyFill="0" applyBorder="0" applyProtection="0">
      <alignment horizontal="right"/>
    </xf>
    <xf numFmtId="0" fontId="8" fillId="0" borderId="0" applyNumberFormat="0" applyFill="0" applyBorder="0" applyProtection="0">
      <alignment vertical="center"/>
    </xf>
    <xf numFmtId="0" fontId="19" fillId="0" borderId="3" applyProtection="0">
      <alignment vertical="center"/>
    </xf>
    <xf numFmtId="166" fontId="1" fillId="0" borderId="0" applyFont="0" applyFill="0" applyBorder="0" applyAlignment="0" applyProtection="0"/>
    <xf numFmtId="165" fontId="1" fillId="0" borderId="0" applyFont="0" applyFill="0" applyBorder="0" applyAlignment="0" applyProtection="0"/>
    <xf numFmtId="42" fontId="7" fillId="0" borderId="0" applyFill="0" applyBorder="0" applyAlignment="0" applyProtection="0"/>
    <xf numFmtId="0" fontId="1" fillId="4" borderId="1" applyNumberFormat="0" applyFont="0" applyAlignment="0" applyProtection="0"/>
    <xf numFmtId="0" fontId="15" fillId="2" borderId="0">
      <alignment horizontal="right" vertical="center" indent="1"/>
    </xf>
    <xf numFmtId="42" fontId="16" fillId="2" borderId="0" applyBorder="0" applyAlignment="0" applyProtection="0"/>
    <xf numFmtId="9" fontId="16" fillId="2" borderId="0" applyBorder="0" applyAlignment="0" applyProtection="0"/>
    <xf numFmtId="0" fontId="9" fillId="0" borderId="0">
      <alignment horizontal="right" wrapText="1" indent="1"/>
    </xf>
    <xf numFmtId="0" fontId="20" fillId="0" borderId="0" applyFill="0" applyProtection="0">
      <alignment horizontal="right" vertical="center"/>
    </xf>
    <xf numFmtId="0" fontId="21" fillId="0" borderId="0" applyFill="0" applyProtection="0">
      <alignment horizontal="right" vertical="center"/>
    </xf>
    <xf numFmtId="170" fontId="18" fillId="0" borderId="2" applyFill="0" applyProtection="0">
      <alignment horizontal="center" vertical="center"/>
    </xf>
    <xf numFmtId="0" fontId="14" fillId="0" borderId="0">
      <alignment horizontal="right" indent="1"/>
    </xf>
    <xf numFmtId="164" fontId="1" fillId="5" borderId="4" applyNumberFormat="0" applyFont="0" applyAlignment="0">
      <alignment horizontal="center"/>
    </xf>
    <xf numFmtId="164" fontId="6" fillId="3" borderId="4" applyNumberFormat="0" applyFont="0" applyAlignment="0"/>
    <xf numFmtId="164" fontId="6" fillId="6" borderId="4" applyNumberFormat="0" applyFont="0" applyAlignment="0"/>
  </cellStyleXfs>
  <cellXfs count="66">
    <xf numFmtId="0" fontId="0" fillId="0" borderId="0" xfId="0"/>
    <xf numFmtId="0" fontId="0" fillId="0" borderId="0" xfId="0" applyBorder="1"/>
    <xf numFmtId="0" fontId="0" fillId="0" borderId="0" xfId="0" applyAlignment="1"/>
    <xf numFmtId="0" fontId="3" fillId="0" borderId="0" xfId="0" applyFont="1" applyBorder="1" applyAlignment="1">
      <alignment vertical="center"/>
    </xf>
    <xf numFmtId="0" fontId="8" fillId="0" borderId="0" xfId="2" applyBorder="1" applyAlignment="1">
      <alignment vertical="center"/>
    </xf>
    <xf numFmtId="0" fontId="5" fillId="0" borderId="0" xfId="0" applyFont="1"/>
    <xf numFmtId="0" fontId="0" fillId="0" borderId="0" xfId="0" applyNumberFormat="1"/>
    <xf numFmtId="0" fontId="4" fillId="0" borderId="0" xfId="0" applyFont="1" applyBorder="1" applyAlignment="1">
      <alignment horizontal="right" vertical="center"/>
    </xf>
    <xf numFmtId="0" fontId="0" fillId="0" borderId="0" xfId="0" applyAlignment="1">
      <alignment horizontal="center"/>
    </xf>
    <xf numFmtId="0" fontId="0" fillId="0" borderId="0" xfId="0" applyFont="1" applyFill="1" applyBorder="1" applyAlignment="1">
      <alignment horizontal="right" indent="1"/>
    </xf>
    <xf numFmtId="0" fontId="0" fillId="0" borderId="0" xfId="0" applyFont="1" applyFill="1" applyBorder="1" applyAlignment="1">
      <alignment horizontal="center"/>
    </xf>
    <xf numFmtId="164" fontId="0" fillId="0" borderId="0" xfId="0" applyNumberFormat="1" applyFont="1" applyFill="1" applyBorder="1"/>
    <xf numFmtId="0" fontId="0" fillId="0" borderId="0" xfId="0"/>
    <xf numFmtId="0" fontId="15" fillId="2" borderId="0" xfId="8">
      <alignment horizontal="right" vertical="center" indent="1"/>
    </xf>
    <xf numFmtId="42" fontId="16" fillId="2" borderId="0" xfId="9" applyFill="1" applyAlignment="1">
      <alignment horizontal="right" vertical="center" indent="1"/>
    </xf>
    <xf numFmtId="9" fontId="16" fillId="2" borderId="0" xfId="10" applyFill="1" applyAlignment="1">
      <alignment horizontal="right" vertical="center" indent="1"/>
    </xf>
    <xf numFmtId="42" fontId="7" fillId="0" borderId="0" xfId="6" applyFill="1" applyBorder="1"/>
    <xf numFmtId="168" fontId="0" fillId="0" borderId="0" xfId="0" applyNumberFormat="1" applyFont="1" applyFill="1" applyBorder="1" applyAlignment="1">
      <alignment horizontal="right"/>
    </xf>
    <xf numFmtId="0" fontId="0" fillId="0" borderId="0" xfId="0" applyAlignment="1">
      <alignment horizontal="center"/>
    </xf>
    <xf numFmtId="9" fontId="7" fillId="0" borderId="0" xfId="1" applyFill="1" applyBorder="1" applyAlignment="1">
      <alignment horizontal="right"/>
    </xf>
    <xf numFmtId="0" fontId="20" fillId="0" borderId="0" xfId="12">
      <alignment horizontal="right" vertical="center"/>
    </xf>
    <xf numFmtId="0" fontId="21" fillId="0" borderId="0" xfId="13">
      <alignment horizontal="right" vertical="center"/>
    </xf>
    <xf numFmtId="170" fontId="18" fillId="0" borderId="2" xfId="14">
      <alignment horizontal="center" vertical="center"/>
    </xf>
    <xf numFmtId="0" fontId="19" fillId="0" borderId="3" xfId="3">
      <alignment vertic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0" fontId="0" fillId="0" borderId="0" xfId="11" applyFont="1" applyFill="1" applyBorder="1">
      <alignment horizontal="right" wrapText="1" indent="1"/>
    </xf>
    <xf numFmtId="42" fontId="0" fillId="0" borderId="0" xfId="6" applyFont="1" applyFill="1" applyBorder="1"/>
    <xf numFmtId="9" fontId="0" fillId="0" borderId="0" xfId="1" applyFont="1" applyFill="1" applyBorder="1" applyAlignment="1">
      <alignment horizontal="right"/>
    </xf>
    <xf numFmtId="0" fontId="0" fillId="0" borderId="0" xfId="0" applyFont="1" applyFill="1" applyBorder="1"/>
    <xf numFmtId="169" fontId="0" fillId="0" borderId="0" xfId="0" applyNumberFormat="1" applyFont="1" applyFill="1" applyBorder="1"/>
    <xf numFmtId="9" fontId="0" fillId="0" borderId="0" xfId="0" applyNumberFormat="1" applyFont="1" applyFill="1" applyBorder="1" applyAlignment="1">
      <alignment horizontal="right"/>
    </xf>
    <xf numFmtId="0" fontId="14" fillId="0" borderId="0" xfId="15">
      <alignment horizontal="right" indent="1"/>
    </xf>
    <xf numFmtId="0" fontId="2" fillId="5" borderId="4" xfId="16" applyNumberFormat="1" applyFont="1" applyAlignment="1">
      <alignment horizontal="center"/>
    </xf>
    <xf numFmtId="42" fontId="7" fillId="5" borderId="4" xfId="6" applyFill="1" applyBorder="1" applyAlignment="1">
      <alignment horizontal="center"/>
    </xf>
    <xf numFmtId="9" fontId="7" fillId="5" borderId="4" xfId="1" applyFill="1" applyBorder="1" applyAlignment="1">
      <alignment horizontal="right"/>
    </xf>
    <xf numFmtId="0" fontId="8" fillId="0" borderId="0" xfId="2" applyBorder="1">
      <alignment vertical="center"/>
    </xf>
    <xf numFmtId="0" fontId="0" fillId="3" borderId="4" xfId="17" applyNumberFormat="1" applyFont="1"/>
    <xf numFmtId="9" fontId="0" fillId="3" borderId="4" xfId="17" applyNumberFormat="1" applyFont="1" applyAlignment="1">
      <alignment horizontal="right"/>
    </xf>
    <xf numFmtId="0" fontId="0" fillId="6" borderId="4" xfId="18" applyNumberFormat="1" applyFont="1" applyAlignment="1">
      <alignment horizontal="center"/>
    </xf>
    <xf numFmtId="42" fontId="7" fillId="6" borderId="4" xfId="6" applyFill="1" applyBorder="1"/>
    <xf numFmtId="9" fontId="7" fillId="6" borderId="4" xfId="1" applyFill="1" applyBorder="1" applyAlignment="1">
      <alignment horizontal="right"/>
    </xf>
    <xf numFmtId="9" fontId="7" fillId="5" borderId="4" xfId="1" applyFill="1" applyBorder="1">
      <alignment horizontal="right"/>
    </xf>
    <xf numFmtId="9" fontId="0" fillId="0" borderId="0" xfId="0" applyNumberFormat="1"/>
    <xf numFmtId="42" fontId="7" fillId="0" borderId="0" xfId="6" applyNumberFormat="1" applyFill="1" applyBorder="1"/>
    <xf numFmtId="42" fontId="0" fillId="0" borderId="0" xfId="0" applyNumberFormat="1" applyFont="1" applyFill="1" applyBorder="1"/>
    <xf numFmtId="0" fontId="9" fillId="0" borderId="0" xfId="11" applyAlignment="1">
      <alignment horizontal="right" wrapText="1" indent="1"/>
    </xf>
    <xf numFmtId="0" fontId="9" fillId="0" borderId="0" xfId="0" applyNumberFormat="1" applyFont="1"/>
    <xf numFmtId="0" fontId="9" fillId="0" borderId="0" xfId="0" applyFont="1"/>
    <xf numFmtId="0" fontId="9" fillId="0" borderId="0" xfId="0" applyFont="1" applyAlignment="1">
      <alignment horizontal="center"/>
    </xf>
    <xf numFmtId="0" fontId="10" fillId="0" borderId="0" xfId="0" applyFont="1" applyBorder="1" applyAlignment="1">
      <alignment horizontal="right" vertical="center"/>
    </xf>
    <xf numFmtId="0" fontId="11" fillId="0" borderId="0" xfId="12" applyFont="1">
      <alignment horizontal="right" vertical="center"/>
    </xf>
    <xf numFmtId="0" fontId="8" fillId="0" borderId="0" xfId="2" applyFont="1" applyBorder="1" applyAlignment="1">
      <alignment vertical="center"/>
    </xf>
    <xf numFmtId="0" fontId="12" fillId="0" borderId="0" xfId="0" applyFont="1" applyBorder="1" applyAlignment="1">
      <alignment vertical="center"/>
    </xf>
    <xf numFmtId="0" fontId="13" fillId="0" borderId="0" xfId="0" applyFont="1"/>
    <xf numFmtId="0" fontId="14" fillId="0" borderId="0" xfId="15" applyFont="1">
      <alignment horizontal="right" indent="1"/>
    </xf>
    <xf numFmtId="0" fontId="9" fillId="0" borderId="0" xfId="11" applyFont="1">
      <alignment horizontal="right" wrapText="1" indent="1"/>
    </xf>
    <xf numFmtId="9" fontId="7" fillId="0" borderId="0" xfId="1" applyFont="1" applyFill="1" applyBorder="1" applyAlignment="1">
      <alignment horizontal="right"/>
    </xf>
    <xf numFmtId="0" fontId="15" fillId="2" borderId="0" xfId="8" applyFont="1">
      <alignment horizontal="right" vertical="center" indent="1"/>
    </xf>
    <xf numFmtId="42" fontId="16" fillId="2" borderId="0" xfId="9" applyFont="1" applyFill="1" applyAlignment="1">
      <alignment horizontal="right" vertical="center" indent="1"/>
    </xf>
    <xf numFmtId="9" fontId="16" fillId="2" borderId="0" xfId="10" applyFont="1" applyFill="1" applyAlignment="1">
      <alignment horizontal="right" vertical="center" indent="1"/>
    </xf>
    <xf numFmtId="0" fontId="17" fillId="5" borderId="4" xfId="16" applyNumberFormat="1" applyFont="1" applyAlignment="1">
      <alignment horizontal="center"/>
    </xf>
    <xf numFmtId="42" fontId="0" fillId="3" borderId="4" xfId="17" applyNumberFormat="1" applyFont="1"/>
    <xf numFmtId="0" fontId="19" fillId="0" borderId="3" xfId="3" applyFont="1">
      <alignment vertical="center"/>
    </xf>
    <xf numFmtId="0" fontId="0" fillId="0" borderId="0" xfId="0" applyFont="1"/>
    <xf numFmtId="0" fontId="0" fillId="0" borderId="0" xfId="0" applyFont="1" applyAlignment="1">
      <alignment horizontal="center"/>
    </xf>
  </cellXfs>
  <cellStyles count="19">
    <cellStyle name="Bình thường" xfId="0" builtinId="0" customBuiltin="1"/>
    <cellStyle name="Chi tiết Bảng" xfId="11" xr:uid="{00000000-0005-0000-0000-000001000000}"/>
    <cellStyle name="Dấu phảy [0]" xfId="5" builtinId="6" customBuiltin="1"/>
    <cellStyle name="Dấu phẩy" xfId="4" builtinId="3" customBuiltin="1"/>
    <cellStyle name="Đầu đề 1" xfId="3" builtinId="16" customBuiltin="1"/>
    <cellStyle name="Đầu đề 2" xfId="12" builtinId="17" customBuiltin="1"/>
    <cellStyle name="Đầu đề 3" xfId="13" builtinId="18" customBuiltin="1"/>
    <cellStyle name="Đầu đề 4" xfId="14" builtinId="19" customBuiltin="1"/>
    <cellStyle name="Đầu đề Bảng 1" xfId="15" xr:uid="{00000000-0005-0000-0000-000008000000}"/>
    <cellStyle name="Ghi chú" xfId="7" builtinId="10" customBuiltin="1"/>
    <cellStyle name="Lợi nhuận" xfId="8" xr:uid="{00000000-0005-0000-0000-00000A000000}"/>
    <cellStyle name="Phần trăm" xfId="1" builtinId="5" customBuiltin="1"/>
    <cellStyle name="Phần trăm Lợi nhuận" xfId="10" xr:uid="{00000000-0005-0000-0000-00000C000000}"/>
    <cellStyle name="Số tiền Lợi nhuận" xfId="9" xr:uid="{00000000-0005-0000-0000-00000D000000}"/>
    <cellStyle name="Tiền tệ [0]" xfId="6" builtinId="7" customBuiltin="1"/>
    <cellStyle name="Tiêu đề" xfId="2" builtinId="15" customBuiltin="1"/>
    <cellStyle name="Tô chi phí" xfId="18" xr:uid="{00000000-0005-0000-0000-000010000000}"/>
    <cellStyle name="Tô doanh thu" xfId="16" xr:uid="{00000000-0005-0000-0000-000011000000}"/>
    <cellStyle name="Tô Giá vốn Hàng bán" xfId="17" xr:uid="{00000000-0005-0000-0000-000012000000}"/>
  </cellStyles>
  <dxfs count="111">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alignment horizontal="right" vertical="bottom" textRotation="0" wrapText="1" indent="1"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68" formatCode="0%;;&quot;-&quo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numFmt numFmtId="13" formatCode="0%"/>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family val="2"/>
        <charset val="163"/>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entury Gothic"/>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charset val="163"/>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sz val="11"/>
        <color theme="1"/>
        <name val="Calibri"/>
        <family val="2"/>
        <charset val="163"/>
        <scheme val="none"/>
      </font>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border>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right style="dotted">
          <color theme="4" tint="0.39994506668294322"/>
        </right>
        <top style="thin">
          <color theme="4" tint="0.39994506668294322"/>
        </top>
        <bottom style="thin">
          <color theme="4" tint="0.39994506668294322"/>
        </bottom>
        <vertical style="dotted">
          <color theme="4"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3" defaultTableStyle="Doanh thu Lợi nhuận &amp; Tổn thất" defaultPivotStyle="PivotStyleLight16">
    <tableStyle name="Chi phí Lợi nhuận &amp; Tổn thất" pivot="0" count="5" xr9:uid="{00000000-0011-0000-FFFF-FFFF00000000}">
      <tableStyleElement type="wholeTable" dxfId="110"/>
      <tableStyleElement type="headerRow" dxfId="109"/>
      <tableStyleElement type="totalRow" dxfId="108"/>
      <tableStyleElement type="firstRowStripe" dxfId="107"/>
      <tableStyleElement type="secondRowStripe" dxfId="106"/>
    </tableStyle>
    <tableStyle name="Doanh thu Lợi nhuận &amp; Tổn thất" pivot="0" count="5" xr9:uid="{00000000-0011-0000-FFFF-FFFF01000000}">
      <tableStyleElement type="wholeTable" dxfId="105"/>
      <tableStyleElement type="headerRow" dxfId="104"/>
      <tableStyleElement type="totalRow" dxfId="103"/>
      <tableStyleElement type="firstRowStripe" dxfId="102"/>
      <tableStyleElement type="secondRowStripe" dxfId="101"/>
    </tableStyle>
    <tableStyle name="Doanh số Lợi nhuận &amp; Tổn thất" pivot="0" count="5" xr9:uid="{00000000-0011-0000-FFFF-FFFF02000000}">
      <tableStyleElement type="wholeTable" dxfId="100"/>
      <tableStyleElement type="headerRow" dxfId="99"/>
      <tableStyleElement type="totalRow" dxfId="98"/>
      <tableStyleElement type="firstRowStripe" dxfId="97"/>
      <tableStyleElement type="secondRowStripe" dxfId="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oanh_thu" displayName="Doanh_thu" ref="B4:AD12" totalsRowCount="1" totalsRowDxfId="95">
  <autoFilter ref="B4:AD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000-000001000000}" name="DOANH THU (DOANH SỐ)" totalsRowLabel="TỔNG DOANH SỐ" dataDxfId="94" totalsRowDxfId="93"/>
    <tableColumn id="29" xr3:uid="{00000000-0010-0000-0000-00001D000000}" name="XU HƯỚNG" dataDxfId="92" totalsRowDxfId="91"/>
    <tableColumn id="2" xr3:uid="{00000000-0010-0000-0000-000002000000}" name="Thg1" totalsRowFunction="sum" totalsRowDxfId="90"/>
    <tableColumn id="3" xr3:uid="{00000000-0010-0000-0000-000003000000}" name="Thg2" totalsRowFunction="sum" totalsRowDxfId="89"/>
    <tableColumn id="4" xr3:uid="{00000000-0010-0000-0000-000004000000}" name="Thg3" totalsRowFunction="sum" totalsRowDxfId="88"/>
    <tableColumn id="5" xr3:uid="{00000000-0010-0000-0000-000005000000}" name="Thg4" totalsRowFunction="sum" totalsRowDxfId="87"/>
    <tableColumn id="6" xr3:uid="{00000000-0010-0000-0000-000006000000}" name="Thg5" totalsRowFunction="sum" totalsRowDxfId="86"/>
    <tableColumn id="7" xr3:uid="{00000000-0010-0000-0000-000007000000}" name="Thg6" totalsRowFunction="sum" totalsRowDxfId="85"/>
    <tableColumn id="8" xr3:uid="{00000000-0010-0000-0000-000008000000}" name="Thg7" totalsRowFunction="sum" totalsRowDxfId="84"/>
    <tableColumn id="9" xr3:uid="{00000000-0010-0000-0000-000009000000}" name="Thg8" totalsRowFunction="sum" totalsRowDxfId="83"/>
    <tableColumn id="10" xr3:uid="{00000000-0010-0000-0000-00000A000000}" name="Thg9" totalsRowFunction="sum" totalsRowDxfId="82"/>
    <tableColumn id="11" xr3:uid="{00000000-0010-0000-0000-00000B000000}" name="Thg10" totalsRowFunction="sum" totalsRowDxfId="81"/>
    <tableColumn id="12" xr3:uid="{00000000-0010-0000-0000-00000C000000}" name="Thg11" totalsRowFunction="sum" totalsRowDxfId="80"/>
    <tableColumn id="13" xr3:uid="{00000000-0010-0000-0000-00000D000000}" name="Thg12" totalsRowFunction="sum" totalsRowDxfId="79"/>
    <tableColumn id="14" xr3:uid="{00000000-0010-0000-0000-00000E000000}" name="Hàng năm" totalsRowFunction="sum" totalsRowDxfId="78">
      <calculatedColumnFormula>SUM(Doanh_thu[[#This Row],[Thg1]:[Thg12]])</calculatedColumnFormula>
    </tableColumn>
    <tableColumn id="15" xr3:uid="{00000000-0010-0000-0000-00000F000000}" name="% Chỉ mục" totalsRowFunction="sum" totalsRowDxfId="77"/>
    <tableColumn id="16" xr3:uid="{00000000-0010-0000-0000-000010000000}" name="% Thg1" totalsRowFunction="sum" totalsRowDxfId="76">
      <calculatedColumnFormula>IFERROR(Doanh_thu[[#This Row],[Thg1]]/Doanh_thu[[#Totals],[Thg1]],"-")</calculatedColumnFormula>
    </tableColumn>
    <tableColumn id="17" xr3:uid="{00000000-0010-0000-0000-000011000000}" name="% Thg2" totalsRowFunction="sum" totalsRowDxfId="75">
      <calculatedColumnFormula>IFERROR(Doanh_thu[[#This Row],[Thg2]]/Doanh_thu[[#Totals],[Thg2]],"-")</calculatedColumnFormula>
    </tableColumn>
    <tableColumn id="18" xr3:uid="{00000000-0010-0000-0000-000012000000}" name="% Thg3" totalsRowFunction="sum" totalsRowDxfId="74">
      <calculatedColumnFormula>IFERROR(Doanh_thu[[#This Row],[Thg3]]/Doanh_thu[[#Totals],[Thg3]],"-")</calculatedColumnFormula>
    </tableColumn>
    <tableColumn id="19" xr3:uid="{00000000-0010-0000-0000-000013000000}" name="% Thg4" totalsRowFunction="sum" totalsRowDxfId="73">
      <calculatedColumnFormula>IFERROR(Doanh_thu[[#This Row],[Thg4]]/Doanh_thu[[#Totals],[Thg4]],"-")</calculatedColumnFormula>
    </tableColumn>
    <tableColumn id="20" xr3:uid="{00000000-0010-0000-0000-000014000000}" name="% Thg5" totalsRowFunction="sum" totalsRowDxfId="72">
      <calculatedColumnFormula>IFERROR(Doanh_thu[[#This Row],[Thg5]]/Doanh_thu[[#Totals],[Thg5]],"-")</calculatedColumnFormula>
    </tableColumn>
    <tableColumn id="21" xr3:uid="{00000000-0010-0000-0000-000015000000}" name="% Thg6" totalsRowFunction="sum" totalsRowDxfId="71">
      <calculatedColumnFormula>IFERROR(Doanh_thu[[#This Row],[Thg6]]/Doanh_thu[[#Totals],[Thg6]],"-")</calculatedColumnFormula>
    </tableColumn>
    <tableColumn id="22" xr3:uid="{00000000-0010-0000-0000-000016000000}" name="% Thg7" totalsRowFunction="sum" totalsRowDxfId="70">
      <calculatedColumnFormula>IFERROR(Doanh_thu[[#This Row],[Thg7]]/Doanh_thu[[#Totals],[Thg7]],"-")</calculatedColumnFormula>
    </tableColumn>
    <tableColumn id="23" xr3:uid="{00000000-0010-0000-0000-000017000000}" name="% Thg8" totalsRowFunction="sum" totalsRowDxfId="69">
      <calculatedColumnFormula>IFERROR(Doanh_thu[[#This Row],[Thg8]]/Doanh_thu[[#Totals],[Thg8]],"-")</calculatedColumnFormula>
    </tableColumn>
    <tableColumn id="24" xr3:uid="{00000000-0010-0000-0000-000018000000}" name="% Thg9" totalsRowFunction="sum" totalsRowDxfId="68">
      <calculatedColumnFormula>IFERROR(Doanh_thu[[#This Row],[Thg9]]/Doanh_thu[[#Totals],[Thg9]],"-")</calculatedColumnFormula>
    </tableColumn>
    <tableColumn id="25" xr3:uid="{00000000-0010-0000-0000-000019000000}" name="% Thg10" totalsRowFunction="sum" totalsRowDxfId="67">
      <calculatedColumnFormula>IFERROR(Doanh_thu[[#This Row],[Thg9]]/Doanh_thu[[#Totals],[Thg9]],"-")</calculatedColumnFormula>
    </tableColumn>
    <tableColumn id="26" xr3:uid="{00000000-0010-0000-0000-00001A000000}" name="% Thg11" totalsRowFunction="sum" totalsRowDxfId="66">
      <calculatedColumnFormula>IFERROR(Doanh_thu[[#This Row],[Thg10]]/Doanh_thu[[#Totals],[Thg10]],"-")</calculatedColumnFormula>
    </tableColumn>
    <tableColumn id="27" xr3:uid="{00000000-0010-0000-0000-00001B000000}" name="% Thg12" totalsRowFunction="sum" totalsRowDxfId="65">
      <calculatedColumnFormula>IFERROR(Doanh_thu[[#This Row],[Thg11]]/Doanh_thu[[#Totals],[Thg11]],"-")</calculatedColumnFormula>
    </tableColumn>
    <tableColumn id="28" xr3:uid="{00000000-0010-0000-0000-00001C000000}" name="% Năm" totalsRowFunction="sum" totalsRowDxfId="64">
      <calculatedColumnFormula>IFERROR(Doanh_thu[[#This Row],[Thg12]]/Doanh_thu[[#Totals],[Thg12]],"-")</calculatedColumnFormula>
    </tableColumn>
  </tableColumns>
  <tableStyleInfo name="Doanh thu Lợi nhuận &amp; Tổn thất" showFirstColumn="0" showLastColumn="0" showRowStripes="1" showColumnStripes="0"/>
  <extLst>
    <ext xmlns:x14="http://schemas.microsoft.com/office/spreadsheetml/2009/9/main" uri="{504A1905-F514-4f6f-8877-14C23A59335A}">
      <x14:table altTextSummary="Tóm tắt doanh số hàng tháng, tổng hàng năm và phần trăm hàng tháng cho mỗi mục doanh th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iá_vốn_Hàng_bán" displayName="Giá_vốn_Hàng_bán" ref="B4:AD12" totalsRowCount="1" totalsRowDxfId="63">
  <tableColumns count="29">
    <tableColumn id="1" xr3:uid="{00000000-0010-0000-0100-000001000000}" name="GIÁ VỐN HÀNG BÁN" totalsRowLabel="TỔNG GIÁ VỐN HÀNG BÁN" totalsRowDxfId="62"/>
    <tableColumn id="2" xr3:uid="{00000000-0010-0000-0100-000002000000}" name="XU HƯỚNG" totalsRowDxfId="61"/>
    <tableColumn id="3" xr3:uid="{00000000-0010-0000-0100-000003000000}" name="Thg1" totalsRowFunction="sum" totalsRowDxfId="60"/>
    <tableColumn id="4" xr3:uid="{00000000-0010-0000-0100-000004000000}" name="Thg2" totalsRowFunction="sum" totalsRowDxfId="59"/>
    <tableColumn id="5" xr3:uid="{00000000-0010-0000-0100-000005000000}" name="Thg3" totalsRowFunction="sum" totalsRowDxfId="58"/>
    <tableColumn id="6" xr3:uid="{00000000-0010-0000-0100-000006000000}" name="Thg4" totalsRowFunction="sum" totalsRowDxfId="57"/>
    <tableColumn id="7" xr3:uid="{00000000-0010-0000-0100-000007000000}" name="Thg5" totalsRowFunction="sum" totalsRowDxfId="56"/>
    <tableColumn id="8" xr3:uid="{00000000-0010-0000-0100-000008000000}" name="Thg6" totalsRowFunction="sum" totalsRowDxfId="55"/>
    <tableColumn id="9" xr3:uid="{00000000-0010-0000-0100-000009000000}" name="Thg7" totalsRowFunction="sum" totalsRowDxfId="54"/>
    <tableColumn id="10" xr3:uid="{00000000-0010-0000-0100-00000A000000}" name="Thg8" totalsRowFunction="sum" totalsRowDxfId="53"/>
    <tableColumn id="11" xr3:uid="{00000000-0010-0000-0100-00000B000000}" name="Thg9" totalsRowFunction="sum" totalsRowDxfId="52"/>
    <tableColumn id="12" xr3:uid="{00000000-0010-0000-0100-00000C000000}" name="Thg10" totalsRowFunction="sum" totalsRowDxfId="51"/>
    <tableColumn id="13" xr3:uid="{00000000-0010-0000-0100-00000D000000}" name="Thg11" totalsRowFunction="sum" totalsRowDxfId="50"/>
    <tableColumn id="14" xr3:uid="{00000000-0010-0000-0100-00000E000000}" name="Thg12" totalsRowFunction="sum" totalsRowDxfId="49"/>
    <tableColumn id="15" xr3:uid="{00000000-0010-0000-0100-00000F000000}" name="Hàng năm" totalsRowFunction="sum" dataDxfId="48" totalsRowDxfId="47">
      <calculatedColumnFormula>SUM(Giá_vốn_Hàng_bán[[#This Row],[Thg1]:[Thg12]])</calculatedColumnFormula>
    </tableColumn>
    <tableColumn id="16" xr3:uid="{00000000-0010-0000-0100-000010000000}" name="% Chỉ mục" totalsRowFunction="sum" totalsRowDxfId="46"/>
    <tableColumn id="17" xr3:uid="{00000000-0010-0000-0100-000011000000}" name="% Thg1" totalsRowFunction="sum" totalsRowDxfId="45">
      <calculatedColumnFormula>IFERROR(Giá_vốn_Hàng_bán[[#This Row],[Thg1]]/Giá_vốn_Hàng_bán[[#Totals],[Thg1]],"-")</calculatedColumnFormula>
    </tableColumn>
    <tableColumn id="18" xr3:uid="{00000000-0010-0000-0100-000012000000}" name="% Thg2" totalsRowFunction="sum" totalsRowDxfId="44">
      <calculatedColumnFormula>IFERROR(Giá_vốn_Hàng_bán[[#This Row],[Thg2]]/Giá_vốn_Hàng_bán[[#Totals],[Thg2]],"-")</calculatedColumnFormula>
    </tableColumn>
    <tableColumn id="19" xr3:uid="{00000000-0010-0000-0100-000013000000}" name="% Thg3" totalsRowFunction="sum" totalsRowDxfId="43">
      <calculatedColumnFormula>IFERROR(Giá_vốn_Hàng_bán[[#This Row],[Thg3]]/Giá_vốn_Hàng_bán[[#Totals],[Thg3]],"-")</calculatedColumnFormula>
    </tableColumn>
    <tableColumn id="20" xr3:uid="{00000000-0010-0000-0100-000014000000}" name="% Thg4" totalsRowFunction="sum" totalsRowDxfId="42">
      <calculatedColumnFormula>IFERROR(Giá_vốn_Hàng_bán[[#This Row],[Thg4]]/Giá_vốn_Hàng_bán[[#Totals],[Thg4]],"-")</calculatedColumnFormula>
    </tableColumn>
    <tableColumn id="21" xr3:uid="{00000000-0010-0000-0100-000015000000}" name="% Thg5" totalsRowFunction="sum" totalsRowDxfId="41">
      <calculatedColumnFormula>IFERROR(Giá_vốn_Hàng_bán[[#This Row],[Thg5]]/Giá_vốn_Hàng_bán[[#Totals],[Thg5]],"-")</calculatedColumnFormula>
    </tableColumn>
    <tableColumn id="22" xr3:uid="{00000000-0010-0000-0100-000016000000}" name="% Thg6" totalsRowFunction="sum" totalsRowDxfId="40">
      <calculatedColumnFormula>IFERROR(Giá_vốn_Hàng_bán[[#This Row],[Thg6]]/Giá_vốn_Hàng_bán[[#Totals],[Thg6]],"-")</calculatedColumnFormula>
    </tableColumn>
    <tableColumn id="23" xr3:uid="{00000000-0010-0000-0100-000017000000}" name="% Thg7" totalsRowFunction="sum" totalsRowDxfId="39">
      <calculatedColumnFormula>IFERROR(Giá_vốn_Hàng_bán[[#This Row],[Thg7]]/Giá_vốn_Hàng_bán[[#Totals],[Thg7]],"-")</calculatedColumnFormula>
    </tableColumn>
    <tableColumn id="24" xr3:uid="{00000000-0010-0000-0100-000018000000}" name="% Thg8" totalsRowFunction="sum" totalsRowDxfId="38">
      <calculatedColumnFormula>IFERROR(Giá_vốn_Hàng_bán[[#This Row],[Thg8]]/Giá_vốn_Hàng_bán[[#Totals],[Thg8]],"-")</calculatedColumnFormula>
    </tableColumn>
    <tableColumn id="25" xr3:uid="{00000000-0010-0000-0100-000019000000}" name="% Thg9" totalsRowFunction="sum" totalsRowDxfId="37">
      <calculatedColumnFormula>IFERROR(Giá_vốn_Hàng_bán[[#This Row],[Thg9]]/Giá_vốn_Hàng_bán[[#Totals],[Thg9]],"-")</calculatedColumnFormula>
    </tableColumn>
    <tableColumn id="26" xr3:uid="{00000000-0010-0000-0100-00001A000000}" name="% Thg10" totalsRowFunction="sum" totalsRowDxfId="36">
      <calculatedColumnFormula>IFERROR(Giá_vốn_Hàng_bán[[#This Row],[Thg10]]/Giá_vốn_Hàng_bán[[#Totals],[Thg10]],"-")</calculatedColumnFormula>
    </tableColumn>
    <tableColumn id="27" xr3:uid="{00000000-0010-0000-0100-00001B000000}" name="% Thg11" totalsRowFunction="sum" dataDxfId="35" totalsRowDxfId="34">
      <calculatedColumnFormula>IFERROR(Giá_vốn_Hàng_bán[[#This Row],[Thg11]]/Giá_vốn_Hàng_bán[[#Totals],[Thg11]],"-")</calculatedColumnFormula>
    </tableColumn>
    <tableColumn id="28" xr3:uid="{00000000-0010-0000-0100-00001C000000}" name="% Thg12" totalsRowFunction="sum" dataDxfId="33" totalsRowDxfId="32">
      <calculatedColumnFormula>IFERROR(Giá_vốn_Hàng_bán[[#This Row],[Thg12]]/Giá_vốn_Hàng_bán[[#Totals],[Thg12]],"-")</calculatedColumnFormula>
    </tableColumn>
    <tableColumn id="29" xr3:uid="{00000000-0010-0000-0100-00001D000000}" name="% Năm" totalsRowFunction="sum" totalsRowDxfId="31">
      <calculatedColumnFormula>IFERROR(Giá_vốn_Hàng_bán[[#This Row],[Hàng năm]]/Giá_vốn_Hàng_bán[[#Totals],[Hàng năm]],"-")</calculatedColumnFormula>
    </tableColumn>
  </tableColumns>
  <tableStyleInfo name="Doanh số Lợi nhuận &amp; Tổn thất" showFirstColumn="0" showLastColumn="0" showRowStripes="1" showColumnStripes="0"/>
  <extLst>
    <ext xmlns:x14="http://schemas.microsoft.com/office/spreadsheetml/2009/9/main" uri="{504A1905-F514-4f6f-8877-14C23A59335A}">
      <x14:table altTextSummary="Tóm tắt giá vốn hàng bán, tổng hàng năm và phần trăm hàng tháng cho mỗi mục chi phí"/>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Expenses" displayName="tblExpenses" ref="B4:AD24" totalsRowCount="1" totalsRowDxfId="30">
  <tableColumns count="29">
    <tableColumn id="1" xr3:uid="{00000000-0010-0000-0200-000001000000}" name="CHI PHÍ" totalsRowLabel="TỔNG CHI PHÍ" dataDxfId="29" totalsRowDxfId="28"/>
    <tableColumn id="2" xr3:uid="{00000000-0010-0000-0200-000002000000}" name="XU HƯỚNG" totalsRowLabel=" " totalsRowDxfId="27"/>
    <tableColumn id="3" xr3:uid="{00000000-0010-0000-0200-000003000000}" name="Cột_1" totalsRowFunction="sum" totalsRowDxfId="26"/>
    <tableColumn id="4" xr3:uid="{00000000-0010-0000-0200-000004000000}" name="Thg2" totalsRowFunction="sum" totalsRowDxfId="25"/>
    <tableColumn id="5" xr3:uid="{00000000-0010-0000-0200-000005000000}" name="Thg3" totalsRowFunction="sum" totalsRowDxfId="24"/>
    <tableColumn id="6" xr3:uid="{00000000-0010-0000-0200-000006000000}" name="Thg4" totalsRowFunction="sum" totalsRowDxfId="23"/>
    <tableColumn id="7" xr3:uid="{00000000-0010-0000-0200-000007000000}" name="Thg5" totalsRowFunction="sum" totalsRowDxfId="22"/>
    <tableColumn id="8" xr3:uid="{00000000-0010-0000-0200-000008000000}" name="Thg6" totalsRowFunction="sum" totalsRowDxfId="21"/>
    <tableColumn id="9" xr3:uid="{00000000-0010-0000-0200-000009000000}" name="Thg7" totalsRowFunction="sum" totalsRowDxfId="20"/>
    <tableColumn id="10" xr3:uid="{00000000-0010-0000-0200-00000A000000}" name="Thg8" totalsRowFunction="sum" totalsRowDxfId="19"/>
    <tableColumn id="11" xr3:uid="{00000000-0010-0000-0200-00000B000000}" name="Thg9" totalsRowFunction="sum" totalsRowDxfId="18"/>
    <tableColumn id="12" xr3:uid="{00000000-0010-0000-0200-00000C000000}" name="Thg10" totalsRowFunction="sum" totalsRowDxfId="17"/>
    <tableColumn id="13" xr3:uid="{00000000-0010-0000-0200-00000D000000}" name="Thg11" totalsRowFunction="sum" totalsRowDxfId="16"/>
    <tableColumn id="14" xr3:uid="{00000000-0010-0000-0200-00000E000000}" name="Thg12" totalsRowFunction="sum" totalsRowDxfId="15"/>
    <tableColumn id="15" xr3:uid="{00000000-0010-0000-0200-00000F000000}" name="Hàng năm" totalsRowFunction="sum" totalsRowDxfId="14">
      <calculatedColumnFormula>SUM(tblExpenses[[#This Row],[Cột_1]:[Thg12]])</calculatedColumnFormula>
    </tableColumn>
    <tableColumn id="16" xr3:uid="{00000000-0010-0000-0200-000010000000}" name="% Chỉ mục" totalsRowFunction="sum" totalsRowDxfId="13"/>
    <tableColumn id="17" xr3:uid="{00000000-0010-0000-0200-000011000000}" name="% Thg1" totalsRowFunction="sum" totalsRowDxfId="12">
      <calculatedColumnFormula>tblExpenses[[#This Row],[Cột_1]]/tblExpenses[[#Totals],[Cột_1]]</calculatedColumnFormula>
    </tableColumn>
    <tableColumn id="18" xr3:uid="{00000000-0010-0000-0200-000012000000}" name="% Thg2" totalsRowFunction="sum" totalsRowDxfId="11">
      <calculatedColumnFormula>tblExpenses[[#This Row],[Thg2]]/tblExpenses[[#Totals],[Thg2]]</calculatedColumnFormula>
    </tableColumn>
    <tableColumn id="19" xr3:uid="{00000000-0010-0000-0200-000013000000}" name="% Thg3" totalsRowFunction="sum" totalsRowDxfId="10">
      <calculatedColumnFormula>tblExpenses[[#This Row],[Thg3]]/tblExpenses[[#Totals],[Thg3]]</calculatedColumnFormula>
    </tableColumn>
    <tableColumn id="20" xr3:uid="{00000000-0010-0000-0200-000014000000}" name="% Thg4" totalsRowFunction="sum" totalsRowDxfId="9">
      <calculatedColumnFormula>tblExpenses[[#This Row],[Thg4]]/tblExpenses[[#Totals],[Thg4]]</calculatedColumnFormula>
    </tableColumn>
    <tableColumn id="21" xr3:uid="{00000000-0010-0000-0200-000015000000}" name="% Thg5" totalsRowFunction="sum" totalsRowDxfId="8">
      <calculatedColumnFormula>tblExpenses[[#This Row],[Thg5]]/tblExpenses[[#Totals],[Thg5]]</calculatedColumnFormula>
    </tableColumn>
    <tableColumn id="22" xr3:uid="{00000000-0010-0000-0200-000016000000}" name="% Thg6" totalsRowFunction="sum" totalsRowDxfId="7">
      <calculatedColumnFormula>tblExpenses[[#This Row],[Thg6]]/tblExpenses[[#Totals],[Thg6]]</calculatedColumnFormula>
    </tableColumn>
    <tableColumn id="23" xr3:uid="{00000000-0010-0000-0200-000017000000}" name="% Thg7" totalsRowFunction="sum" totalsRowDxfId="6">
      <calculatedColumnFormula>tblExpenses[[#This Row],[Thg7]]/tblExpenses[[#Totals],[Thg7]]</calculatedColumnFormula>
    </tableColumn>
    <tableColumn id="24" xr3:uid="{00000000-0010-0000-0200-000018000000}" name="% Thg8" totalsRowFunction="sum" totalsRowDxfId="5">
      <calculatedColumnFormula>tblExpenses[[#This Row],[Thg8]]/tblExpenses[[#Totals],[Thg8]]</calculatedColumnFormula>
    </tableColumn>
    <tableColumn id="25" xr3:uid="{00000000-0010-0000-0200-000019000000}" name="% Thg9" totalsRowFunction="sum" totalsRowDxfId="4">
      <calculatedColumnFormula>tblExpenses[[#This Row],[Thg9]]/tblExpenses[[#Totals],[Thg9]]</calculatedColumnFormula>
    </tableColumn>
    <tableColumn id="26" xr3:uid="{00000000-0010-0000-0200-00001A000000}" name="% Thg10" totalsRowFunction="sum" totalsRowDxfId="3">
      <calculatedColumnFormula>tblExpenses[[#This Row],[Thg10]]/tblExpenses[[#Totals],[Thg10]]</calculatedColumnFormula>
    </tableColumn>
    <tableColumn id="27" xr3:uid="{00000000-0010-0000-0200-00001B000000}" name="% Thg11" totalsRowFunction="sum" totalsRowDxfId="2">
      <calculatedColumnFormula>tblExpenses[[#This Row],[Thg11]]/tblExpenses[[#Totals],[Thg11]]</calculatedColumnFormula>
    </tableColumn>
    <tableColumn id="28" xr3:uid="{00000000-0010-0000-0200-00001C000000}" name="% Thg12" totalsRowFunction="sum" totalsRowDxfId="1">
      <calculatedColumnFormula>tblExpenses[[#This Row],[Thg12]]/tblExpenses[[#Totals],[Thg12]]</calculatedColumnFormula>
    </tableColumn>
    <tableColumn id="29" xr3:uid="{00000000-0010-0000-0200-00001D000000}" name="% Năm" totalsRowFunction="sum" totalsRowDxfId="0">
      <calculatedColumnFormula>tblExpenses[[#This Row],[Hàng năm]]/tblExpenses[[#Totals],[Hàng năm]]</calculatedColumnFormula>
    </tableColumn>
  </tableColumns>
  <tableStyleInfo name="Chi phí Lợi nhuận &amp; Tổn thất" showFirstColumn="0" showLastColumn="0" showRowStripes="1" showColumnStripes="0"/>
  <extLst>
    <ext xmlns:x14="http://schemas.microsoft.com/office/spreadsheetml/2009/9/main" uri="{504A1905-F514-4f6f-8877-14C23A59335A}">
      <x14:table altTextSummary="Tóm tắt chi phí, tổng hàng năm và phần trăm hàng tháng cho mỗi mục chi phí"/>
    </ext>
  </extLst>
</table>
</file>

<file path=xl/theme/theme1.xml><?xml version="1.0" encoding="utf-8"?>
<a:theme xmlns:a="http://schemas.openxmlformats.org/drawingml/2006/main" name="Office Theme">
  <a:themeElements>
    <a:clrScheme name="Profit and Loss">
      <a:dk1>
        <a:sysClr val="windowText" lastClr="000000"/>
      </a:dk1>
      <a:lt1>
        <a:srgbClr val="FFFFFF"/>
      </a:lt1>
      <a:dk2>
        <a:srgbClr val="38321C"/>
      </a:dk2>
      <a:lt2>
        <a:srgbClr val="FFFFFF"/>
      </a:lt2>
      <a:accent1>
        <a:srgbClr val="DE8D26"/>
      </a:accent1>
      <a:accent2>
        <a:srgbClr val="2F7B6A"/>
      </a:accent2>
      <a:accent3>
        <a:srgbClr val="3BA0D6"/>
      </a:accent3>
      <a:accent4>
        <a:srgbClr val="8E9ACA"/>
      </a:accent4>
      <a:accent5>
        <a:srgbClr val="6F6857"/>
      </a:accent5>
      <a:accent6>
        <a:srgbClr val="F79646"/>
      </a:accent6>
      <a:hlink>
        <a:srgbClr val="0000FF"/>
      </a:hlink>
      <a:folHlink>
        <a:srgbClr val="800080"/>
      </a:folHlink>
    </a:clrScheme>
    <a:fontScheme name="Profit Loss Statement">
      <a:majorFont>
        <a:latin typeface="Bookman Old Style"/>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2"/>
  <sheetViews>
    <sheetView showGridLines="0" tabSelected="1" zoomScaleNormal="100" workbookViewId="0">
      <pane ySplit="3" topLeftCell="A4" activePane="bottomLeft" state="frozen"/>
      <selection pane="bottomLeft"/>
    </sheetView>
  </sheetViews>
  <sheetFormatPr defaultRowHeight="30" customHeight="1" x14ac:dyDescent="0.25"/>
  <cols>
    <col min="1" max="1" width="2.7109375" customWidth="1"/>
    <col min="2" max="2" width="26.28515625" customWidth="1"/>
    <col min="3" max="3" width="13.7109375" customWidth="1"/>
    <col min="4" max="15" width="11.28515625" customWidth="1"/>
    <col min="16" max="17" width="12.7109375" customWidth="1"/>
    <col min="18" max="26" width="9.42578125" bestFit="1" customWidth="1"/>
    <col min="27" max="27" width="10.5703125" bestFit="1" customWidth="1"/>
    <col min="28" max="28" width="10" customWidth="1"/>
    <col min="29" max="29" width="11.140625" customWidth="1"/>
    <col min="30" max="30" width="11.28515625" customWidth="1"/>
    <col min="31" max="31" width="2.7109375" customWidth="1"/>
  </cols>
  <sheetData>
    <row r="1" spans="1:30" s="48" customFormat="1" ht="35.1" customHeight="1" x14ac:dyDescent="0.25">
      <c r="A1" s="47"/>
      <c r="B1" s="63" t="s">
        <v>0</v>
      </c>
      <c r="J1" s="49"/>
      <c r="Q1" s="50"/>
      <c r="R1" s="50"/>
      <c r="S1" s="50"/>
      <c r="T1" s="50"/>
      <c r="U1" s="50"/>
      <c r="V1" s="50"/>
      <c r="W1" s="50"/>
      <c r="X1" s="50"/>
      <c r="Y1" s="50"/>
      <c r="Z1" s="50"/>
      <c r="AA1" s="50"/>
      <c r="AB1" s="50"/>
      <c r="AC1" s="50"/>
      <c r="AD1" s="51" t="s">
        <v>42</v>
      </c>
    </row>
    <row r="2" spans="1:30" s="48" customFormat="1" ht="60" customHeight="1" x14ac:dyDescent="0.25">
      <c r="B2" s="52" t="s">
        <v>1</v>
      </c>
      <c r="E2" s="53"/>
      <c r="G2" s="53"/>
      <c r="K2" s="53"/>
      <c r="L2" s="53"/>
      <c r="M2" s="53"/>
      <c r="N2" s="53"/>
      <c r="O2" s="53"/>
      <c r="X2" s="54"/>
      <c r="Y2" s="54"/>
      <c r="Z2" s="54"/>
      <c r="AA2" s="54"/>
      <c r="AB2" s="21" t="s">
        <v>38</v>
      </c>
      <c r="AC2" s="21" t="s">
        <v>40</v>
      </c>
      <c r="AD2" s="21">
        <f ca="1">YEAR(TODAY())</f>
        <v>2017</v>
      </c>
    </row>
    <row r="3" spans="1:30" ht="20.100000000000001" customHeight="1" x14ac:dyDescent="0.25">
      <c r="D3" s="22" t="str">
        <f ca="1">UPPER(TEXT(DATE(FYStartYear,FYMonthNo,1),"yy mmm"))</f>
        <v>17 THG1</v>
      </c>
      <c r="E3" s="22" t="str">
        <f ca="1">UPPER(TEXT(DATE(FYStartYear,FYMonthNo+1,1),"yy mmm"))</f>
        <v>17 THG2</v>
      </c>
      <c r="F3" s="22" t="str">
        <f ca="1">UPPER(TEXT(DATE(FYStartYear,FYMonthNo+2,1),"yy mmm"))</f>
        <v>17 THG3</v>
      </c>
      <c r="G3" s="22" t="str">
        <f ca="1">UPPER(TEXT(DATE(FYStartYear,FYMonthNo+3,1),"yy mmm"))</f>
        <v>17 THG4</v>
      </c>
      <c r="H3" s="22" t="str">
        <f ca="1">UPPER(TEXT(DATE(FYStartYear,FYMonthNo+4,1),"yy mmm"))</f>
        <v>17 THG5</v>
      </c>
      <c r="I3" s="22" t="str">
        <f ca="1">UPPER(TEXT(DATE(FYStartYear,FYMonthNo+5,1),"yy mmm"))</f>
        <v>17 THG6</v>
      </c>
      <c r="J3" s="22" t="str">
        <f ca="1">UPPER(TEXT(DATE(FYStartYear,FYMonthNo+6,1),"yy mmm"))</f>
        <v>17 THG7</v>
      </c>
      <c r="K3" s="22" t="str">
        <f ca="1">UPPER(TEXT(DATE(FYStartYear,FYMonthNo+7,1),"yy mmm"))</f>
        <v>17 THG8</v>
      </c>
      <c r="L3" s="22" t="str">
        <f ca="1">UPPER(TEXT(DATE(FYStartYear,FYMonthNo+8,1),"yy mmm"))</f>
        <v>17 THG9</v>
      </c>
      <c r="M3" s="22" t="str">
        <f ca="1">UPPER(TEXT(DATE(FYStartYear,FYMonthNo+9,1),"yy mmm"))</f>
        <v>17 THG10</v>
      </c>
      <c r="N3" s="22" t="str">
        <f ca="1">UPPER(TEXT(DATE(FYStartYear,FYMonthNo+10,1),"yy mmm"))</f>
        <v>17 THG11</v>
      </c>
      <c r="O3" s="22" t="str">
        <f ca="1">UPPER(TEXT(DATE(FYStartYear,FYMonthNo+11,1),"yy mmm"))</f>
        <v>17 THG12</v>
      </c>
      <c r="P3" s="22" t="s">
        <v>24</v>
      </c>
      <c r="Q3" s="22" t="s">
        <v>26</v>
      </c>
      <c r="R3" s="22" t="str">
        <f ca="1">" %" &amp; RIGHT(D3,5)</f>
        <v xml:space="preserve"> % THG1</v>
      </c>
      <c r="S3" s="22" t="str">
        <f t="shared" ref="S3:AC3" ca="1" si="0">" %" &amp; RIGHT(E3,5)</f>
        <v xml:space="preserve"> % THG2</v>
      </c>
      <c r="T3" s="22" t="str">
        <f t="shared" ca="1" si="0"/>
        <v xml:space="preserve"> % THG3</v>
      </c>
      <c r="U3" s="22" t="str">
        <f t="shared" ca="1" si="0"/>
        <v xml:space="preserve"> % THG4</v>
      </c>
      <c r="V3" s="22" t="str">
        <f t="shared" ca="1" si="0"/>
        <v xml:space="preserve"> % THG5</v>
      </c>
      <c r="W3" s="22" t="str">
        <f t="shared" ca="1" si="0"/>
        <v xml:space="preserve"> % THG6</v>
      </c>
      <c r="X3" s="22" t="str">
        <f t="shared" ca="1" si="0"/>
        <v xml:space="preserve"> % THG7</v>
      </c>
      <c r="Y3" s="22" t="str">
        <f t="shared" ca="1" si="0"/>
        <v xml:space="preserve"> % THG8</v>
      </c>
      <c r="Z3" s="22" t="str">
        <f t="shared" ca="1" si="0"/>
        <v xml:space="preserve"> % THG9</v>
      </c>
      <c r="AA3" s="22" t="str">
        <f ca="1">" %" &amp; RIGHT(M3,6)</f>
        <v xml:space="preserve"> % THG10</v>
      </c>
      <c r="AB3" s="22" t="str">
        <f t="shared" ref="AB3:AC3" ca="1" si="1">" %" &amp; RIGHT(N3,6)</f>
        <v xml:space="preserve"> % THG11</v>
      </c>
      <c r="AC3" s="22" t="str">
        <f t="shared" ca="1" si="1"/>
        <v xml:space="preserve"> % THG12</v>
      </c>
      <c r="AD3" s="22" t="s">
        <v>43</v>
      </c>
    </row>
    <row r="4" spans="1:30" ht="30" customHeight="1" x14ac:dyDescent="0.25">
      <c r="B4" s="55" t="s">
        <v>2</v>
      </c>
      <c r="C4" s="55" t="s">
        <v>11</v>
      </c>
      <c r="D4" s="24" t="s">
        <v>12</v>
      </c>
      <c r="E4" s="24" t="s">
        <v>13</v>
      </c>
      <c r="F4" s="24" t="s">
        <v>14</v>
      </c>
      <c r="G4" s="24" t="s">
        <v>15</v>
      </c>
      <c r="H4" s="24" t="s">
        <v>16</v>
      </c>
      <c r="I4" s="24" t="s">
        <v>17</v>
      </c>
      <c r="J4" s="24" t="s">
        <v>18</v>
      </c>
      <c r="K4" s="24" t="s">
        <v>19</v>
      </c>
      <c r="L4" s="24" t="s">
        <v>20</v>
      </c>
      <c r="M4" s="24" t="s">
        <v>21</v>
      </c>
      <c r="N4" s="24" t="s">
        <v>22</v>
      </c>
      <c r="O4" s="24" t="s">
        <v>23</v>
      </c>
      <c r="P4" s="24" t="s">
        <v>25</v>
      </c>
      <c r="Q4" s="25" t="s">
        <v>27</v>
      </c>
      <c r="R4" s="25" t="s">
        <v>28</v>
      </c>
      <c r="S4" s="25" t="s">
        <v>29</v>
      </c>
      <c r="T4" s="25" t="s">
        <v>30</v>
      </c>
      <c r="U4" s="25" t="s">
        <v>31</v>
      </c>
      <c r="V4" s="25" t="s">
        <v>32</v>
      </c>
      <c r="W4" s="25" t="s">
        <v>33</v>
      </c>
      <c r="X4" s="25" t="s">
        <v>34</v>
      </c>
      <c r="Y4" s="25" t="s">
        <v>35</v>
      </c>
      <c r="Z4" s="25" t="s">
        <v>36</v>
      </c>
      <c r="AA4" s="25" t="s">
        <v>37</v>
      </c>
      <c r="AB4" s="25" t="s">
        <v>39</v>
      </c>
      <c r="AC4" s="25" t="s">
        <v>41</v>
      </c>
      <c r="AD4" s="24" t="s">
        <v>44</v>
      </c>
    </row>
    <row r="5" spans="1:30" ht="30" customHeight="1" x14ac:dyDescent="0.25">
      <c r="B5" s="56" t="s">
        <v>3</v>
      </c>
      <c r="C5" s="61"/>
      <c r="D5" s="44">
        <v>186</v>
      </c>
      <c r="E5" s="16">
        <v>108</v>
      </c>
      <c r="F5" s="16">
        <v>92</v>
      </c>
      <c r="G5" s="16">
        <v>122</v>
      </c>
      <c r="H5" s="16">
        <v>190</v>
      </c>
      <c r="I5" s="16">
        <v>71</v>
      </c>
      <c r="J5" s="16">
        <v>21</v>
      </c>
      <c r="K5" s="16">
        <v>37</v>
      </c>
      <c r="L5" s="16">
        <v>24</v>
      </c>
      <c r="M5" s="16">
        <v>178</v>
      </c>
      <c r="N5" s="16">
        <v>92</v>
      </c>
      <c r="O5" s="16">
        <v>97</v>
      </c>
      <c r="P5" s="34">
        <f>SUM(Doanh_thu[[#This Row],[Thg1]:[Thg12]])</f>
        <v>1218</v>
      </c>
      <c r="Q5" s="57">
        <v>0.12</v>
      </c>
      <c r="R5" s="35">
        <f>IFERROR(Doanh_thu[[#This Row],[Thg1]]/Doanh_thu[[#Totals],[Thg1]],"-")</f>
        <v>0.29807692307692307</v>
      </c>
      <c r="S5" s="35">
        <f>IFERROR(Doanh_thu[[#This Row],[Thg2]]/Doanh_thu[[#Totals],[Thg2]],"-")</f>
        <v>0.14673913043478262</v>
      </c>
      <c r="T5" s="35">
        <f>IFERROR(Doanh_thu[[#This Row],[Thg3]]/Doanh_thu[[#Totals],[Thg3]],"-")</f>
        <v>0.11219512195121951</v>
      </c>
      <c r="U5" s="35">
        <f>IFERROR(Doanh_thu[[#This Row],[Thg4]]/Doanh_thu[[#Totals],[Thg4]],"-")</f>
        <v>0.19967266775777415</v>
      </c>
      <c r="V5" s="35">
        <f>IFERROR(Doanh_thu[[#This Row],[Thg5]]/Doanh_thu[[#Totals],[Thg5]],"-")</f>
        <v>0.23399014778325122</v>
      </c>
      <c r="W5" s="35">
        <f>IFERROR(Doanh_thu[[#This Row],[Thg6]]/Doanh_thu[[#Totals],[Thg6]],"-")</f>
        <v>0.12283737024221453</v>
      </c>
      <c r="X5" s="35">
        <f>IFERROR(Doanh_thu[[#This Row],[Thg7]]/Doanh_thu[[#Totals],[Thg7]],"-")</f>
        <v>3.5175879396984924E-2</v>
      </c>
      <c r="Y5" s="35">
        <f>IFERROR(Doanh_thu[[#This Row],[Thg8]]/Doanh_thu[[#Totals],[Thg8]],"-")</f>
        <v>5.4814814814814816E-2</v>
      </c>
      <c r="Z5" s="35">
        <f>IFERROR(Doanh_thu[[#This Row],[Thg9]]/Doanh_thu[[#Totals],[Thg9]],"-")</f>
        <v>3.2258064516129031E-2</v>
      </c>
      <c r="AA5" s="35">
        <f>IFERROR(Doanh_thu[[#This Row],[Thg9]]/Doanh_thu[[#Totals],[Thg9]],"-")</f>
        <v>3.2258064516129031E-2</v>
      </c>
      <c r="AB5" s="35">
        <f>IFERROR(Doanh_thu[[#This Row],[Thg10]]/Doanh_thu[[#Totals],[Thg10]],"-")</f>
        <v>0.26138032305433184</v>
      </c>
      <c r="AC5" s="35">
        <f>IFERROR(Doanh_thu[[#This Row],[Thg11]]/Doanh_thu[[#Totals],[Thg11]],"-")</f>
        <v>0.12449255751014884</v>
      </c>
      <c r="AD5" s="42">
        <f>IFERROR(Doanh_thu[[#This Row],[Thg12]]/Doanh_thu[[#Totals],[Thg12]],"-")</f>
        <v>9.3000958772770856E-2</v>
      </c>
    </row>
    <row r="6" spans="1:30" ht="30" customHeight="1" x14ac:dyDescent="0.25">
      <c r="B6" s="56" t="s">
        <v>4</v>
      </c>
      <c r="C6" s="33"/>
      <c r="D6" s="16">
        <v>15</v>
      </c>
      <c r="E6" s="16">
        <v>16</v>
      </c>
      <c r="F6" s="16">
        <v>198</v>
      </c>
      <c r="G6" s="16">
        <v>44</v>
      </c>
      <c r="H6" s="16">
        <v>25</v>
      </c>
      <c r="I6" s="16">
        <v>68</v>
      </c>
      <c r="J6" s="16">
        <v>43</v>
      </c>
      <c r="K6" s="16">
        <v>119</v>
      </c>
      <c r="L6" s="16">
        <v>37</v>
      </c>
      <c r="M6" s="16">
        <v>118</v>
      </c>
      <c r="N6" s="16">
        <v>29</v>
      </c>
      <c r="O6" s="16">
        <v>171</v>
      </c>
      <c r="P6" s="34">
        <f>SUM(Doanh_thu[[#This Row],[Thg1]:[Thg12]])</f>
        <v>883</v>
      </c>
      <c r="Q6" s="19">
        <v>0.18</v>
      </c>
      <c r="R6" s="35">
        <f>IFERROR(Doanh_thu[[#This Row],[Thg1]]/Doanh_thu[[#Totals],[Thg1]],"-")</f>
        <v>2.403846153846154E-2</v>
      </c>
      <c r="S6" s="35">
        <f>IFERROR(Doanh_thu[[#This Row],[Thg2]]/Doanh_thu[[#Totals],[Thg2]],"-")</f>
        <v>2.1739130434782608E-2</v>
      </c>
      <c r="T6" s="35">
        <f>IFERROR(Doanh_thu[[#This Row],[Thg3]]/Doanh_thu[[#Totals],[Thg3]],"-")</f>
        <v>0.24146341463414633</v>
      </c>
      <c r="U6" s="35">
        <f>IFERROR(Doanh_thu[[#This Row],[Thg4]]/Doanh_thu[[#Totals],[Thg4]],"-")</f>
        <v>7.2013093289689037E-2</v>
      </c>
      <c r="V6" s="35">
        <f>IFERROR(Doanh_thu[[#This Row],[Thg5]]/Doanh_thu[[#Totals],[Thg5]],"-")</f>
        <v>3.0788177339901478E-2</v>
      </c>
      <c r="W6" s="35">
        <f>IFERROR(Doanh_thu[[#This Row],[Thg6]]/Doanh_thu[[#Totals],[Thg6]],"-")</f>
        <v>0.11764705882352941</v>
      </c>
      <c r="X6" s="35">
        <f>IFERROR(Doanh_thu[[#This Row],[Thg7]]/Doanh_thu[[#Totals],[Thg7]],"-")</f>
        <v>7.2026800670016752E-2</v>
      </c>
      <c r="Y6" s="35">
        <f>IFERROR(Doanh_thu[[#This Row],[Thg8]]/Doanh_thu[[#Totals],[Thg8]],"-")</f>
        <v>0.17629629629629628</v>
      </c>
      <c r="Z6" s="35">
        <f>IFERROR(Doanh_thu[[#This Row],[Thg9]]/Doanh_thu[[#Totals],[Thg9]],"-")</f>
        <v>4.9731182795698922E-2</v>
      </c>
      <c r="AA6" s="35">
        <f>IFERROR(Doanh_thu[[#This Row],[Thg9]]/Doanh_thu[[#Totals],[Thg9]],"-")</f>
        <v>4.9731182795698922E-2</v>
      </c>
      <c r="AB6" s="35">
        <f>IFERROR(Doanh_thu[[#This Row],[Thg10]]/Doanh_thu[[#Totals],[Thg10]],"-")</f>
        <v>0.17327459618208516</v>
      </c>
      <c r="AC6" s="35">
        <f>IFERROR(Doanh_thu[[#This Row],[Thg11]]/Doanh_thu[[#Totals],[Thg11]],"-")</f>
        <v>3.9242219215155617E-2</v>
      </c>
      <c r="AD6" s="42">
        <f>IFERROR(Doanh_thu[[#This Row],[Thg12]]/Doanh_thu[[#Totals],[Thg12]],"-")</f>
        <v>0.16395014381591563</v>
      </c>
    </row>
    <row r="7" spans="1:30" ht="30" customHeight="1" x14ac:dyDescent="0.25">
      <c r="B7" s="56" t="s">
        <v>5</v>
      </c>
      <c r="C7" s="33"/>
      <c r="D7" s="16">
        <v>166</v>
      </c>
      <c r="E7" s="16">
        <v>185</v>
      </c>
      <c r="F7" s="16">
        <v>89</v>
      </c>
      <c r="G7" s="16">
        <v>170</v>
      </c>
      <c r="H7" s="16">
        <v>131</v>
      </c>
      <c r="I7" s="16">
        <v>70</v>
      </c>
      <c r="J7" s="16">
        <v>50</v>
      </c>
      <c r="K7" s="16">
        <v>149</v>
      </c>
      <c r="L7" s="16">
        <v>179</v>
      </c>
      <c r="M7" s="16">
        <v>104</v>
      </c>
      <c r="N7" s="16">
        <v>119</v>
      </c>
      <c r="O7" s="16">
        <v>187</v>
      </c>
      <c r="P7" s="34">
        <f>SUM(Doanh_thu[[#This Row],[Thg1]:[Thg12]])</f>
        <v>1599</v>
      </c>
      <c r="Q7" s="19">
        <v>0.19</v>
      </c>
      <c r="R7" s="35">
        <f>IFERROR(Doanh_thu[[#This Row],[Thg1]]/Doanh_thu[[#Totals],[Thg1]],"-")</f>
        <v>0.26602564102564102</v>
      </c>
      <c r="S7" s="35">
        <f>IFERROR(Doanh_thu[[#This Row],[Thg2]]/Doanh_thu[[#Totals],[Thg2]],"-")</f>
        <v>0.25135869565217389</v>
      </c>
      <c r="T7" s="35">
        <f>IFERROR(Doanh_thu[[#This Row],[Thg3]]/Doanh_thu[[#Totals],[Thg3]],"-")</f>
        <v>0.10853658536585366</v>
      </c>
      <c r="U7" s="35">
        <f>IFERROR(Doanh_thu[[#This Row],[Thg4]]/Doanh_thu[[#Totals],[Thg4]],"-")</f>
        <v>0.27823240589198034</v>
      </c>
      <c r="V7" s="35">
        <f>IFERROR(Doanh_thu[[#This Row],[Thg5]]/Doanh_thu[[#Totals],[Thg5]],"-")</f>
        <v>0.16133004926108374</v>
      </c>
      <c r="W7" s="35">
        <f>IFERROR(Doanh_thu[[#This Row],[Thg6]]/Doanh_thu[[#Totals],[Thg6]],"-")</f>
        <v>0.12110726643598616</v>
      </c>
      <c r="X7" s="35">
        <f>IFERROR(Doanh_thu[[#This Row],[Thg7]]/Doanh_thu[[#Totals],[Thg7]],"-")</f>
        <v>8.3752093802345065E-2</v>
      </c>
      <c r="Y7" s="35">
        <f>IFERROR(Doanh_thu[[#This Row],[Thg8]]/Doanh_thu[[#Totals],[Thg8]],"-")</f>
        <v>0.22074074074074074</v>
      </c>
      <c r="Z7" s="35">
        <f>IFERROR(Doanh_thu[[#This Row],[Thg9]]/Doanh_thu[[#Totals],[Thg9]],"-")</f>
        <v>0.24059139784946237</v>
      </c>
      <c r="AA7" s="35">
        <f>IFERROR(Doanh_thu[[#This Row],[Thg9]]/Doanh_thu[[#Totals],[Thg9]],"-")</f>
        <v>0.24059139784946237</v>
      </c>
      <c r="AB7" s="35">
        <f>IFERROR(Doanh_thu[[#This Row],[Thg10]]/Doanh_thu[[#Totals],[Thg10]],"-")</f>
        <v>0.1527165932452276</v>
      </c>
      <c r="AC7" s="35">
        <f>IFERROR(Doanh_thu[[#This Row],[Thg11]]/Doanh_thu[[#Totals],[Thg11]],"-")</f>
        <v>0.16102841677943167</v>
      </c>
      <c r="AD7" s="42">
        <f>IFERROR(Doanh_thu[[#This Row],[Thg12]]/Doanh_thu[[#Totals],[Thg12]],"-")</f>
        <v>0.17929050814956854</v>
      </c>
    </row>
    <row r="8" spans="1:30" ht="30" customHeight="1" x14ac:dyDescent="0.25">
      <c r="B8" s="56" t="s">
        <v>6</v>
      </c>
      <c r="C8" s="33"/>
      <c r="D8" s="16">
        <v>21</v>
      </c>
      <c r="E8" s="16">
        <v>113</v>
      </c>
      <c r="F8" s="16">
        <v>83</v>
      </c>
      <c r="G8" s="16">
        <v>17</v>
      </c>
      <c r="H8" s="16">
        <v>130</v>
      </c>
      <c r="I8" s="16">
        <v>26</v>
      </c>
      <c r="J8" s="16">
        <v>167</v>
      </c>
      <c r="K8" s="16">
        <v>102</v>
      </c>
      <c r="L8" s="16">
        <v>82</v>
      </c>
      <c r="M8" s="16">
        <v>33</v>
      </c>
      <c r="N8" s="16">
        <v>88</v>
      </c>
      <c r="O8" s="16">
        <v>193</v>
      </c>
      <c r="P8" s="34">
        <f>SUM(Doanh_thu[[#This Row],[Thg1]:[Thg12]])</f>
        <v>1055</v>
      </c>
      <c r="Q8" s="19">
        <v>0.11</v>
      </c>
      <c r="R8" s="35">
        <f>IFERROR(Doanh_thu[[#This Row],[Thg1]]/Doanh_thu[[#Totals],[Thg1]],"-")</f>
        <v>3.3653846153846152E-2</v>
      </c>
      <c r="S8" s="35">
        <f>IFERROR(Doanh_thu[[#This Row],[Thg2]]/Doanh_thu[[#Totals],[Thg2]],"-")</f>
        <v>0.15353260869565216</v>
      </c>
      <c r="T8" s="35">
        <f>IFERROR(Doanh_thu[[#This Row],[Thg3]]/Doanh_thu[[#Totals],[Thg3]],"-")</f>
        <v>0.10121951219512196</v>
      </c>
      <c r="U8" s="35">
        <f>IFERROR(Doanh_thu[[#This Row],[Thg4]]/Doanh_thu[[#Totals],[Thg4]],"-")</f>
        <v>2.7823240589198037E-2</v>
      </c>
      <c r="V8" s="35">
        <f>IFERROR(Doanh_thu[[#This Row],[Thg5]]/Doanh_thu[[#Totals],[Thg5]],"-")</f>
        <v>0.16009852216748768</v>
      </c>
      <c r="W8" s="35">
        <f>IFERROR(Doanh_thu[[#This Row],[Thg6]]/Doanh_thu[[#Totals],[Thg6]],"-")</f>
        <v>4.4982698961937718E-2</v>
      </c>
      <c r="X8" s="35">
        <f>IFERROR(Doanh_thu[[#This Row],[Thg7]]/Doanh_thu[[#Totals],[Thg7]],"-")</f>
        <v>0.2797319932998325</v>
      </c>
      <c r="Y8" s="35">
        <f>IFERROR(Doanh_thu[[#This Row],[Thg8]]/Doanh_thu[[#Totals],[Thg8]],"-")</f>
        <v>0.15111111111111111</v>
      </c>
      <c r="Z8" s="35">
        <f>IFERROR(Doanh_thu[[#This Row],[Thg9]]/Doanh_thu[[#Totals],[Thg9]],"-")</f>
        <v>0.11021505376344086</v>
      </c>
      <c r="AA8" s="35">
        <f>IFERROR(Doanh_thu[[#This Row],[Thg9]]/Doanh_thu[[#Totals],[Thg9]],"-")</f>
        <v>0.11021505376344086</v>
      </c>
      <c r="AB8" s="35">
        <f>IFERROR(Doanh_thu[[#This Row],[Thg10]]/Doanh_thu[[#Totals],[Thg10]],"-")</f>
        <v>4.8458149779735685E-2</v>
      </c>
      <c r="AC8" s="35">
        <f>IFERROR(Doanh_thu[[#This Row],[Thg11]]/Doanh_thu[[#Totals],[Thg11]],"-")</f>
        <v>0.11907983761840325</v>
      </c>
      <c r="AD8" s="42">
        <f>IFERROR(Doanh_thu[[#This Row],[Thg12]]/Doanh_thu[[#Totals],[Thg12]],"-")</f>
        <v>0.18504314477468839</v>
      </c>
    </row>
    <row r="9" spans="1:30" ht="30" customHeight="1" x14ac:dyDescent="0.25">
      <c r="B9" s="56" t="s">
        <v>7</v>
      </c>
      <c r="C9" s="33"/>
      <c r="D9" s="16">
        <v>70</v>
      </c>
      <c r="E9" s="16">
        <v>160</v>
      </c>
      <c r="F9" s="16">
        <v>125</v>
      </c>
      <c r="G9" s="16">
        <v>84</v>
      </c>
      <c r="H9" s="16">
        <v>191</v>
      </c>
      <c r="I9" s="16">
        <v>97</v>
      </c>
      <c r="J9" s="16">
        <v>52</v>
      </c>
      <c r="K9" s="16">
        <v>45</v>
      </c>
      <c r="L9" s="16">
        <v>173</v>
      </c>
      <c r="M9" s="16">
        <v>136</v>
      </c>
      <c r="N9" s="16">
        <v>144</v>
      </c>
      <c r="O9" s="16">
        <v>167</v>
      </c>
      <c r="P9" s="34">
        <f>SUM(Doanh_thu[[#This Row],[Thg1]:[Thg12]])</f>
        <v>1444</v>
      </c>
      <c r="Q9" s="19">
        <v>0.2</v>
      </c>
      <c r="R9" s="35">
        <f>IFERROR(Doanh_thu[[#This Row],[Thg1]]/Doanh_thu[[#Totals],[Thg1]],"-")</f>
        <v>0.11217948717948718</v>
      </c>
      <c r="S9" s="35">
        <f>IFERROR(Doanh_thu[[#This Row],[Thg2]]/Doanh_thu[[#Totals],[Thg2]],"-")</f>
        <v>0.21739130434782608</v>
      </c>
      <c r="T9" s="35">
        <f>IFERROR(Doanh_thu[[#This Row],[Thg3]]/Doanh_thu[[#Totals],[Thg3]],"-")</f>
        <v>0.1524390243902439</v>
      </c>
      <c r="U9" s="35">
        <f>IFERROR(Doanh_thu[[#This Row],[Thg4]]/Doanh_thu[[#Totals],[Thg4]],"-")</f>
        <v>0.13747954173486088</v>
      </c>
      <c r="V9" s="35">
        <f>IFERROR(Doanh_thu[[#This Row],[Thg5]]/Doanh_thu[[#Totals],[Thg5]],"-")</f>
        <v>0.23522167487684728</v>
      </c>
      <c r="W9" s="35">
        <f>IFERROR(Doanh_thu[[#This Row],[Thg6]]/Doanh_thu[[#Totals],[Thg6]],"-")</f>
        <v>0.16782006920415224</v>
      </c>
      <c r="X9" s="35">
        <f>IFERROR(Doanh_thu[[#This Row],[Thg7]]/Doanh_thu[[#Totals],[Thg7]],"-")</f>
        <v>8.7102177554438859E-2</v>
      </c>
      <c r="Y9" s="35">
        <f>IFERROR(Doanh_thu[[#This Row],[Thg8]]/Doanh_thu[[#Totals],[Thg8]],"-")</f>
        <v>6.6666666666666666E-2</v>
      </c>
      <c r="Z9" s="35">
        <f>IFERROR(Doanh_thu[[#This Row],[Thg9]]/Doanh_thu[[#Totals],[Thg9]],"-")</f>
        <v>0.2325268817204301</v>
      </c>
      <c r="AA9" s="35">
        <f>IFERROR(Doanh_thu[[#This Row],[Thg9]]/Doanh_thu[[#Totals],[Thg9]],"-")</f>
        <v>0.2325268817204301</v>
      </c>
      <c r="AB9" s="35">
        <f>IFERROR(Doanh_thu[[#This Row],[Thg10]]/Doanh_thu[[#Totals],[Thg10]],"-")</f>
        <v>0.19970631424375918</v>
      </c>
      <c r="AC9" s="35">
        <f>IFERROR(Doanh_thu[[#This Row],[Thg11]]/Doanh_thu[[#Totals],[Thg11]],"-")</f>
        <v>0.19485791610284167</v>
      </c>
      <c r="AD9" s="42">
        <f>IFERROR(Doanh_thu[[#This Row],[Thg12]]/Doanh_thu[[#Totals],[Thg12]],"-")</f>
        <v>0.1601150527325024</v>
      </c>
    </row>
    <row r="10" spans="1:30" ht="30" customHeight="1" x14ac:dyDescent="0.25">
      <c r="B10" s="56" t="s">
        <v>8</v>
      </c>
      <c r="C10" s="33"/>
      <c r="D10" s="16">
        <v>61</v>
      </c>
      <c r="E10" s="16">
        <v>99</v>
      </c>
      <c r="F10" s="16">
        <v>70</v>
      </c>
      <c r="G10" s="16">
        <v>162</v>
      </c>
      <c r="H10" s="16">
        <v>28</v>
      </c>
      <c r="I10" s="16">
        <v>163</v>
      </c>
      <c r="J10" s="16">
        <v>101</v>
      </c>
      <c r="K10" s="16">
        <v>103</v>
      </c>
      <c r="L10" s="16">
        <v>78</v>
      </c>
      <c r="M10" s="16">
        <v>33</v>
      </c>
      <c r="N10" s="16">
        <v>162</v>
      </c>
      <c r="O10" s="16">
        <v>159</v>
      </c>
      <c r="P10" s="34">
        <f>SUM(Doanh_thu[[#This Row],[Thg1]:[Thg12]])</f>
        <v>1219</v>
      </c>
      <c r="Q10" s="19">
        <v>0.1</v>
      </c>
      <c r="R10" s="35">
        <f>IFERROR(Doanh_thu[[#This Row],[Thg1]]/Doanh_thu[[#Totals],[Thg1]],"-")</f>
        <v>9.7756410256410256E-2</v>
      </c>
      <c r="S10" s="35">
        <f>IFERROR(Doanh_thu[[#This Row],[Thg2]]/Doanh_thu[[#Totals],[Thg2]],"-")</f>
        <v>0.13451086956521738</v>
      </c>
      <c r="T10" s="35">
        <f>IFERROR(Doanh_thu[[#This Row],[Thg3]]/Doanh_thu[[#Totals],[Thg3]],"-")</f>
        <v>8.5365853658536592E-2</v>
      </c>
      <c r="U10" s="35">
        <f>IFERROR(Doanh_thu[[#This Row],[Thg4]]/Doanh_thu[[#Totals],[Thg4]],"-")</f>
        <v>0.265139116202946</v>
      </c>
      <c r="V10" s="35">
        <f>IFERROR(Doanh_thu[[#This Row],[Thg5]]/Doanh_thu[[#Totals],[Thg5]],"-")</f>
        <v>3.4482758620689655E-2</v>
      </c>
      <c r="W10" s="35">
        <f>IFERROR(Doanh_thu[[#This Row],[Thg6]]/Doanh_thu[[#Totals],[Thg6]],"-")</f>
        <v>0.2820069204152249</v>
      </c>
      <c r="X10" s="35">
        <f>IFERROR(Doanh_thu[[#This Row],[Thg7]]/Doanh_thu[[#Totals],[Thg7]],"-")</f>
        <v>0.16917922948073702</v>
      </c>
      <c r="Y10" s="35">
        <f>IFERROR(Doanh_thu[[#This Row],[Thg8]]/Doanh_thu[[#Totals],[Thg8]],"-")</f>
        <v>0.15259259259259259</v>
      </c>
      <c r="Z10" s="35">
        <f>IFERROR(Doanh_thu[[#This Row],[Thg9]]/Doanh_thu[[#Totals],[Thg9]],"-")</f>
        <v>0.10483870967741936</v>
      </c>
      <c r="AA10" s="35">
        <f>IFERROR(Doanh_thu[[#This Row],[Thg9]]/Doanh_thu[[#Totals],[Thg9]],"-")</f>
        <v>0.10483870967741936</v>
      </c>
      <c r="AB10" s="35">
        <f>IFERROR(Doanh_thu[[#This Row],[Thg10]]/Doanh_thu[[#Totals],[Thg10]],"-")</f>
        <v>4.8458149779735685E-2</v>
      </c>
      <c r="AC10" s="35">
        <f>IFERROR(Doanh_thu[[#This Row],[Thg11]]/Doanh_thu[[#Totals],[Thg11]],"-")</f>
        <v>0.21921515561569688</v>
      </c>
      <c r="AD10" s="42">
        <f>IFERROR(Doanh_thu[[#This Row],[Thg12]]/Doanh_thu[[#Totals],[Thg12]],"-")</f>
        <v>0.15244487056567593</v>
      </c>
    </row>
    <row r="11" spans="1:30" ht="30" customHeight="1" x14ac:dyDescent="0.25">
      <c r="B11" s="56" t="s">
        <v>9</v>
      </c>
      <c r="C11" s="33"/>
      <c r="D11" s="16">
        <v>105</v>
      </c>
      <c r="E11" s="16">
        <v>55</v>
      </c>
      <c r="F11" s="16">
        <v>163</v>
      </c>
      <c r="G11" s="16">
        <v>12</v>
      </c>
      <c r="H11" s="16">
        <v>117</v>
      </c>
      <c r="I11" s="16">
        <v>83</v>
      </c>
      <c r="J11" s="16">
        <v>163</v>
      </c>
      <c r="K11" s="16">
        <v>120</v>
      </c>
      <c r="L11" s="16">
        <v>171</v>
      </c>
      <c r="M11" s="16">
        <v>79</v>
      </c>
      <c r="N11" s="16">
        <v>105</v>
      </c>
      <c r="O11" s="16">
        <v>69</v>
      </c>
      <c r="P11" s="34">
        <f>SUM(Doanh_thu[[#This Row],[Thg1]:[Thg12]])</f>
        <v>1242</v>
      </c>
      <c r="Q11" s="19">
        <v>0.1</v>
      </c>
      <c r="R11" s="35">
        <f>IFERROR(Doanh_thu[[#This Row],[Thg1]]/Doanh_thu[[#Totals],[Thg1]],"-")</f>
        <v>0.16826923076923078</v>
      </c>
      <c r="S11" s="35">
        <f>IFERROR(Doanh_thu[[#This Row],[Thg2]]/Doanh_thu[[#Totals],[Thg2]],"-")</f>
        <v>7.4728260869565216E-2</v>
      </c>
      <c r="T11" s="35">
        <f>IFERROR(Doanh_thu[[#This Row],[Thg3]]/Doanh_thu[[#Totals],[Thg3]],"-")</f>
        <v>0.19878048780487806</v>
      </c>
      <c r="U11" s="35">
        <f>IFERROR(Doanh_thu[[#This Row],[Thg4]]/Doanh_thu[[#Totals],[Thg4]],"-")</f>
        <v>1.9639934533551555E-2</v>
      </c>
      <c r="V11" s="35">
        <f>IFERROR(Doanh_thu[[#This Row],[Thg5]]/Doanh_thu[[#Totals],[Thg5]],"-")</f>
        <v>0.14408866995073891</v>
      </c>
      <c r="W11" s="35">
        <f>IFERROR(Doanh_thu[[#This Row],[Thg6]]/Doanh_thu[[#Totals],[Thg6]],"-")</f>
        <v>0.14359861591695502</v>
      </c>
      <c r="X11" s="35">
        <f>IFERROR(Doanh_thu[[#This Row],[Thg7]]/Doanh_thu[[#Totals],[Thg7]],"-")</f>
        <v>0.27303182579564489</v>
      </c>
      <c r="Y11" s="35">
        <f>IFERROR(Doanh_thu[[#This Row],[Thg8]]/Doanh_thu[[#Totals],[Thg8]],"-")</f>
        <v>0.17777777777777778</v>
      </c>
      <c r="Z11" s="35">
        <f>IFERROR(Doanh_thu[[#This Row],[Thg9]]/Doanh_thu[[#Totals],[Thg9]],"-")</f>
        <v>0.22983870967741934</v>
      </c>
      <c r="AA11" s="35">
        <f>IFERROR(Doanh_thu[[#This Row],[Thg9]]/Doanh_thu[[#Totals],[Thg9]],"-")</f>
        <v>0.22983870967741934</v>
      </c>
      <c r="AB11" s="35">
        <f>IFERROR(Doanh_thu[[#This Row],[Thg10]]/Doanh_thu[[#Totals],[Thg10]],"-")</f>
        <v>0.11600587371512482</v>
      </c>
      <c r="AC11" s="35">
        <f>IFERROR(Doanh_thu[[#This Row],[Thg11]]/Doanh_thu[[#Totals],[Thg11]],"-")</f>
        <v>0.14208389715832206</v>
      </c>
      <c r="AD11" s="42">
        <f>IFERROR(Doanh_thu[[#This Row],[Thg12]]/Doanh_thu[[#Totals],[Thg12]],"-")</f>
        <v>6.6155321188878236E-2</v>
      </c>
    </row>
    <row r="12" spans="1:30" s="12" customFormat="1" ht="30" customHeight="1" x14ac:dyDescent="0.25">
      <c r="B12" s="9" t="s">
        <v>10</v>
      </c>
      <c r="C12" s="29"/>
      <c r="D12" s="45">
        <f>SUBTOTAL(109,Doanh_thu[Thg1])</f>
        <v>624</v>
      </c>
      <c r="E12" s="45">
        <f>SUBTOTAL(109,Doanh_thu[Thg2])</f>
        <v>736</v>
      </c>
      <c r="F12" s="45">
        <f>SUBTOTAL(109,Doanh_thu[Thg3])</f>
        <v>820</v>
      </c>
      <c r="G12" s="45">
        <f>SUBTOTAL(109,Doanh_thu[Thg4])</f>
        <v>611</v>
      </c>
      <c r="H12" s="45">
        <f>SUBTOTAL(109,Doanh_thu[Thg5])</f>
        <v>812</v>
      </c>
      <c r="I12" s="45">
        <f>SUBTOTAL(109,Doanh_thu[Thg6])</f>
        <v>578</v>
      </c>
      <c r="J12" s="45">
        <f>SUBTOTAL(109,Doanh_thu[Thg7])</f>
        <v>597</v>
      </c>
      <c r="K12" s="45">
        <f>SUBTOTAL(109,Doanh_thu[Thg8])</f>
        <v>675</v>
      </c>
      <c r="L12" s="45">
        <f>SUBTOTAL(109,Doanh_thu[Thg9])</f>
        <v>744</v>
      </c>
      <c r="M12" s="45">
        <f>SUBTOTAL(109,Doanh_thu[Thg10])</f>
        <v>681</v>
      </c>
      <c r="N12" s="45">
        <f>SUBTOTAL(109,Doanh_thu[Thg11])</f>
        <v>739</v>
      </c>
      <c r="O12" s="45">
        <f>SUBTOTAL(109,Doanh_thu[Thg12])</f>
        <v>1043</v>
      </c>
      <c r="P12" s="45">
        <f>SUBTOTAL(109,Doanh_thu[Hàng năm])</f>
        <v>8660</v>
      </c>
      <c r="Q12" s="31">
        <f>SUBTOTAL(109,Doanh_thu[% Chỉ mục])</f>
        <v>1</v>
      </c>
      <c r="R12" s="31">
        <f>SUBTOTAL(109,Doanh_thu[% Thg1])</f>
        <v>1</v>
      </c>
      <c r="S12" s="31">
        <f>SUBTOTAL(109,Doanh_thu[% Thg2])</f>
        <v>1</v>
      </c>
      <c r="T12" s="31">
        <f>SUBTOTAL(109,Doanh_thu[% Thg3])</f>
        <v>1</v>
      </c>
      <c r="U12" s="31">
        <f>SUBTOTAL(109,Doanh_thu[% Thg4])</f>
        <v>0.99999999999999989</v>
      </c>
      <c r="V12" s="31">
        <f>SUBTOTAL(109,Doanh_thu[% Thg5])</f>
        <v>0.99999999999999989</v>
      </c>
      <c r="W12" s="31">
        <f>SUBTOTAL(109,Doanh_thu[% Thg6])</f>
        <v>1</v>
      </c>
      <c r="X12" s="31">
        <f>SUBTOTAL(109,Doanh_thu[% Thg7])</f>
        <v>1</v>
      </c>
      <c r="Y12" s="31">
        <f>SUBTOTAL(109,Doanh_thu[% Thg8])</f>
        <v>1</v>
      </c>
      <c r="Z12" s="31">
        <f>SUBTOTAL(109,Doanh_thu[% Thg9])</f>
        <v>1</v>
      </c>
      <c r="AA12" s="31">
        <f>SUBTOTAL(109,Doanh_thu[% Thg10])</f>
        <v>1</v>
      </c>
      <c r="AB12" s="31">
        <f>SUBTOTAL(109,Doanh_thu[% Thg11])</f>
        <v>1</v>
      </c>
      <c r="AC12" s="31">
        <f>SUBTOTAL(109,Doanh_thu[% Thg12])</f>
        <v>1</v>
      </c>
      <c r="AD12" s="43">
        <f>SUBTOTAL(109,Doanh_thu[% Năm])</f>
        <v>0.99999999999999989</v>
      </c>
    </row>
  </sheetData>
  <dataValidations count="18">
    <dataValidation type="list" errorStyle="warning" allowBlank="1" showInputMessage="1" showErrorMessage="1" error="Chọn tháng từ danh sách thả xuống. Chọn HỦY BỎ, rồi nhấn ALT+MŨI TÊN XUỐNG. Nhấn ENTER để chọn tháng" prompt="Chọn tháng trong ô này. Nhấn ALT+MŨI TÊN XUỐNG để mở danh sách thả xuống, rồi nhấn ENTER để chọn tháng" sqref="AC2" xr:uid="{00000000-0002-0000-0000-000000000000}">
      <formula1>"THG1, THG2, THG3, THG4, THG5, THG6, THG7, THG8, THG9, THG10, THG11, THG12"</formula1>
    </dataValidation>
    <dataValidation errorStyle="information" allowBlank="1" showInputMessage="1" errorTitle="Năm Không xác định" error="Vui lòng chọn năm từ danh sách thả xuống. Để thêm hoặc loại bỏ một năm khỏi danh sách, trên tab Dữ liệu, trong nhóm Công cụ Dữ liệu, hãy bấm Xác thực Dữ liệu." prompt="Nhập năm vào ô này" sqref="AD2" xr:uid="{00000000-0002-0000-0000-000001000000}"/>
    <dataValidation allowBlank="1" showInputMessage="1" showErrorMessage="1" prompt="Chọn tháng bắt đầu năm tài chính ở ô AC2 và nhập năm vào ô AD2 bên phải nhãn này" sqref="AB2" xr:uid="{00000000-0002-0000-0000-000002000000}"/>
    <dataValidation allowBlank="1" showInputMessage="1" showErrorMessage="1" prompt="Doanh thu hàng năm được tự động tính toán trong cột này" sqref="P3" xr:uid="{00000000-0002-0000-0000-000003000000}"/>
    <dataValidation allowBlank="1" showInputMessage="1" showErrorMessage="1" prompt="Nhập tiêu đề cho giai đoạn dự đoán mà theo đó tổng doanh số được tính toán" sqref="B1" xr:uid="{00000000-0002-0000-0000-000004000000}"/>
    <dataValidation allowBlank="1" showInputMessage="1" showErrorMessage="1" prompt="Tiêu đề dự đoán nằm trong ô này. Nhập các giá trị vào bảng Doanh thu dưới đây để tính toán tổng doanh số" sqref="B2" xr:uid="{00000000-0002-0000-0000-000005000000}"/>
    <dataValidation allowBlank="1" showInputMessage="1" showErrorMessage="1" prompt="Nhập tên công ty vào ô này" sqref="AD1" xr:uid="{00000000-0002-0000-0000-000006000000}"/>
    <dataValidation allowBlank="1" showInputMessage="1" showErrorMessage="1" prompt="Ngày trong hàng này được tự động cập nhật dựa trên tháng bắt đầu của năm tài chính. Để thay đổi tháng bắt đầu, hãy sửa đổi ô AC2" sqref="D3" xr:uid="{00000000-0002-0000-0000-000007000000}"/>
    <dataValidation allowBlank="1" showInputMessage="1" showErrorMessage="1" prompt="Nhập phần trăm chỉ mục vào cột này" sqref="Q4" xr:uid="{00000000-0002-0000-0000-000008000000}"/>
    <dataValidation allowBlank="1" showInputMessage="1" showErrorMessage="1" prompt="Trang tính này tính toán tổng doanh số cho từng tháng, từng năm và tổng doanh số hàng năm từ các nguồn khác nhau. Chọn tháng bắt đầu năm tài chính trong ô AC2 và năm trong ô AD2" sqref="A2 A4:A11" xr:uid="{00000000-0002-0000-0000-000009000000}"/>
    <dataValidation allowBlank="1" showInputMessage="1" showErrorMessage="1" prompt="Trang tính này tính toán tổng doanh số cho từng tháng, từng năm và tổng doanh số hàng năm từ các nguồn khác nhau. Nhập tháng bắt đầu năm tài chính vào ô AC2 &amp; năm vào ô AD2" sqref="A1" xr:uid="{00000000-0002-0000-0000-00000A000000}"/>
    <dataValidation allowBlank="1" showInputMessage="1" showErrorMessage="1" prompt="Tháng được cập nhật tự động" sqref="E3:O3" xr:uid="{00000000-0002-0000-0000-00000B000000}"/>
    <dataValidation allowBlank="1" showInputMessage="1" showErrorMessage="1" prompt="Tự động tính toán tỷ lệ doanh số từ các nguồn khác nhau so với tổng doanh số trong cột này cho tháng trong ô này" sqref="R3:AC3" xr:uid="{00000000-0002-0000-0000-00000C000000}"/>
    <dataValidation allowBlank="1" showInputMessage="1" showErrorMessage="1" prompt="Tự động tính toán tỷ lệ doanh số từ các nguồn khác nhau so với tổng doanh số cho năm trong cột này" sqref="AD3" xr:uid="{00000000-0002-0000-0000-00000D000000}"/>
    <dataValidation allowBlank="1" showInputMessage="1" showErrorMessage="1" prompt="Nhập doanh thu được tạo ra bởi doanh số vào cột này" sqref="B4" xr:uid="{00000000-0002-0000-0000-00000E000000}"/>
    <dataValidation allowBlank="1" showInputMessage="1" showErrorMessage="1" prompt="Biểu đồ xu hướng về doanh thu theo thời gian nằm trong cột này" sqref="C4" xr:uid="{00000000-0002-0000-0000-00000F000000}"/>
    <dataValidation allowBlank="1" showInputMessage="1" showErrorMessage="1" prompt="Nhập doanh thu cho các nguồn được liệt kê trong cột B vào cột này" sqref="D4:O4" xr:uid="{00000000-0002-0000-0000-000010000000}"/>
    <dataValidation allowBlank="1" showInputMessage="1" showErrorMessage="1" prompt="Phần trăm chỉ mục nằm trong cột này" sqref="Q3" xr:uid="{00000000-0002-0000-0000-000011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AA3" formula="1"/>
  </ignoredErrors>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1000000}">
          <x14:colorSeries theme="3"/>
          <x14:colorNegative theme="5"/>
          <x14:colorAxis rgb="FF000000"/>
          <x14:colorMarkers theme="4" tint="-0.499984740745262"/>
          <x14:colorFirst theme="4" tint="0.39997558519241921"/>
          <x14:colorLast theme="4" tint="0.39997558519241921"/>
          <x14:colorHigh theme="1"/>
          <x14:colorLow theme="3"/>
          <x14:sparklines>
            <x14:sparkline>
              <xm:f>'Doanh thu (Doanh số)'!D12:O12</xm:f>
              <xm:sqref>C12</xm:sqref>
            </x14:sparkline>
          </x14:sparklines>
        </x14:sparklineGroup>
        <x14:sparklineGroup lineWeight="1" displayEmptyCellsAs="gap" high="1" low="1" xr2:uid="{00000000-0003-0000-0000-000000000000}">
          <x14:colorSeries theme="3"/>
          <x14:colorNegative theme="5"/>
          <x14:colorAxis rgb="FF000000"/>
          <x14:colorMarkers theme="4" tint="-0.499984740745262"/>
          <x14:colorFirst theme="4" tint="0.39997558519241921"/>
          <x14:colorLast theme="4" tint="0.39997558519241921"/>
          <x14:colorHigh theme="1"/>
          <x14:colorLow theme="3"/>
          <x14:sparklines>
            <x14:sparkline>
              <xm:f>'Doanh thu (Doanh số)'!$D$5:$O$5</xm:f>
              <xm:sqref>C5</xm:sqref>
            </x14:sparkline>
            <x14:sparkline>
              <xm:f>'Doanh thu (Doanh số)'!$D$6:$O$6</xm:f>
              <xm:sqref>C6</xm:sqref>
            </x14:sparkline>
            <x14:sparkline>
              <xm:f>'Doanh thu (Doanh số)'!$D$7:$O$7</xm:f>
              <xm:sqref>C7</xm:sqref>
            </x14:sparkline>
            <x14:sparkline>
              <xm:f>'Doanh thu (Doanh số)'!$D$8:$O$8</xm:f>
              <xm:sqref>C8</xm:sqref>
            </x14:sparkline>
            <x14:sparkline>
              <xm:f>'Doanh thu (Doanh số)'!$D$9:$O$9</xm:f>
              <xm:sqref>C9</xm:sqref>
            </x14:sparkline>
            <x14:sparkline>
              <xm:f>'Doanh thu (Doanh số)'!$D$10:$O$10</xm:f>
              <xm:sqref>C10</xm:sqref>
            </x14:sparkline>
            <x14:sparkline>
              <xm:f>'Doanh thu (Doanh số)'!$D$11:$O$11</xm:f>
              <xm:sqref>C11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D14"/>
  <sheetViews>
    <sheetView showGridLines="0" zoomScaleNormal="100" workbookViewId="0">
      <pane ySplit="3" topLeftCell="A4" activePane="bottomLeft" state="frozen"/>
      <selection activeCell="G15" sqref="G15"/>
      <selection pane="bottomLeft"/>
    </sheetView>
  </sheetViews>
  <sheetFormatPr defaultRowHeight="30" customHeight="1" x14ac:dyDescent="0.25"/>
  <cols>
    <col min="1" max="1" width="2.7109375" customWidth="1"/>
    <col min="2" max="2" width="26.28515625" customWidth="1"/>
    <col min="3" max="3" width="13.7109375" customWidth="1"/>
    <col min="4" max="15" width="11.28515625" customWidth="1"/>
    <col min="16" max="17" width="12.7109375" customWidth="1"/>
    <col min="18" max="26" width="9.42578125" bestFit="1" customWidth="1"/>
    <col min="27" max="27" width="10.5703125" bestFit="1" customWidth="1"/>
    <col min="28" max="28" width="10.140625" customWidth="1"/>
    <col min="29" max="29" width="10.5703125" bestFit="1" customWidth="1"/>
    <col min="30" max="30" width="10" customWidth="1"/>
    <col min="31" max="31" width="2.7109375" customWidth="1"/>
  </cols>
  <sheetData>
    <row r="1" spans="1:30" ht="35.1" customHeight="1" x14ac:dyDescent="0.25">
      <c r="A1" s="6"/>
      <c r="B1" s="23" t="str">
        <f>Tiêu_đề_Giai_đoạn_Dự_đoán</f>
        <v>Mười hai Tháng</v>
      </c>
      <c r="C1" s="12"/>
      <c r="J1" s="8"/>
      <c r="Q1" s="7"/>
      <c r="R1" s="7"/>
      <c r="S1" s="7"/>
      <c r="T1" s="7"/>
      <c r="U1" s="7"/>
      <c r="V1" s="7"/>
      <c r="W1" s="7"/>
      <c r="X1" s="7"/>
      <c r="Y1" s="7"/>
      <c r="Z1" s="7"/>
      <c r="AA1" s="7"/>
      <c r="AB1" s="7"/>
      <c r="AC1" s="7"/>
      <c r="AD1" s="20" t="str">
        <f>Tên_Công_ty</f>
        <v>Tên Công ty</v>
      </c>
    </row>
    <row r="2" spans="1:30" ht="60" customHeight="1" x14ac:dyDescent="0.25">
      <c r="B2" s="36" t="str">
        <f>Tiêu_đề_Wksht</f>
        <v>DỰ ĐOÁN LỢI NHUẬN &amp; TỔN THẤT</v>
      </c>
      <c r="E2" s="3"/>
      <c r="G2" s="3"/>
      <c r="K2" s="3"/>
      <c r="L2" s="3"/>
      <c r="M2" s="3"/>
      <c r="N2" s="3"/>
      <c r="O2" s="3"/>
      <c r="X2" s="5"/>
      <c r="Y2" s="5"/>
      <c r="Z2" s="5"/>
      <c r="AA2" s="5"/>
      <c r="AB2" s="21" t="s">
        <v>55</v>
      </c>
      <c r="AC2" s="21" t="str">
        <f>FYMonthStart</f>
        <v>THG1</v>
      </c>
      <c r="AD2" s="21">
        <f ca="1">FYStartYear</f>
        <v>2017</v>
      </c>
    </row>
    <row r="3" spans="1:30" ht="20.100000000000001" customHeight="1" x14ac:dyDescent="0.25">
      <c r="D3" s="22" t="str">
        <f ca="1">UPPER(TEXT(DATE(FYStartYear,FYMonthNo,1),"yy mmm"))</f>
        <v>17 THG1</v>
      </c>
      <c r="E3" s="22" t="str">
        <f ca="1">UPPER(TEXT(DATE(FYStartYear,FYMonthNo+1,1),"yy mmm"))</f>
        <v>17 THG2</v>
      </c>
      <c r="F3" s="22" t="str">
        <f ca="1">UPPER(TEXT(DATE(FYStartYear,FYMonthNo+2,1),"yy mmm"))</f>
        <v>17 THG3</v>
      </c>
      <c r="G3" s="22" t="str">
        <f ca="1">UPPER(TEXT(DATE(FYStartYear,FYMonthNo+3,1),"yy mmm"))</f>
        <v>17 THG4</v>
      </c>
      <c r="H3" s="22" t="str">
        <f ca="1">UPPER(TEXT(DATE(FYStartYear,FYMonthNo+4,1),"yy mmm"))</f>
        <v>17 THG5</v>
      </c>
      <c r="I3" s="22" t="str">
        <f ca="1">UPPER(TEXT(DATE(FYStartYear,FYMonthNo+5,1),"yy mmm"))</f>
        <v>17 THG6</v>
      </c>
      <c r="J3" s="22" t="str">
        <f ca="1">UPPER(TEXT(DATE(FYStartYear,FYMonthNo+6,1),"yy mmm"))</f>
        <v>17 THG7</v>
      </c>
      <c r="K3" s="22" t="str">
        <f ca="1">UPPER(TEXT(DATE(FYStartYear,FYMonthNo+7,1),"yy mmm"))</f>
        <v>17 THG8</v>
      </c>
      <c r="L3" s="22" t="str">
        <f ca="1">UPPER(TEXT(DATE(FYStartYear,FYMonthNo+8,1),"yy mmm"))</f>
        <v>17 THG9</v>
      </c>
      <c r="M3" s="22" t="str">
        <f ca="1">UPPER(TEXT(DATE(FYStartYear,FYMonthNo+9,1),"yy mmm"))</f>
        <v>17 THG10</v>
      </c>
      <c r="N3" s="22" t="str">
        <f ca="1">UPPER(TEXT(DATE(FYStartYear,FYMonthNo+10,1),"yy mmm"))</f>
        <v>17 THG11</v>
      </c>
      <c r="O3" s="22" t="str">
        <f ca="1">UPPER(TEXT(DATE(FYStartYear,FYMonthNo+11,1),"yy mmm"))</f>
        <v>17 THG12</v>
      </c>
      <c r="P3" s="22" t="s">
        <v>24</v>
      </c>
      <c r="Q3" s="22" t="s">
        <v>26</v>
      </c>
      <c r="R3" s="22" t="str">
        <f ca="1">" %" &amp; RIGHT(D3,5)</f>
        <v xml:space="preserve"> % THG1</v>
      </c>
      <c r="S3" s="22" t="str">
        <f t="shared" ref="S3:Z3" ca="1" si="0">" %" &amp; RIGHT(E3,5)</f>
        <v xml:space="preserve"> % THG2</v>
      </c>
      <c r="T3" s="22" t="str">
        <f t="shared" ca="1" si="0"/>
        <v xml:space="preserve"> % THG3</v>
      </c>
      <c r="U3" s="22" t="str">
        <f t="shared" ca="1" si="0"/>
        <v xml:space="preserve"> % THG4</v>
      </c>
      <c r="V3" s="22" t="str">
        <f t="shared" ca="1" si="0"/>
        <v xml:space="preserve"> % THG5</v>
      </c>
      <c r="W3" s="22" t="str">
        <f t="shared" ca="1" si="0"/>
        <v xml:space="preserve"> % THG6</v>
      </c>
      <c r="X3" s="22" t="str">
        <f t="shared" ca="1" si="0"/>
        <v xml:space="preserve"> % THG7</v>
      </c>
      <c r="Y3" s="22" t="str">
        <f t="shared" ca="1" si="0"/>
        <v xml:space="preserve"> % THG8</v>
      </c>
      <c r="Z3" s="22" t="str">
        <f t="shared" ca="1" si="0"/>
        <v xml:space="preserve"> % THG9</v>
      </c>
      <c r="AA3" s="22" t="str">
        <f ca="1">" %" &amp; RIGHT(M3,6)</f>
        <v xml:space="preserve"> % THG10</v>
      </c>
      <c r="AB3" s="22" t="str">
        <f t="shared" ref="AB3:AC3" ca="1" si="1">" %" &amp; RIGHT(N3,6)</f>
        <v xml:space="preserve"> % THG11</v>
      </c>
      <c r="AC3" s="22" t="str">
        <f t="shared" ca="1" si="1"/>
        <v xml:space="preserve"> % THG12</v>
      </c>
      <c r="AD3" s="22" t="s">
        <v>43</v>
      </c>
    </row>
    <row r="4" spans="1:30" ht="30" customHeight="1" x14ac:dyDescent="0.25">
      <c r="B4" s="32" t="s">
        <v>45</v>
      </c>
      <c r="C4" s="32" t="s">
        <v>11</v>
      </c>
      <c r="D4" s="24" t="s">
        <v>12</v>
      </c>
      <c r="E4" s="24" t="s">
        <v>13</v>
      </c>
      <c r="F4" s="24" t="s">
        <v>14</v>
      </c>
      <c r="G4" s="24" t="s">
        <v>15</v>
      </c>
      <c r="H4" s="24" t="s">
        <v>16</v>
      </c>
      <c r="I4" s="24" t="s">
        <v>17</v>
      </c>
      <c r="J4" s="24" t="s">
        <v>18</v>
      </c>
      <c r="K4" s="24" t="s">
        <v>19</v>
      </c>
      <c r="L4" s="24" t="s">
        <v>20</v>
      </c>
      <c r="M4" s="24" t="s">
        <v>21</v>
      </c>
      <c r="N4" s="24" t="s">
        <v>22</v>
      </c>
      <c r="O4" s="24" t="s">
        <v>23</v>
      </c>
      <c r="P4" s="24" t="s">
        <v>25</v>
      </c>
      <c r="Q4" s="25" t="s">
        <v>27</v>
      </c>
      <c r="R4" s="25" t="s">
        <v>28</v>
      </c>
      <c r="S4" s="25" t="s">
        <v>29</v>
      </c>
      <c r="T4" s="25" t="s">
        <v>30</v>
      </c>
      <c r="U4" s="25" t="s">
        <v>31</v>
      </c>
      <c r="V4" s="25" t="s">
        <v>32</v>
      </c>
      <c r="W4" s="25" t="s">
        <v>33</v>
      </c>
      <c r="X4" s="25" t="s">
        <v>34</v>
      </c>
      <c r="Y4" s="25" t="s">
        <v>35</v>
      </c>
      <c r="Z4" s="25" t="s">
        <v>36</v>
      </c>
      <c r="AA4" s="25" t="s">
        <v>37</v>
      </c>
      <c r="AB4" s="25" t="s">
        <v>39</v>
      </c>
      <c r="AC4" s="25" t="s">
        <v>41</v>
      </c>
      <c r="AD4" s="24" t="s">
        <v>44</v>
      </c>
    </row>
    <row r="5" spans="1:30" ht="30" customHeight="1" x14ac:dyDescent="0.25">
      <c r="B5" s="26" t="s">
        <v>46</v>
      </c>
      <c r="C5" s="37"/>
      <c r="D5" s="27">
        <v>61</v>
      </c>
      <c r="E5" s="27">
        <v>78</v>
      </c>
      <c r="F5" s="27">
        <v>65</v>
      </c>
      <c r="G5" s="27">
        <v>29</v>
      </c>
      <c r="H5" s="27">
        <v>125</v>
      </c>
      <c r="I5" s="27">
        <v>49</v>
      </c>
      <c r="J5" s="27">
        <v>14</v>
      </c>
      <c r="K5" s="27">
        <v>26</v>
      </c>
      <c r="L5" s="27">
        <v>14</v>
      </c>
      <c r="M5" s="27">
        <v>129</v>
      </c>
      <c r="N5" s="27">
        <v>60</v>
      </c>
      <c r="O5" s="27">
        <v>65</v>
      </c>
      <c r="P5" s="62">
        <f>SUM(Giá_vốn_Hàng_bán[[#This Row],[Thg1]:[Thg12]])</f>
        <v>715</v>
      </c>
      <c r="Q5" s="28">
        <v>0.12</v>
      </c>
      <c r="R5" s="38">
        <f>IFERROR(Giá_vốn_Hàng_bán[[#This Row],[Thg1]]/Giá_vốn_Hàng_bán[[#Totals],[Thg1]],"-")</f>
        <v>0.23018867924528302</v>
      </c>
      <c r="S5" s="38">
        <f>IFERROR(Giá_vốn_Hàng_bán[[#This Row],[Thg2]]/Giá_vốn_Hàng_bán[[#Totals],[Thg2]],"-")</f>
        <v>0.21910112359550563</v>
      </c>
      <c r="T5" s="38">
        <f>IFERROR(Giá_vốn_Hàng_bán[[#This Row],[Thg3]]/Giá_vốn_Hàng_bán[[#Totals],[Thg3]],"-")</f>
        <v>0.20634920634920634</v>
      </c>
      <c r="U5" s="38">
        <f>IFERROR(Giá_vốn_Hàng_bán[[#This Row],[Thg4]]/Giá_vốn_Hàng_bán[[#Totals],[Thg4]],"-")</f>
        <v>0.12033195020746888</v>
      </c>
      <c r="V5" s="38">
        <f>IFERROR(Giá_vốn_Hàng_bán[[#This Row],[Thg5]]/Giá_vốn_Hàng_bán[[#Totals],[Thg5]],"-")</f>
        <v>0.31328320802005011</v>
      </c>
      <c r="W5" s="38">
        <f>IFERROR(Giá_vốn_Hàng_bán[[#This Row],[Thg6]]/Giá_vốn_Hàng_bán[[#Totals],[Thg6]],"-")</f>
        <v>0.15705128205128205</v>
      </c>
      <c r="X5" s="38">
        <f>IFERROR(Giá_vốn_Hàng_bán[[#This Row],[Thg7]]/Giá_vốn_Hàng_bán[[#Totals],[Thg7]],"-")</f>
        <v>4.6822742474916385E-2</v>
      </c>
      <c r="Y5" s="38">
        <f>IFERROR(Giá_vốn_Hàng_bán[[#This Row],[Thg8]]/Giá_vốn_Hàng_bán[[#Totals],[Thg8]],"-")</f>
        <v>0.11504424778761062</v>
      </c>
      <c r="Z5" s="38">
        <f>IFERROR(Giá_vốn_Hàng_bán[[#This Row],[Thg9]]/Giá_vốn_Hàng_bán[[#Totals],[Thg9]],"-")</f>
        <v>3.3816425120772944E-2</v>
      </c>
      <c r="AA5" s="38">
        <f>IFERROR(Giá_vốn_Hàng_bán[[#This Row],[Thg10]]/Giá_vốn_Hàng_bán[[#Totals],[Thg10]],"-")</f>
        <v>0.47080291970802918</v>
      </c>
      <c r="AB5" s="38">
        <f>IFERROR(Giá_vốn_Hàng_bán[[#This Row],[Thg11]]/Giá_vốn_Hàng_bán[[#Totals],[Thg11]],"-")</f>
        <v>0.22727272727272727</v>
      </c>
      <c r="AC5" s="38">
        <f>IFERROR(Giá_vốn_Hàng_bán[[#This Row],[Thg12]]/Giá_vốn_Hàng_bán[[#Totals],[Thg12]],"-")</f>
        <v>0.14348785871964681</v>
      </c>
      <c r="AD5" s="38">
        <f>IFERROR(Giá_vốn_Hàng_bán[[#This Row],[Hàng năm]]/Giá_vốn_Hàng_bán[[#Totals],[Hàng năm]],"-")</f>
        <v>0.18727082242011525</v>
      </c>
    </row>
    <row r="6" spans="1:30" ht="30" customHeight="1" x14ac:dyDescent="0.25">
      <c r="B6" s="26" t="s">
        <v>47</v>
      </c>
      <c r="C6" s="37"/>
      <c r="D6" s="27">
        <v>7</v>
      </c>
      <c r="E6" s="27">
        <v>5</v>
      </c>
      <c r="F6" s="27">
        <v>69</v>
      </c>
      <c r="G6" s="27">
        <v>32</v>
      </c>
      <c r="H6" s="27">
        <v>11</v>
      </c>
      <c r="I6" s="27">
        <v>30</v>
      </c>
      <c r="J6" s="27">
        <v>27</v>
      </c>
      <c r="K6" s="27">
        <v>32</v>
      </c>
      <c r="L6" s="27">
        <v>10</v>
      </c>
      <c r="M6" s="27">
        <v>41</v>
      </c>
      <c r="N6" s="27">
        <v>13</v>
      </c>
      <c r="O6" s="27">
        <v>105</v>
      </c>
      <c r="P6" s="62">
        <f>SUM(Giá_vốn_Hàng_bán[[#This Row],[Thg1]:[Thg12]])</f>
        <v>382</v>
      </c>
      <c r="Q6" s="28">
        <v>0.18</v>
      </c>
      <c r="R6" s="38">
        <f>IFERROR(Giá_vốn_Hàng_bán[[#This Row],[Thg1]]/Giá_vốn_Hàng_bán[[#Totals],[Thg1]],"-")</f>
        <v>2.6415094339622643E-2</v>
      </c>
      <c r="S6" s="38">
        <f>IFERROR(Giá_vốn_Hàng_bán[[#This Row],[Thg2]]/Giá_vốn_Hàng_bán[[#Totals],[Thg2]],"-")</f>
        <v>1.4044943820224719E-2</v>
      </c>
      <c r="T6" s="38">
        <f>IFERROR(Giá_vốn_Hàng_bán[[#This Row],[Thg3]]/Giá_vốn_Hàng_bán[[#Totals],[Thg3]],"-")</f>
        <v>0.21904761904761905</v>
      </c>
      <c r="U6" s="38">
        <f>IFERROR(Giá_vốn_Hàng_bán[[#This Row],[Thg4]]/Giá_vốn_Hàng_bán[[#Totals],[Thg4]],"-")</f>
        <v>0.13278008298755187</v>
      </c>
      <c r="V6" s="38">
        <f>IFERROR(Giá_vốn_Hàng_bán[[#This Row],[Thg5]]/Giá_vốn_Hàng_bán[[#Totals],[Thg5]],"-")</f>
        <v>2.7568922305764409E-2</v>
      </c>
      <c r="W6" s="38">
        <f>IFERROR(Giá_vốn_Hàng_bán[[#This Row],[Thg6]]/Giá_vốn_Hàng_bán[[#Totals],[Thg6]],"-")</f>
        <v>9.6153846153846159E-2</v>
      </c>
      <c r="X6" s="38">
        <f>IFERROR(Giá_vốn_Hàng_bán[[#This Row],[Thg7]]/Giá_vốn_Hàng_bán[[#Totals],[Thg7]],"-")</f>
        <v>9.0301003344481601E-2</v>
      </c>
      <c r="Y6" s="38">
        <f>IFERROR(Giá_vốn_Hàng_bán[[#This Row],[Thg8]]/Giá_vốn_Hàng_bán[[#Totals],[Thg8]],"-")</f>
        <v>0.1415929203539823</v>
      </c>
      <c r="Z6" s="38">
        <f>IFERROR(Giá_vốn_Hàng_bán[[#This Row],[Thg9]]/Giá_vốn_Hàng_bán[[#Totals],[Thg9]],"-")</f>
        <v>2.4154589371980676E-2</v>
      </c>
      <c r="AA6" s="38">
        <f>IFERROR(Giá_vốn_Hàng_bán[[#This Row],[Thg10]]/Giá_vốn_Hàng_bán[[#Totals],[Thg10]],"-")</f>
        <v>0.14963503649635038</v>
      </c>
      <c r="AB6" s="38">
        <f>IFERROR(Giá_vốn_Hàng_bán[[#This Row],[Thg11]]/Giá_vốn_Hàng_bán[[#Totals],[Thg11]],"-")</f>
        <v>4.924242424242424E-2</v>
      </c>
      <c r="AC6" s="38">
        <f>IFERROR(Giá_vốn_Hàng_bán[[#This Row],[Thg12]]/Giá_vốn_Hàng_bán[[#Totals],[Thg12]],"-")</f>
        <v>0.23178807947019867</v>
      </c>
      <c r="AD6" s="38">
        <f>IFERROR(Giá_vốn_Hàng_bán[[#This Row],[Hàng năm]]/Giá_vốn_Hàng_bán[[#Totals],[Hàng năm]],"-")</f>
        <v>0.1000523834468308</v>
      </c>
    </row>
    <row r="7" spans="1:30" ht="30" customHeight="1" x14ac:dyDescent="0.25">
      <c r="B7" s="26" t="s">
        <v>48</v>
      </c>
      <c r="C7" s="37"/>
      <c r="D7" s="27">
        <v>99</v>
      </c>
      <c r="E7" s="27">
        <v>95</v>
      </c>
      <c r="F7" s="27">
        <v>51</v>
      </c>
      <c r="G7" s="27">
        <v>90</v>
      </c>
      <c r="H7" s="27">
        <v>21</v>
      </c>
      <c r="I7" s="27">
        <v>34</v>
      </c>
      <c r="J7" s="27">
        <v>30</v>
      </c>
      <c r="K7" s="27">
        <v>24</v>
      </c>
      <c r="L7" s="27">
        <v>109</v>
      </c>
      <c r="M7" s="27">
        <v>16</v>
      </c>
      <c r="N7" s="27">
        <v>21</v>
      </c>
      <c r="O7" s="27">
        <v>52</v>
      </c>
      <c r="P7" s="62">
        <f>SUM(Giá_vốn_Hàng_bán[[#This Row],[Thg1]:[Thg12]])</f>
        <v>642</v>
      </c>
      <c r="Q7" s="28">
        <v>0.19</v>
      </c>
      <c r="R7" s="38">
        <f>IFERROR(Giá_vốn_Hàng_bán[[#This Row],[Thg1]]/Giá_vốn_Hàng_bán[[#Totals],[Thg1]],"-")</f>
        <v>0.37358490566037733</v>
      </c>
      <c r="S7" s="38">
        <f>IFERROR(Giá_vốn_Hàng_bán[[#This Row],[Thg2]]/Giá_vốn_Hàng_bán[[#Totals],[Thg2]],"-")</f>
        <v>0.26685393258426965</v>
      </c>
      <c r="T7" s="38">
        <f>IFERROR(Giá_vốn_Hàng_bán[[#This Row],[Thg3]]/Giá_vốn_Hàng_bán[[#Totals],[Thg3]],"-")</f>
        <v>0.16190476190476191</v>
      </c>
      <c r="U7" s="38">
        <f>IFERROR(Giá_vốn_Hàng_bán[[#This Row],[Thg4]]/Giá_vốn_Hàng_bán[[#Totals],[Thg4]],"-")</f>
        <v>0.37344398340248963</v>
      </c>
      <c r="V7" s="38">
        <f>IFERROR(Giá_vốn_Hàng_bán[[#This Row],[Thg5]]/Giá_vốn_Hàng_bán[[#Totals],[Thg5]],"-")</f>
        <v>5.2631578947368418E-2</v>
      </c>
      <c r="W7" s="38">
        <f>IFERROR(Giá_vốn_Hàng_bán[[#This Row],[Thg6]]/Giá_vốn_Hàng_bán[[#Totals],[Thg6]],"-")</f>
        <v>0.10897435897435898</v>
      </c>
      <c r="X7" s="38">
        <f>IFERROR(Giá_vốn_Hàng_bán[[#This Row],[Thg7]]/Giá_vốn_Hàng_bán[[#Totals],[Thg7]],"-")</f>
        <v>0.10033444816053512</v>
      </c>
      <c r="Y7" s="38">
        <f>IFERROR(Giá_vốn_Hàng_bán[[#This Row],[Thg8]]/Giá_vốn_Hàng_bán[[#Totals],[Thg8]],"-")</f>
        <v>0.10619469026548672</v>
      </c>
      <c r="Z7" s="38">
        <f>IFERROR(Giá_vốn_Hàng_bán[[#This Row],[Thg9]]/Giá_vốn_Hàng_bán[[#Totals],[Thg9]],"-")</f>
        <v>0.26328502415458938</v>
      </c>
      <c r="AA7" s="38">
        <f>IFERROR(Giá_vốn_Hàng_bán[[#This Row],[Thg10]]/Giá_vốn_Hàng_bán[[#Totals],[Thg10]],"-")</f>
        <v>5.8394160583941604E-2</v>
      </c>
      <c r="AB7" s="38">
        <f>IFERROR(Giá_vốn_Hàng_bán[[#This Row],[Thg11]]/Giá_vốn_Hàng_bán[[#Totals],[Thg11]],"-")</f>
        <v>7.9545454545454544E-2</v>
      </c>
      <c r="AC7" s="38">
        <f>IFERROR(Giá_vốn_Hàng_bán[[#This Row],[Thg12]]/Giá_vốn_Hàng_bán[[#Totals],[Thg12]],"-")</f>
        <v>0.11479028697571744</v>
      </c>
      <c r="AD7" s="38">
        <f>IFERROR(Giá_vốn_Hàng_bán[[#This Row],[Hàng năm]]/Giá_vốn_Hàng_bán[[#Totals],[Hàng năm]],"-")</f>
        <v>0.16815086432687271</v>
      </c>
    </row>
    <row r="8" spans="1:30" ht="30" customHeight="1" x14ac:dyDescent="0.25">
      <c r="B8" s="26" t="s">
        <v>49</v>
      </c>
      <c r="C8" s="37"/>
      <c r="D8" s="27">
        <v>13</v>
      </c>
      <c r="E8" s="27">
        <v>28</v>
      </c>
      <c r="F8" s="27">
        <v>15</v>
      </c>
      <c r="G8" s="27">
        <v>8</v>
      </c>
      <c r="H8" s="27">
        <v>84</v>
      </c>
      <c r="I8" s="27">
        <v>12</v>
      </c>
      <c r="J8" s="27">
        <v>54</v>
      </c>
      <c r="K8" s="27">
        <v>72</v>
      </c>
      <c r="L8" s="27">
        <v>49</v>
      </c>
      <c r="M8" s="27">
        <v>24</v>
      </c>
      <c r="N8" s="27">
        <v>60</v>
      </c>
      <c r="O8" s="27">
        <v>39</v>
      </c>
      <c r="P8" s="62">
        <f>SUM(Giá_vốn_Hàng_bán[[#This Row],[Thg1]:[Thg12]])</f>
        <v>458</v>
      </c>
      <c r="Q8" s="28">
        <v>0.11</v>
      </c>
      <c r="R8" s="38">
        <f>IFERROR(Giá_vốn_Hàng_bán[[#This Row],[Thg1]]/Giá_vốn_Hàng_bán[[#Totals],[Thg1]],"-")</f>
        <v>4.9056603773584909E-2</v>
      </c>
      <c r="S8" s="38">
        <f>IFERROR(Giá_vốn_Hàng_bán[[#This Row],[Thg2]]/Giá_vốn_Hàng_bán[[#Totals],[Thg2]],"-")</f>
        <v>7.8651685393258425E-2</v>
      </c>
      <c r="T8" s="38">
        <f>IFERROR(Giá_vốn_Hàng_bán[[#This Row],[Thg3]]/Giá_vốn_Hàng_bán[[#Totals],[Thg3]],"-")</f>
        <v>4.7619047619047616E-2</v>
      </c>
      <c r="U8" s="38">
        <f>IFERROR(Giá_vốn_Hàng_bán[[#This Row],[Thg4]]/Giá_vốn_Hàng_bán[[#Totals],[Thg4]],"-")</f>
        <v>3.3195020746887967E-2</v>
      </c>
      <c r="V8" s="38">
        <f>IFERROR(Giá_vốn_Hàng_bán[[#This Row],[Thg5]]/Giá_vốn_Hàng_bán[[#Totals],[Thg5]],"-")</f>
        <v>0.21052631578947367</v>
      </c>
      <c r="W8" s="38">
        <f>IFERROR(Giá_vốn_Hàng_bán[[#This Row],[Thg6]]/Giá_vốn_Hàng_bán[[#Totals],[Thg6]],"-")</f>
        <v>3.8461538461538464E-2</v>
      </c>
      <c r="X8" s="38">
        <f>IFERROR(Giá_vốn_Hàng_bán[[#This Row],[Thg7]]/Giá_vốn_Hàng_bán[[#Totals],[Thg7]],"-")</f>
        <v>0.1806020066889632</v>
      </c>
      <c r="Y8" s="38">
        <f>IFERROR(Giá_vốn_Hàng_bán[[#This Row],[Thg8]]/Giá_vốn_Hàng_bán[[#Totals],[Thg8]],"-")</f>
        <v>0.31858407079646017</v>
      </c>
      <c r="Z8" s="38">
        <f>IFERROR(Giá_vốn_Hàng_bán[[#This Row],[Thg9]]/Giá_vốn_Hàng_bán[[#Totals],[Thg9]],"-")</f>
        <v>0.11835748792270531</v>
      </c>
      <c r="AA8" s="38">
        <f>IFERROR(Giá_vốn_Hàng_bán[[#This Row],[Thg10]]/Giá_vốn_Hàng_bán[[#Totals],[Thg10]],"-")</f>
        <v>8.7591240875912413E-2</v>
      </c>
      <c r="AB8" s="38">
        <f>IFERROR(Giá_vốn_Hàng_bán[[#This Row],[Thg11]]/Giá_vốn_Hàng_bán[[#Totals],[Thg11]],"-")</f>
        <v>0.22727272727272727</v>
      </c>
      <c r="AC8" s="38">
        <f>IFERROR(Giá_vốn_Hàng_bán[[#This Row],[Thg12]]/Giá_vốn_Hàng_bán[[#Totals],[Thg12]],"-")</f>
        <v>8.6092715231788075E-2</v>
      </c>
      <c r="AD8" s="38">
        <f>IFERROR(Giá_vốn_Hàng_bán[[#This Row],[Hàng năm]]/Giá_vốn_Hàng_bán[[#Totals],[Hàng năm]],"-")</f>
        <v>0.11995809324253535</v>
      </c>
    </row>
    <row r="9" spans="1:30" ht="30" customHeight="1" x14ac:dyDescent="0.25">
      <c r="B9" s="26" t="s">
        <v>50</v>
      </c>
      <c r="C9" s="37"/>
      <c r="D9" s="27">
        <v>34</v>
      </c>
      <c r="E9" s="27">
        <v>78</v>
      </c>
      <c r="F9" s="27">
        <v>43</v>
      </c>
      <c r="G9" s="27">
        <v>30</v>
      </c>
      <c r="H9" s="27">
        <v>77</v>
      </c>
      <c r="I9" s="27">
        <v>54</v>
      </c>
      <c r="J9" s="27">
        <v>26</v>
      </c>
      <c r="K9" s="27">
        <v>13</v>
      </c>
      <c r="L9" s="27">
        <v>56</v>
      </c>
      <c r="M9" s="27">
        <v>30</v>
      </c>
      <c r="N9" s="27">
        <v>40</v>
      </c>
      <c r="O9" s="27">
        <v>63</v>
      </c>
      <c r="P9" s="62">
        <f>SUM(Giá_vốn_Hàng_bán[[#This Row],[Thg1]:[Thg12]])</f>
        <v>544</v>
      </c>
      <c r="Q9" s="28">
        <v>0.2</v>
      </c>
      <c r="R9" s="38">
        <f>IFERROR(Giá_vốn_Hàng_bán[[#This Row],[Thg1]]/Giá_vốn_Hàng_bán[[#Totals],[Thg1]],"-")</f>
        <v>0.12830188679245283</v>
      </c>
      <c r="S9" s="38">
        <f>IFERROR(Giá_vốn_Hàng_bán[[#This Row],[Thg2]]/Giá_vốn_Hàng_bán[[#Totals],[Thg2]],"-")</f>
        <v>0.21910112359550563</v>
      </c>
      <c r="T9" s="38">
        <f>IFERROR(Giá_vốn_Hàng_bán[[#This Row],[Thg3]]/Giá_vốn_Hàng_bán[[#Totals],[Thg3]],"-")</f>
        <v>0.13650793650793649</v>
      </c>
      <c r="U9" s="38">
        <f>IFERROR(Giá_vốn_Hàng_bán[[#This Row],[Thg4]]/Giá_vốn_Hàng_bán[[#Totals],[Thg4]],"-")</f>
        <v>0.12448132780082988</v>
      </c>
      <c r="V9" s="38">
        <f>IFERROR(Giá_vốn_Hàng_bán[[#This Row],[Thg5]]/Giá_vốn_Hàng_bán[[#Totals],[Thg5]],"-")</f>
        <v>0.19298245614035087</v>
      </c>
      <c r="W9" s="38">
        <f>IFERROR(Giá_vốn_Hàng_bán[[#This Row],[Thg6]]/Giá_vốn_Hàng_bán[[#Totals],[Thg6]],"-")</f>
        <v>0.17307692307692307</v>
      </c>
      <c r="X9" s="38">
        <f>IFERROR(Giá_vốn_Hàng_bán[[#This Row],[Thg7]]/Giá_vốn_Hàng_bán[[#Totals],[Thg7]],"-")</f>
        <v>8.6956521739130432E-2</v>
      </c>
      <c r="Y9" s="38">
        <f>IFERROR(Giá_vốn_Hàng_bán[[#This Row],[Thg8]]/Giá_vốn_Hàng_bán[[#Totals],[Thg8]],"-")</f>
        <v>5.7522123893805309E-2</v>
      </c>
      <c r="Z9" s="38">
        <f>IFERROR(Giá_vốn_Hàng_bán[[#This Row],[Thg9]]/Giá_vốn_Hàng_bán[[#Totals],[Thg9]],"-")</f>
        <v>0.13526570048309178</v>
      </c>
      <c r="AA9" s="38">
        <f>IFERROR(Giá_vốn_Hàng_bán[[#This Row],[Thg10]]/Giá_vốn_Hàng_bán[[#Totals],[Thg10]],"-")</f>
        <v>0.10948905109489052</v>
      </c>
      <c r="AB9" s="38">
        <f>IFERROR(Giá_vốn_Hàng_bán[[#This Row],[Thg11]]/Giá_vốn_Hàng_bán[[#Totals],[Thg11]],"-")</f>
        <v>0.15151515151515152</v>
      </c>
      <c r="AC9" s="38">
        <f>IFERROR(Giá_vốn_Hàng_bán[[#This Row],[Thg12]]/Giá_vốn_Hàng_bán[[#Totals],[Thg12]],"-")</f>
        <v>0.13907284768211919</v>
      </c>
      <c r="AD9" s="38">
        <f>IFERROR(Giá_vốn_Hàng_bán[[#This Row],[Hàng năm]]/Giá_vốn_Hàng_bán[[#Totals],[Hàng năm]],"-")</f>
        <v>0.14248297537978</v>
      </c>
    </row>
    <row r="10" spans="1:30" ht="30" customHeight="1" x14ac:dyDescent="0.25">
      <c r="B10" s="26" t="s">
        <v>51</v>
      </c>
      <c r="C10" s="37"/>
      <c r="D10" s="27">
        <v>33</v>
      </c>
      <c r="E10" s="27">
        <v>61</v>
      </c>
      <c r="F10" s="27">
        <v>42</v>
      </c>
      <c r="G10" s="27">
        <v>43</v>
      </c>
      <c r="H10" s="27">
        <v>19</v>
      </c>
      <c r="I10" s="27">
        <v>94</v>
      </c>
      <c r="J10" s="27">
        <v>46</v>
      </c>
      <c r="K10" s="27">
        <v>15</v>
      </c>
      <c r="L10" s="27">
        <v>55</v>
      </c>
      <c r="M10" s="27">
        <v>15</v>
      </c>
      <c r="N10" s="27">
        <v>37</v>
      </c>
      <c r="O10" s="27">
        <v>89</v>
      </c>
      <c r="P10" s="62">
        <f>SUM(Giá_vốn_Hàng_bán[[#This Row],[Thg1]:[Thg12]])</f>
        <v>549</v>
      </c>
      <c r="Q10" s="28">
        <v>0.1</v>
      </c>
      <c r="R10" s="38">
        <f>IFERROR(Giá_vốn_Hàng_bán[[#This Row],[Thg1]]/Giá_vốn_Hàng_bán[[#Totals],[Thg1]],"-")</f>
        <v>0.12452830188679245</v>
      </c>
      <c r="S10" s="38">
        <f>IFERROR(Giá_vốn_Hàng_bán[[#This Row],[Thg2]]/Giá_vốn_Hàng_bán[[#Totals],[Thg2]],"-")</f>
        <v>0.17134831460674158</v>
      </c>
      <c r="T10" s="38">
        <f>IFERROR(Giá_vốn_Hàng_bán[[#This Row],[Thg3]]/Giá_vốn_Hàng_bán[[#Totals],[Thg3]],"-")</f>
        <v>0.13333333333333333</v>
      </c>
      <c r="U10" s="38">
        <f>IFERROR(Giá_vốn_Hàng_bán[[#This Row],[Thg4]]/Giá_vốn_Hàng_bán[[#Totals],[Thg4]],"-")</f>
        <v>0.17842323651452283</v>
      </c>
      <c r="V10" s="38">
        <f>IFERROR(Giá_vốn_Hàng_bán[[#This Row],[Thg5]]/Giá_vốn_Hàng_bán[[#Totals],[Thg5]],"-")</f>
        <v>4.7619047619047616E-2</v>
      </c>
      <c r="W10" s="38">
        <f>IFERROR(Giá_vốn_Hàng_bán[[#This Row],[Thg6]]/Giá_vốn_Hàng_bán[[#Totals],[Thg6]],"-")</f>
        <v>0.30128205128205127</v>
      </c>
      <c r="X10" s="38">
        <f>IFERROR(Giá_vốn_Hàng_bán[[#This Row],[Thg7]]/Giá_vốn_Hàng_bán[[#Totals],[Thg7]],"-")</f>
        <v>0.15384615384615385</v>
      </c>
      <c r="Y10" s="38">
        <f>IFERROR(Giá_vốn_Hàng_bán[[#This Row],[Thg8]]/Giá_vốn_Hàng_bán[[#Totals],[Thg8]],"-")</f>
        <v>6.637168141592921E-2</v>
      </c>
      <c r="Z10" s="38">
        <f>IFERROR(Giá_vốn_Hàng_bán[[#This Row],[Thg9]]/Giá_vốn_Hàng_bán[[#Totals],[Thg9]],"-")</f>
        <v>0.13285024154589373</v>
      </c>
      <c r="AA10" s="38">
        <f>IFERROR(Giá_vốn_Hàng_bán[[#This Row],[Thg10]]/Giá_vốn_Hàng_bán[[#Totals],[Thg10]],"-")</f>
        <v>5.4744525547445258E-2</v>
      </c>
      <c r="AB10" s="38">
        <f>IFERROR(Giá_vốn_Hàng_bán[[#This Row],[Thg11]]/Giá_vốn_Hàng_bán[[#Totals],[Thg11]],"-")</f>
        <v>0.14015151515151514</v>
      </c>
      <c r="AC10" s="38">
        <f>IFERROR(Giá_vốn_Hàng_bán[[#This Row],[Thg12]]/Giá_vốn_Hàng_bán[[#Totals],[Thg12]],"-")</f>
        <v>0.19646799116997793</v>
      </c>
      <c r="AD10" s="38">
        <f>IFERROR(Giá_vốn_Hàng_bán[[#This Row],[Hàng năm]]/Giá_vốn_Hàng_bán[[#Totals],[Hàng năm]],"-")</f>
        <v>0.14379256155055004</v>
      </c>
    </row>
    <row r="11" spans="1:30" ht="30" customHeight="1" x14ac:dyDescent="0.25">
      <c r="A11" s="2"/>
      <c r="B11" s="26" t="s">
        <v>52</v>
      </c>
      <c r="C11" s="37"/>
      <c r="D11" s="27">
        <v>18</v>
      </c>
      <c r="E11" s="27">
        <v>11</v>
      </c>
      <c r="F11" s="27">
        <v>30</v>
      </c>
      <c r="G11" s="27">
        <v>9</v>
      </c>
      <c r="H11" s="27">
        <v>62</v>
      </c>
      <c r="I11" s="27">
        <v>39</v>
      </c>
      <c r="J11" s="27">
        <v>102</v>
      </c>
      <c r="K11" s="27">
        <v>44</v>
      </c>
      <c r="L11" s="27">
        <v>121</v>
      </c>
      <c r="M11" s="27">
        <v>19</v>
      </c>
      <c r="N11" s="27">
        <v>33</v>
      </c>
      <c r="O11" s="27">
        <v>40</v>
      </c>
      <c r="P11" s="62">
        <f>SUM(Giá_vốn_Hàng_bán[[#This Row],[Thg1]:[Thg12]])</f>
        <v>528</v>
      </c>
      <c r="Q11" s="28">
        <v>0.1</v>
      </c>
      <c r="R11" s="38">
        <f>IFERROR(Giá_vốn_Hàng_bán[[#This Row],[Thg1]]/Giá_vốn_Hàng_bán[[#Totals],[Thg1]],"-")</f>
        <v>6.7924528301886791E-2</v>
      </c>
      <c r="S11" s="38">
        <f>IFERROR(Giá_vốn_Hàng_bán[[#This Row],[Thg2]]/Giá_vốn_Hàng_bán[[#Totals],[Thg2]],"-")</f>
        <v>3.0898876404494381E-2</v>
      </c>
      <c r="T11" s="38">
        <f>IFERROR(Giá_vốn_Hàng_bán[[#This Row],[Thg3]]/Giá_vốn_Hàng_bán[[#Totals],[Thg3]],"-")</f>
        <v>9.5238095238095233E-2</v>
      </c>
      <c r="U11" s="38">
        <f>IFERROR(Giá_vốn_Hàng_bán[[#This Row],[Thg4]]/Giá_vốn_Hàng_bán[[#Totals],[Thg4]],"-")</f>
        <v>3.7344398340248962E-2</v>
      </c>
      <c r="V11" s="38">
        <f>IFERROR(Giá_vốn_Hàng_bán[[#This Row],[Thg5]]/Giá_vốn_Hàng_bán[[#Totals],[Thg5]],"-")</f>
        <v>0.15538847117794485</v>
      </c>
      <c r="W11" s="38">
        <f>IFERROR(Giá_vốn_Hàng_bán[[#This Row],[Thg6]]/Giá_vốn_Hàng_bán[[#Totals],[Thg6]],"-")</f>
        <v>0.125</v>
      </c>
      <c r="X11" s="38">
        <f>IFERROR(Giá_vốn_Hàng_bán[[#This Row],[Thg7]]/Giá_vốn_Hàng_bán[[#Totals],[Thg7]],"-")</f>
        <v>0.34113712374581939</v>
      </c>
      <c r="Y11" s="38">
        <f>IFERROR(Giá_vốn_Hàng_bán[[#This Row],[Thg8]]/Giá_vốn_Hàng_bán[[#Totals],[Thg8]],"-")</f>
        <v>0.19469026548672566</v>
      </c>
      <c r="Z11" s="38">
        <f>IFERROR(Giá_vốn_Hàng_bán[[#This Row],[Thg9]]/Giá_vốn_Hàng_bán[[#Totals],[Thg9]],"-")</f>
        <v>0.2922705314009662</v>
      </c>
      <c r="AA11" s="38">
        <f>IFERROR(Giá_vốn_Hàng_bán[[#This Row],[Thg10]]/Giá_vốn_Hàng_bán[[#Totals],[Thg10]],"-")</f>
        <v>6.9343065693430656E-2</v>
      </c>
      <c r="AB11" s="38">
        <f>IFERROR(Giá_vốn_Hàng_bán[[#This Row],[Thg11]]/Giá_vốn_Hàng_bán[[#Totals],[Thg11]],"-")</f>
        <v>0.125</v>
      </c>
      <c r="AC11" s="38">
        <f>IFERROR(Giá_vốn_Hàng_bán[[#This Row],[Thg12]]/Giá_vốn_Hàng_bán[[#Totals],[Thg12]],"-")</f>
        <v>8.8300220750551883E-2</v>
      </c>
      <c r="AD11" s="38">
        <f>IFERROR(Giá_vốn_Hàng_bán[[#This Row],[Hàng năm]]/Giá_vốn_Hàng_bán[[#Totals],[Hàng năm]],"-")</f>
        <v>0.13829229963331588</v>
      </c>
    </row>
    <row r="12" spans="1:30" s="12" customFormat="1" ht="30" customHeight="1" x14ac:dyDescent="0.25">
      <c r="B12" s="9" t="s">
        <v>53</v>
      </c>
      <c r="C12" s="29"/>
      <c r="D12" s="45">
        <f>SUBTOTAL(109,Giá_vốn_Hàng_bán[Thg1])</f>
        <v>265</v>
      </c>
      <c r="E12" s="45">
        <f>SUBTOTAL(109,Giá_vốn_Hàng_bán[Thg2])</f>
        <v>356</v>
      </c>
      <c r="F12" s="45">
        <f>SUBTOTAL(109,Giá_vốn_Hàng_bán[Thg3])</f>
        <v>315</v>
      </c>
      <c r="G12" s="45">
        <f>SUBTOTAL(109,Giá_vốn_Hàng_bán[Thg4])</f>
        <v>241</v>
      </c>
      <c r="H12" s="45">
        <f>SUBTOTAL(109,Giá_vốn_Hàng_bán[Thg5])</f>
        <v>399</v>
      </c>
      <c r="I12" s="45">
        <f>SUBTOTAL(109,Giá_vốn_Hàng_bán[Thg6])</f>
        <v>312</v>
      </c>
      <c r="J12" s="45">
        <f>SUBTOTAL(109,Giá_vốn_Hàng_bán[Thg7])</f>
        <v>299</v>
      </c>
      <c r="K12" s="45">
        <f>SUBTOTAL(109,Giá_vốn_Hàng_bán[Thg8])</f>
        <v>226</v>
      </c>
      <c r="L12" s="45">
        <f>SUBTOTAL(109,Giá_vốn_Hàng_bán[Thg9])</f>
        <v>414</v>
      </c>
      <c r="M12" s="45">
        <f>SUBTOTAL(109,Giá_vốn_Hàng_bán[Thg10])</f>
        <v>274</v>
      </c>
      <c r="N12" s="45">
        <f>SUBTOTAL(109,Giá_vốn_Hàng_bán[Thg11])</f>
        <v>264</v>
      </c>
      <c r="O12" s="45">
        <f>SUBTOTAL(109,Giá_vốn_Hàng_bán[Thg12])</f>
        <v>453</v>
      </c>
      <c r="P12" s="45">
        <f>SUBTOTAL(109,Giá_vốn_Hàng_bán[Hàng năm])</f>
        <v>3818</v>
      </c>
      <c r="Q12" s="17">
        <f>SUBTOTAL(109,Giá_vốn_Hàng_bán[% Chỉ mục])</f>
        <v>1</v>
      </c>
      <c r="R12" s="31">
        <f>SUBTOTAL(109,Giá_vốn_Hàng_bán[% Thg1])</f>
        <v>0.99999999999999989</v>
      </c>
      <c r="S12" s="31">
        <f>SUBTOTAL(109,Giá_vốn_Hàng_bán[% Thg2])</f>
        <v>1</v>
      </c>
      <c r="T12" s="31">
        <f>SUBTOTAL(109,Giá_vốn_Hàng_bán[% Thg3])</f>
        <v>0.99999999999999989</v>
      </c>
      <c r="U12" s="31">
        <f>SUBTOTAL(109,Giá_vốn_Hàng_bán[% Thg4])</f>
        <v>1</v>
      </c>
      <c r="V12" s="31">
        <f>SUBTOTAL(109,Giá_vốn_Hàng_bán[% Thg5])</f>
        <v>0.99999999999999989</v>
      </c>
      <c r="W12" s="31">
        <f>SUBTOTAL(109,Giá_vốn_Hàng_bán[% Thg6])</f>
        <v>1</v>
      </c>
      <c r="X12" s="31">
        <f>SUBTOTAL(109,Giá_vốn_Hàng_bán[% Thg7])</f>
        <v>1</v>
      </c>
      <c r="Y12" s="31">
        <f>SUBTOTAL(109,Giá_vốn_Hàng_bán[% Thg8])</f>
        <v>0.99999999999999989</v>
      </c>
      <c r="Z12" s="31">
        <f>SUBTOTAL(109,Giá_vốn_Hàng_bán[% Thg9])</f>
        <v>1</v>
      </c>
      <c r="AA12" s="31">
        <f>SUBTOTAL(109,Giá_vốn_Hàng_bán[% Thg10])</f>
        <v>1</v>
      </c>
      <c r="AB12" s="31">
        <f>SUBTOTAL(109,Giá_vốn_Hàng_bán[% Thg11])</f>
        <v>0.99999999999999989</v>
      </c>
      <c r="AC12" s="31">
        <f>SUBTOTAL(109,Giá_vốn_Hàng_bán[% Thg12])</f>
        <v>1</v>
      </c>
      <c r="AD12" s="31">
        <f>SUBTOTAL(109,Giá_vốn_Hàng_bán[% Năm])</f>
        <v>0.99999999999999989</v>
      </c>
    </row>
    <row r="13" spans="1:30" ht="30" customHeight="1" x14ac:dyDescent="0.25">
      <c r="B13" s="9"/>
      <c r="C13" s="29"/>
      <c r="D13" s="11"/>
      <c r="E13" s="11"/>
      <c r="F13" s="11"/>
      <c r="G13" s="11"/>
      <c r="H13" s="11"/>
      <c r="I13" s="11"/>
      <c r="J13" s="11"/>
      <c r="K13" s="11"/>
      <c r="L13" s="11"/>
      <c r="M13" s="11"/>
      <c r="N13" s="11"/>
      <c r="O13" s="11"/>
      <c r="P13" s="30"/>
      <c r="Q13" s="17"/>
      <c r="R13" s="31"/>
      <c r="S13" s="31"/>
      <c r="T13" s="31"/>
      <c r="U13" s="31"/>
      <c r="V13" s="31"/>
      <c r="W13" s="31"/>
      <c r="X13" s="31"/>
      <c r="Y13" s="31"/>
      <c r="Z13" s="31"/>
      <c r="AA13" s="31"/>
      <c r="AB13" s="31"/>
      <c r="AC13" s="31"/>
      <c r="AD13" s="31"/>
    </row>
    <row r="14" spans="1:30" ht="30" customHeight="1" x14ac:dyDescent="0.25">
      <c r="B14" s="58" t="s">
        <v>54</v>
      </c>
      <c r="C14" s="13"/>
      <c r="D14" s="59">
        <f>Doanh_thu[[#Totals],[Thg1]]-Giá_vốn_Hàng_bán[[#Totals],[Thg1]]</f>
        <v>359</v>
      </c>
      <c r="E14" s="14">
        <f>Doanh_thu[[#Totals],[Thg2]]-Giá_vốn_Hàng_bán[[#Totals],[Thg2]]</f>
        <v>380</v>
      </c>
      <c r="F14" s="14">
        <f>Doanh_thu[[#Totals],[Thg3]]-Giá_vốn_Hàng_bán[[#Totals],[Thg3]]</f>
        <v>505</v>
      </c>
      <c r="G14" s="14">
        <f>Doanh_thu[[#Totals],[Thg4]]-Giá_vốn_Hàng_bán[[#Totals],[Thg4]]</f>
        <v>370</v>
      </c>
      <c r="H14" s="14">
        <f>Doanh_thu[[#Totals],[Thg5]]-Giá_vốn_Hàng_bán[[#Totals],[Thg5]]</f>
        <v>413</v>
      </c>
      <c r="I14" s="14">
        <f>Doanh_thu[[#Totals],[Thg6]]-Giá_vốn_Hàng_bán[[#Totals],[Thg6]]</f>
        <v>266</v>
      </c>
      <c r="J14" s="14">
        <f>Doanh_thu[[#Totals],[Thg7]]-Giá_vốn_Hàng_bán[[#Totals],[Thg7]]</f>
        <v>298</v>
      </c>
      <c r="K14" s="14">
        <f>Doanh_thu[[#Totals],[Thg8]]-Giá_vốn_Hàng_bán[[#Totals],[Thg8]]</f>
        <v>449</v>
      </c>
      <c r="L14" s="14">
        <f>Doanh_thu[[#Totals],[Thg9]]-Giá_vốn_Hàng_bán[[#Totals],[Thg9]]</f>
        <v>330</v>
      </c>
      <c r="M14" s="14">
        <f>Doanh_thu[[#Totals],[Thg10]]-Giá_vốn_Hàng_bán[[#Totals],[Thg10]]</f>
        <v>407</v>
      </c>
      <c r="N14" s="14">
        <f>Doanh_thu[[#Totals],[Thg11]]-Giá_vốn_Hàng_bán[[#Totals],[Thg11]]</f>
        <v>475</v>
      </c>
      <c r="O14" s="14">
        <f>Doanh_thu[[#Totals],[Thg12]]-Giá_vốn_Hàng_bán[[#Totals],[Thg12]]</f>
        <v>590</v>
      </c>
      <c r="P14" s="14">
        <f>Doanh_thu[[#Totals],[Hàng năm]]-Giá_vốn_Hàng_bán[[#Totals],[Hàng năm]]</f>
        <v>4842</v>
      </c>
      <c r="Q14" s="13"/>
      <c r="R14" s="15">
        <f t="shared" ref="R14:AD14" si="2">D14/$P$14</f>
        <v>7.4142916150351096E-2</v>
      </c>
      <c r="S14" s="15">
        <f t="shared" si="2"/>
        <v>7.8479966955803393E-2</v>
      </c>
      <c r="T14" s="15">
        <f t="shared" si="2"/>
        <v>0.10429574555968608</v>
      </c>
      <c r="U14" s="15">
        <f t="shared" si="2"/>
        <v>7.6414704667492769E-2</v>
      </c>
      <c r="V14" s="15">
        <f t="shared" si="2"/>
        <v>8.5295332507228414E-2</v>
      </c>
      <c r="W14" s="15">
        <f t="shared" si="2"/>
        <v>5.4935976869062368E-2</v>
      </c>
      <c r="X14" s="15">
        <f t="shared" si="2"/>
        <v>6.1544816191656339E-2</v>
      </c>
      <c r="Y14" s="15">
        <f t="shared" si="2"/>
        <v>9.2730276745146639E-2</v>
      </c>
      <c r="Z14" s="15">
        <f t="shared" si="2"/>
        <v>6.8153655514250316E-2</v>
      </c>
      <c r="AA14" s="15">
        <f t="shared" si="2"/>
        <v>8.4056175134242045E-2</v>
      </c>
      <c r="AB14" s="15">
        <f t="shared" si="2"/>
        <v>9.8099958694754227E-2</v>
      </c>
      <c r="AC14" s="15">
        <f t="shared" si="2"/>
        <v>0.12185047501032631</v>
      </c>
      <c r="AD14" s="60">
        <f t="shared" si="2"/>
        <v>1</v>
      </c>
    </row>
  </sheetData>
  <dataValidations count="18">
    <dataValidation allowBlank="1" showInputMessage="1" showErrorMessage="1" prompt="Lợi nhuận gộp cho từng tháng và từng năm được tự động tính toán trong cột này dựa trên tổng doanh số và tổng giá vốn hàng bán" sqref="B14" xr:uid="{00000000-0002-0000-0100-000000000000}"/>
    <dataValidation allowBlank="1" showInputMessage="1" showErrorMessage="1" prompt="Trang tính này tính toán tổng giá vốn hàng bán cho từng tháng, từng năm và giá vốn hàng bán hàng năm cho các mặt hàng. Dựa trên các mục nhập, lợi nhuận gộp được tự động tính toán" sqref="A1" xr:uid="{00000000-0002-0000-0100-000001000000}"/>
    <dataValidation allowBlank="1" showInputMessage="1" showErrorMessage="1" prompt="Ô này được tự động cập nhật từ tiêu đề giai đoạn dự đoán trong trang tính Doanh thu (Doanh số)" sqref="B1" xr:uid="{00000000-0002-0000-0100-000002000000}"/>
    <dataValidation allowBlank="1" showInputMessage="1" showErrorMessage="1" prompt="Tên công ty được tự động cập nhật bằng cách sử dụng mục nhập từ trang tính Doanh thu (Doanh số)" sqref="AD1" xr:uid="{00000000-0002-0000-0100-000003000000}"/>
    <dataValidation allowBlank="1" showInputMessage="1" showErrorMessage="1" prompt="Tiêu đề được tự động cập nhật từ trang tính Doanh thu (Doanh số). Nhập các giá trị vào bảng Giá vốn Hàng bán dưới đây để tính toán tổng giá vốn hàng bán" sqref="B2" xr:uid="{00000000-0002-0000-0100-000004000000}"/>
    <dataValidation allowBlank="1" showInputMessage="1" showErrorMessage="1" prompt="Tháng &amp; năm được tự động cập nhật trong các ô bên phải. Để thay đổi tháng hoặc năm, hãy sửa đổi các ô AC2 và AD2 trong trang tính Doanh thu (Doanh số)" sqref="AB2" xr:uid="{00000000-0002-0000-0100-000005000000}"/>
    <dataValidation allowBlank="1" showInputMessage="1" showErrorMessage="1" prompt="Nhập phần trăm chỉ mục vào cột này" sqref="Q4" xr:uid="{00000000-0002-0000-0100-000006000000}"/>
    <dataValidation allowBlank="1" showInputMessage="1" showErrorMessage="1" prompt="Nhập chi phí của các nguồn được liệt kê trong cột B vào cột này" sqref="D4:O4" xr:uid="{00000000-0002-0000-0100-000007000000}"/>
    <dataValidation allowBlank="1" showInputMessage="1" showErrorMessage="1" prompt="Biểu đồ xu hướng về chi phí theo thời gian nằm trong cột này" sqref="C4" xr:uid="{00000000-0002-0000-0100-000008000000}"/>
    <dataValidation allowBlank="1" showInputMessage="1" showErrorMessage="1" prompt="Nhập giá vốn hàng bán vào cột này" sqref="B4" xr:uid="{00000000-0002-0000-0100-000009000000}"/>
    <dataValidation allowBlank="1" showInputMessage="1" showErrorMessage="1" prompt="Tự động tính toán tỷ lệ giá vốn hàng bán từ các nguồn khác nhau so với tổng doanh số cho năm trong cột này" sqref="AD3" xr:uid="{00000000-0002-0000-0100-00000A000000}"/>
    <dataValidation allowBlank="1" showInputMessage="1" showErrorMessage="1" prompt="Tháng được cập nhật tự động" sqref="E3:O3" xr:uid="{4628B278-4D70-44CB-AF62-1D1942D9CC6B}"/>
    <dataValidation allowBlank="1" showInputMessage="1" showErrorMessage="1" prompt="Phần trăm chỉ mục nằm trong cột này" sqref="Q3" xr:uid="{CF2F288D-9D37-4213-A424-F88D1B1B74DB}"/>
    <dataValidation allowBlank="1" showInputMessage="1" showErrorMessage="1" prompt="Tháng được cập nhật tự động. Để thay đổi, hãy sửa đổi ô AC2 trong trang tính Doanh thu (Doanh số)" sqref="AC2" xr:uid="{00000000-0002-0000-0100-000010000000}"/>
    <dataValidation allowBlank="1" showInputMessage="1" showErrorMessage="1" prompt="Năm được cập nhật tự động. Để thay đổi, hãy sửa đổi ô AD2 trong trang tính Doanh thu (Doanh số)" sqref="AD2" xr:uid="{00000000-0002-0000-0100-000011000000}"/>
    <dataValidation allowBlank="1" showInputMessage="1" showErrorMessage="1" prompt="Tự động tính toán tỷ lệ doanh số từ các nguồn khác nhau so với tổng doanh số trong cột này cho tháng trong ô này" sqref="R3:AC3" xr:uid="{BA325212-EC77-492B-BEF5-021DA56A36C1}"/>
    <dataValidation allowBlank="1" showInputMessage="1" showErrorMessage="1" prompt="Ngày trong hàng này được tự động cập nhật dựa trên tháng bắt đầu của năm tài chính. Để thay đổi tháng bắt đầu, hãy sửa đổi ô AC2" sqref="D3" xr:uid="{26D7AEC4-ABDA-48D9-8D80-95AEC9038D5B}"/>
    <dataValidation allowBlank="1" showInputMessage="1" showErrorMessage="1" prompt="Doanh thu hàng năm được tự động tính toán trong cột này" sqref="P3" xr:uid="{E71668BF-695A-41F1-BE9C-12259ECCE649}"/>
  </dataValidations>
  <printOptions horizontalCentered="1"/>
  <pageMargins left="0.25" right="0.25" top="0.75" bottom="0.75" header="0.3" footer="0.3"/>
  <pageSetup paperSize="9" scale="46" fitToHeight="0" orientation="landscape" r:id="rId1"/>
  <headerFooter differentFirst="1">
    <oddFooter>Page &amp;P of &amp;N</oddFooter>
  </headerFooter>
  <legacyDrawing r:id="rId2"/>
  <tableParts count="1">
    <tablePart r:id="rId3"/>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3000000}">
          <x14:colorSeries theme="3"/>
          <x14:colorNegative theme="5"/>
          <x14:colorAxis rgb="FF000000"/>
          <x14:colorMarkers theme="4" tint="-0.499984740745262"/>
          <x14:colorFirst theme="4" tint="0.39997558519241921"/>
          <x14:colorLast theme="4" tint="0.39997558519241921"/>
          <x14:colorHigh theme="3"/>
          <x14:colorLow theme="3"/>
          <x14:sparklines>
            <x14:sparkline>
              <xm:f>'Giá vốn Hàng bán'!D12:O12</xm:f>
              <xm:sqref>C12</xm:sqref>
            </x14:sparkline>
          </x14:sparklines>
        </x14:sparklineGroup>
        <x14:sparklineGroup lineWeight="1" displayEmptyCellsAs="gap" high="1" low="1" xr2:uid="{00000000-0003-0000-0100-000002000000}">
          <x14:colorSeries theme="3"/>
          <x14:colorNegative theme="5"/>
          <x14:colorAxis rgb="FF000000"/>
          <x14:colorMarkers theme="4" tint="-0.499984740745262"/>
          <x14:colorFirst theme="4" tint="0.39997558519241921"/>
          <x14:colorLast theme="4" tint="0.39997558519241921"/>
          <x14:colorHigh theme="3"/>
          <x14:colorLow theme="3"/>
          <x14:sparklines>
            <x14:sparkline>
              <xm:f>'Giá vốn Hàng bán'!$D$5:$O$5</xm:f>
              <xm:sqref>C5</xm:sqref>
            </x14:sparkline>
            <x14:sparkline>
              <xm:f>'Giá vốn Hàng bán'!$D$6:$O$6</xm:f>
              <xm:sqref>C6</xm:sqref>
            </x14:sparkline>
            <x14:sparkline>
              <xm:f>'Giá vốn Hàng bán'!$D$7:$O$7</xm:f>
              <xm:sqref>C7</xm:sqref>
            </x14:sparkline>
            <x14:sparkline>
              <xm:f>'Giá vốn Hàng bán'!$D$8:$O$8</xm:f>
              <xm:sqref>C8</xm:sqref>
            </x14:sparkline>
            <x14:sparkline>
              <xm:f>'Giá vốn Hàng bán'!$D$9:$O$9</xm:f>
              <xm:sqref>C9</xm:sqref>
            </x14:sparkline>
            <x14:sparkline>
              <xm:f>'Giá vốn Hàng bán'!$D$10:$O$10</xm:f>
              <xm:sqref>C10</xm:sqref>
            </x14:sparkline>
            <x14:sparkline>
              <xm:f>'Giá vốn Hàng bán'!$D$11:$O$11</xm:f>
              <xm:sqref>C11</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AD26"/>
  <sheetViews>
    <sheetView showGridLines="0" zoomScaleNormal="100" workbookViewId="0">
      <pane ySplit="3" topLeftCell="A4" activePane="bottomLeft" state="frozen"/>
      <selection activeCell="G15" sqref="G15"/>
      <selection pane="bottomLeft"/>
    </sheetView>
  </sheetViews>
  <sheetFormatPr defaultRowHeight="30" customHeight="1" x14ac:dyDescent="0.25"/>
  <cols>
    <col min="1" max="1" width="2.7109375" customWidth="1"/>
    <col min="2" max="2" width="26.28515625" customWidth="1"/>
    <col min="3" max="3" width="13.7109375" customWidth="1"/>
    <col min="4" max="15" width="11.28515625" customWidth="1"/>
    <col min="16" max="17" width="12.7109375" customWidth="1"/>
    <col min="18" max="26" width="9.42578125" bestFit="1" customWidth="1"/>
    <col min="27" max="27" width="10.5703125" bestFit="1" customWidth="1"/>
    <col min="28" max="28" width="11.28515625" customWidth="1"/>
    <col min="29" max="29" width="10.5703125" bestFit="1" customWidth="1"/>
    <col min="30" max="30" width="10" customWidth="1"/>
    <col min="31" max="31" width="2.7109375" customWidth="1"/>
  </cols>
  <sheetData>
    <row r="1" spans="1:30" ht="35.1" customHeight="1" x14ac:dyDescent="0.25">
      <c r="A1" s="6"/>
      <c r="B1" s="23" t="str">
        <f>Tiêu_đề_Giai_đoạn_Dự_đoán</f>
        <v>Mười hai Tháng</v>
      </c>
      <c r="C1" s="64"/>
      <c r="D1" s="64"/>
      <c r="E1" s="64"/>
      <c r="F1" s="64"/>
      <c r="G1" s="64"/>
      <c r="H1" s="64"/>
      <c r="I1" s="64"/>
      <c r="J1" s="65"/>
      <c r="K1" s="64"/>
      <c r="L1" s="64"/>
      <c r="M1" s="64"/>
      <c r="N1" s="64"/>
      <c r="O1" s="64"/>
      <c r="P1" s="64"/>
      <c r="Q1" s="50"/>
      <c r="R1" s="50"/>
      <c r="S1" s="50"/>
      <c r="T1" s="50"/>
      <c r="U1" s="50"/>
      <c r="V1" s="50"/>
      <c r="W1" s="50"/>
      <c r="X1" s="50"/>
      <c r="Y1" s="50"/>
      <c r="Z1" s="50"/>
      <c r="AA1" s="50"/>
      <c r="AB1" s="7"/>
      <c r="AC1" s="7"/>
      <c r="AD1" s="20" t="str">
        <f>Tên_Công_ty</f>
        <v>Tên Công ty</v>
      </c>
    </row>
    <row r="2" spans="1:30" ht="60" customHeight="1" x14ac:dyDescent="0.25">
      <c r="B2" s="4" t="str">
        <f>'Doanh thu (Doanh số)'!$B$2</f>
        <v>DỰ ĐOÁN LỢI NHUẬN &amp; TỔN THẤT</v>
      </c>
      <c r="C2" s="64"/>
      <c r="D2" s="64"/>
      <c r="E2" s="53"/>
      <c r="F2" s="64"/>
      <c r="G2" s="53"/>
      <c r="H2" s="64"/>
      <c r="I2" s="64"/>
      <c r="J2" s="64"/>
      <c r="K2" s="53"/>
      <c r="L2" s="53"/>
      <c r="M2" s="53"/>
      <c r="N2" s="53"/>
      <c r="O2" s="53"/>
      <c r="P2" s="64"/>
      <c r="Q2" s="64"/>
      <c r="R2" s="64"/>
      <c r="S2" s="64"/>
      <c r="T2" s="64"/>
      <c r="U2" s="64"/>
      <c r="V2" s="64"/>
      <c r="W2" s="64"/>
      <c r="X2" s="54"/>
      <c r="Y2" s="54"/>
      <c r="Z2" s="54"/>
      <c r="AA2" s="54"/>
      <c r="AB2" s="21" t="s">
        <v>55</v>
      </c>
      <c r="AC2" s="21" t="str">
        <f>FYMonthStart</f>
        <v>THG1</v>
      </c>
      <c r="AD2" s="21">
        <f ca="1">FYStartYear</f>
        <v>2017</v>
      </c>
    </row>
    <row r="3" spans="1:30" ht="20.100000000000001" customHeight="1" x14ac:dyDescent="0.25">
      <c r="D3" s="22" t="str">
        <f ca="1">UPPER(TEXT(DATE(FYStartYear,FYMonthNo,1),"yy mmm"))</f>
        <v>17 THG1</v>
      </c>
      <c r="E3" s="22" t="str">
        <f ca="1">UPPER(TEXT(DATE(FYStartYear,FYMonthNo+1,1),"yy mmm"))</f>
        <v>17 THG2</v>
      </c>
      <c r="F3" s="22" t="str">
        <f ca="1">UPPER(TEXT(DATE(FYStartYear,FYMonthNo+2,1),"yy mmm"))</f>
        <v>17 THG3</v>
      </c>
      <c r="G3" s="22" t="str">
        <f ca="1">UPPER(TEXT(DATE(FYStartYear,FYMonthNo+3,1),"yy mmm"))</f>
        <v>17 THG4</v>
      </c>
      <c r="H3" s="22" t="str">
        <f ca="1">UPPER(TEXT(DATE(FYStartYear,FYMonthNo+4,1),"yy mmm"))</f>
        <v>17 THG5</v>
      </c>
      <c r="I3" s="22" t="str">
        <f ca="1">UPPER(TEXT(DATE(FYStartYear,FYMonthNo+5,1),"yy mmm"))</f>
        <v>17 THG6</v>
      </c>
      <c r="J3" s="22" t="str">
        <f ca="1">UPPER(TEXT(DATE(FYStartYear,FYMonthNo+6,1),"yy mmm"))</f>
        <v>17 THG7</v>
      </c>
      <c r="K3" s="22" t="str">
        <f ca="1">UPPER(TEXT(DATE(FYStartYear,FYMonthNo+7,1),"yy mmm"))</f>
        <v>17 THG8</v>
      </c>
      <c r="L3" s="22" t="str">
        <f ca="1">UPPER(TEXT(DATE(FYStartYear,FYMonthNo+8,1),"yy mmm"))</f>
        <v>17 THG9</v>
      </c>
      <c r="M3" s="22" t="str">
        <f ca="1">UPPER(TEXT(DATE(FYStartYear,FYMonthNo+9,1),"yy mmm"))</f>
        <v>17 THG10</v>
      </c>
      <c r="N3" s="22" t="str">
        <f ca="1">UPPER(TEXT(DATE(FYStartYear,FYMonthNo+10,1),"yy mmm"))</f>
        <v>17 THG11</v>
      </c>
      <c r="O3" s="22" t="str">
        <f ca="1">UPPER(TEXT(DATE(FYStartYear,FYMonthNo+11,1),"yy mmm"))</f>
        <v>17 THG12</v>
      </c>
      <c r="P3" s="22" t="s">
        <v>24</v>
      </c>
      <c r="Q3" s="22" t="s">
        <v>26</v>
      </c>
      <c r="R3" s="22" t="str">
        <f ca="1">" %" &amp; RIGHT(D3,5)</f>
        <v xml:space="preserve"> % THG1</v>
      </c>
      <c r="S3" s="22" t="str">
        <f t="shared" ref="S3:Z3" ca="1" si="0">" %" &amp; RIGHT(E3,5)</f>
        <v xml:space="preserve"> % THG2</v>
      </c>
      <c r="T3" s="22" t="str">
        <f t="shared" ca="1" si="0"/>
        <v xml:space="preserve"> % THG3</v>
      </c>
      <c r="U3" s="22" t="str">
        <f t="shared" ca="1" si="0"/>
        <v xml:space="preserve"> % THG4</v>
      </c>
      <c r="V3" s="22" t="str">
        <f t="shared" ca="1" si="0"/>
        <v xml:space="preserve"> % THG5</v>
      </c>
      <c r="W3" s="22" t="str">
        <f t="shared" ca="1" si="0"/>
        <v xml:space="preserve"> % THG6</v>
      </c>
      <c r="X3" s="22" t="str">
        <f t="shared" ca="1" si="0"/>
        <v xml:space="preserve"> % THG7</v>
      </c>
      <c r="Y3" s="22" t="str">
        <f t="shared" ca="1" si="0"/>
        <v xml:space="preserve"> % THG8</v>
      </c>
      <c r="Z3" s="22" t="str">
        <f t="shared" ca="1" si="0"/>
        <v xml:space="preserve"> % THG9</v>
      </c>
      <c r="AA3" s="22" t="str">
        <f ca="1">" %" &amp; RIGHT(M3,6)</f>
        <v xml:space="preserve"> % THG10</v>
      </c>
      <c r="AB3" s="22" t="str">
        <f t="shared" ref="AB3:AC3" ca="1" si="1">" %" &amp; RIGHT(N3,6)</f>
        <v xml:space="preserve"> % THG11</v>
      </c>
      <c r="AC3" s="22" t="str">
        <f t="shared" ca="1" si="1"/>
        <v xml:space="preserve"> % THG12</v>
      </c>
      <c r="AD3" s="22" t="s">
        <v>43</v>
      </c>
    </row>
    <row r="4" spans="1:30" ht="30" customHeight="1" x14ac:dyDescent="0.25">
      <c r="B4" s="32" t="s">
        <v>56</v>
      </c>
      <c r="C4" s="32" t="s">
        <v>11</v>
      </c>
      <c r="D4" s="24" t="s">
        <v>77</v>
      </c>
      <c r="E4" s="24" t="s">
        <v>13</v>
      </c>
      <c r="F4" s="24" t="s">
        <v>14</v>
      </c>
      <c r="G4" s="24" t="s">
        <v>15</v>
      </c>
      <c r="H4" s="24" t="s">
        <v>16</v>
      </c>
      <c r="I4" s="24" t="s">
        <v>17</v>
      </c>
      <c r="J4" s="24" t="s">
        <v>18</v>
      </c>
      <c r="K4" s="24" t="s">
        <v>19</v>
      </c>
      <c r="L4" s="24" t="s">
        <v>20</v>
      </c>
      <c r="M4" s="24" t="s">
        <v>21</v>
      </c>
      <c r="N4" s="24" t="s">
        <v>22</v>
      </c>
      <c r="O4" s="24" t="s">
        <v>23</v>
      </c>
      <c r="P4" s="24" t="s">
        <v>25</v>
      </c>
      <c r="Q4" s="25" t="s">
        <v>27</v>
      </c>
      <c r="R4" s="25" t="s">
        <v>28</v>
      </c>
      <c r="S4" s="25" t="s">
        <v>29</v>
      </c>
      <c r="T4" s="25" t="s">
        <v>30</v>
      </c>
      <c r="U4" s="25" t="s">
        <v>31</v>
      </c>
      <c r="V4" s="25" t="s">
        <v>32</v>
      </c>
      <c r="W4" s="25" t="s">
        <v>33</v>
      </c>
      <c r="X4" s="25" t="s">
        <v>34</v>
      </c>
      <c r="Y4" s="25" t="s">
        <v>35</v>
      </c>
      <c r="Z4" s="25" t="s">
        <v>36</v>
      </c>
      <c r="AA4" s="25" t="s">
        <v>37</v>
      </c>
      <c r="AB4" s="25" t="s">
        <v>39</v>
      </c>
      <c r="AC4" s="25" t="s">
        <v>41</v>
      </c>
      <c r="AD4" s="24" t="s">
        <v>44</v>
      </c>
    </row>
    <row r="5" spans="1:30" ht="30" customHeight="1" x14ac:dyDescent="0.25">
      <c r="B5" s="46" t="s">
        <v>57</v>
      </c>
      <c r="C5" s="39" t="s">
        <v>76</v>
      </c>
      <c r="D5" s="27">
        <v>10</v>
      </c>
      <c r="E5" s="27">
        <v>18</v>
      </c>
      <c r="F5" s="27">
        <v>13</v>
      </c>
      <c r="G5" s="27">
        <v>8</v>
      </c>
      <c r="H5" s="27">
        <v>22</v>
      </c>
      <c r="I5" s="27">
        <v>18</v>
      </c>
      <c r="J5" s="27">
        <v>8</v>
      </c>
      <c r="K5" s="27">
        <v>17</v>
      </c>
      <c r="L5" s="27">
        <v>20</v>
      </c>
      <c r="M5" s="27">
        <v>8</v>
      </c>
      <c r="N5" s="27">
        <v>4</v>
      </c>
      <c r="O5" s="27">
        <v>12</v>
      </c>
      <c r="P5" s="40">
        <f>SUM(tblExpenses[[#This Row],[Cột_1]:[Thg12]])</f>
        <v>158</v>
      </c>
      <c r="Q5" s="28">
        <v>0.12</v>
      </c>
      <c r="R5" s="41">
        <f>tblExpenses[[#This Row],[Cột_1]]/tblExpenses[[#Totals],[Cột_1]]</f>
        <v>4.2372881355932202E-2</v>
      </c>
      <c r="S5" s="41">
        <f>tblExpenses[[#This Row],[Thg2]]/tblExpenses[[#Totals],[Thg2]]</f>
        <v>8.7804878048780483E-2</v>
      </c>
      <c r="T5" s="41">
        <f>tblExpenses[[#This Row],[Thg3]]/tblExpenses[[#Totals],[Thg3]]</f>
        <v>5.2208835341365459E-2</v>
      </c>
      <c r="U5" s="41">
        <f>tblExpenses[[#This Row],[Thg4]]/tblExpenses[[#Totals],[Thg4]]</f>
        <v>3.0651340996168581E-2</v>
      </c>
      <c r="V5" s="41">
        <f>tblExpenses[[#This Row],[Thg5]]/tblExpenses[[#Totals],[Thg5]]</f>
        <v>8.5603112840466927E-2</v>
      </c>
      <c r="W5" s="41">
        <f>tblExpenses[[#This Row],[Thg6]]/tblExpenses[[#Totals],[Thg6]]</f>
        <v>6.569343065693431E-2</v>
      </c>
      <c r="X5" s="41">
        <f>tblExpenses[[#This Row],[Thg7]]/tblExpenses[[#Totals],[Thg7]]</f>
        <v>3.007518796992481E-2</v>
      </c>
      <c r="Y5" s="41">
        <f>tblExpenses[[#This Row],[Thg8]]/tblExpenses[[#Totals],[Thg8]]</f>
        <v>7.2340425531914887E-2</v>
      </c>
      <c r="Z5" s="41">
        <f>tblExpenses[[#This Row],[Thg9]]/tblExpenses[[#Totals],[Thg9]]</f>
        <v>8.6956521739130432E-2</v>
      </c>
      <c r="AA5" s="41">
        <f>tblExpenses[[#This Row],[Thg10]]/tblExpenses[[#Totals],[Thg10]]</f>
        <v>3.0888030888030889E-2</v>
      </c>
      <c r="AB5" s="41">
        <f>tblExpenses[[#This Row],[Thg11]]/tblExpenses[[#Totals],[Thg11]]</f>
        <v>1.3513513513513514E-2</v>
      </c>
      <c r="AC5" s="41">
        <f>tblExpenses[[#This Row],[Thg12]]/tblExpenses[[#Totals],[Thg12]]</f>
        <v>5.1948051948051951E-2</v>
      </c>
      <c r="AD5" s="41">
        <f>tblExpenses[[#This Row],[Hàng năm]]/tblExpenses[[#Totals],[Hàng năm]]</f>
        <v>5.2684228076025338E-2</v>
      </c>
    </row>
    <row r="6" spans="1:30" ht="30" customHeight="1" x14ac:dyDescent="0.25">
      <c r="B6" s="46" t="s">
        <v>58</v>
      </c>
      <c r="C6" s="39" t="s">
        <v>76</v>
      </c>
      <c r="D6" s="27">
        <v>23</v>
      </c>
      <c r="E6" s="27">
        <v>11</v>
      </c>
      <c r="F6" s="27">
        <v>7</v>
      </c>
      <c r="G6" s="27">
        <v>14</v>
      </c>
      <c r="H6" s="27">
        <v>12</v>
      </c>
      <c r="I6" s="27">
        <v>19</v>
      </c>
      <c r="J6" s="27">
        <v>19</v>
      </c>
      <c r="K6" s="27">
        <v>4</v>
      </c>
      <c r="L6" s="27">
        <v>7</v>
      </c>
      <c r="M6" s="27">
        <v>13</v>
      </c>
      <c r="N6" s="27">
        <v>25</v>
      </c>
      <c r="O6" s="27">
        <v>5</v>
      </c>
      <c r="P6" s="40">
        <f>SUM(tblExpenses[[#This Row],[Cột_1]:[Thg12]])</f>
        <v>159</v>
      </c>
      <c r="Q6" s="28">
        <v>0.09</v>
      </c>
      <c r="R6" s="41">
        <f>tblExpenses[[#This Row],[Cột_1]]/tblExpenses[[#Totals],[Cột_1]]</f>
        <v>9.7457627118644072E-2</v>
      </c>
      <c r="S6" s="41">
        <f>tblExpenses[[#This Row],[Thg2]]/tblExpenses[[#Totals],[Thg2]]</f>
        <v>5.3658536585365853E-2</v>
      </c>
      <c r="T6" s="41">
        <f>tblExpenses[[#This Row],[Thg3]]/tblExpenses[[#Totals],[Thg3]]</f>
        <v>2.8112449799196786E-2</v>
      </c>
      <c r="U6" s="41">
        <f>tblExpenses[[#This Row],[Thg4]]/tblExpenses[[#Totals],[Thg4]]</f>
        <v>5.3639846743295021E-2</v>
      </c>
      <c r="V6" s="41">
        <f>tblExpenses[[#This Row],[Thg5]]/tblExpenses[[#Totals],[Thg5]]</f>
        <v>4.6692607003891051E-2</v>
      </c>
      <c r="W6" s="41">
        <f>tblExpenses[[#This Row],[Thg6]]/tblExpenses[[#Totals],[Thg6]]</f>
        <v>6.9343065693430656E-2</v>
      </c>
      <c r="X6" s="41">
        <f>tblExpenses[[#This Row],[Thg7]]/tblExpenses[[#Totals],[Thg7]]</f>
        <v>7.1428571428571425E-2</v>
      </c>
      <c r="Y6" s="41">
        <f>tblExpenses[[#This Row],[Thg8]]/tblExpenses[[#Totals],[Thg8]]</f>
        <v>1.7021276595744681E-2</v>
      </c>
      <c r="Z6" s="41">
        <f>tblExpenses[[#This Row],[Thg9]]/tblExpenses[[#Totals],[Thg9]]</f>
        <v>3.0434782608695653E-2</v>
      </c>
      <c r="AA6" s="41">
        <f>tblExpenses[[#This Row],[Thg10]]/tblExpenses[[#Totals],[Thg10]]</f>
        <v>5.019305019305019E-2</v>
      </c>
      <c r="AB6" s="41">
        <f>tblExpenses[[#This Row],[Thg11]]/tblExpenses[[#Totals],[Thg11]]</f>
        <v>8.4459459459459457E-2</v>
      </c>
      <c r="AC6" s="41">
        <f>tblExpenses[[#This Row],[Thg12]]/tblExpenses[[#Totals],[Thg12]]</f>
        <v>2.1645021645021644E-2</v>
      </c>
      <c r="AD6" s="41">
        <f>tblExpenses[[#This Row],[Hàng năm]]/tblExpenses[[#Totals],[Hàng năm]]</f>
        <v>5.3017672557519172E-2</v>
      </c>
    </row>
    <row r="7" spans="1:30" ht="30" customHeight="1" x14ac:dyDescent="0.25">
      <c r="B7" s="46" t="s">
        <v>59</v>
      </c>
      <c r="C7" s="39" t="s">
        <v>76</v>
      </c>
      <c r="D7" s="27">
        <v>23</v>
      </c>
      <c r="E7" s="27">
        <v>20</v>
      </c>
      <c r="F7" s="27">
        <v>3</v>
      </c>
      <c r="G7" s="27">
        <v>16</v>
      </c>
      <c r="H7" s="27">
        <v>10</v>
      </c>
      <c r="I7" s="27">
        <v>5</v>
      </c>
      <c r="J7" s="27">
        <v>20</v>
      </c>
      <c r="K7" s="27">
        <v>7</v>
      </c>
      <c r="L7" s="27">
        <v>4</v>
      </c>
      <c r="M7" s="27">
        <v>22</v>
      </c>
      <c r="N7" s="27">
        <v>13</v>
      </c>
      <c r="O7" s="27">
        <v>14</v>
      </c>
      <c r="P7" s="40">
        <f>SUM(tblExpenses[[#This Row],[Cột_1]:[Thg12]])</f>
        <v>157</v>
      </c>
      <c r="Q7" s="28">
        <v>0.02</v>
      </c>
      <c r="R7" s="41">
        <f>tblExpenses[[#This Row],[Cột_1]]/tblExpenses[[#Totals],[Cột_1]]</f>
        <v>9.7457627118644072E-2</v>
      </c>
      <c r="S7" s="41">
        <f>tblExpenses[[#This Row],[Thg2]]/tblExpenses[[#Totals],[Thg2]]</f>
        <v>9.7560975609756101E-2</v>
      </c>
      <c r="T7" s="41">
        <f>tblExpenses[[#This Row],[Thg3]]/tblExpenses[[#Totals],[Thg3]]</f>
        <v>1.2048192771084338E-2</v>
      </c>
      <c r="U7" s="41">
        <f>tblExpenses[[#This Row],[Thg4]]/tblExpenses[[#Totals],[Thg4]]</f>
        <v>6.1302681992337162E-2</v>
      </c>
      <c r="V7" s="41">
        <f>tblExpenses[[#This Row],[Thg5]]/tblExpenses[[#Totals],[Thg5]]</f>
        <v>3.8910505836575876E-2</v>
      </c>
      <c r="W7" s="41">
        <f>tblExpenses[[#This Row],[Thg6]]/tblExpenses[[#Totals],[Thg6]]</f>
        <v>1.824817518248175E-2</v>
      </c>
      <c r="X7" s="41">
        <f>tblExpenses[[#This Row],[Thg7]]/tblExpenses[[#Totals],[Thg7]]</f>
        <v>7.5187969924812026E-2</v>
      </c>
      <c r="Y7" s="41">
        <f>tblExpenses[[#This Row],[Thg8]]/tblExpenses[[#Totals],[Thg8]]</f>
        <v>2.9787234042553193E-2</v>
      </c>
      <c r="Z7" s="41">
        <f>tblExpenses[[#This Row],[Thg9]]/tblExpenses[[#Totals],[Thg9]]</f>
        <v>1.7391304347826087E-2</v>
      </c>
      <c r="AA7" s="41">
        <f>tblExpenses[[#This Row],[Thg10]]/tblExpenses[[#Totals],[Thg10]]</f>
        <v>8.4942084942084939E-2</v>
      </c>
      <c r="AB7" s="41">
        <f>tblExpenses[[#This Row],[Thg11]]/tblExpenses[[#Totals],[Thg11]]</f>
        <v>4.3918918918918921E-2</v>
      </c>
      <c r="AC7" s="41">
        <f>tblExpenses[[#This Row],[Thg12]]/tblExpenses[[#Totals],[Thg12]]</f>
        <v>6.0606060606060608E-2</v>
      </c>
      <c r="AD7" s="41">
        <f>tblExpenses[[#This Row],[Hàng năm]]/tblExpenses[[#Totals],[Hàng năm]]</f>
        <v>5.2350783594531512E-2</v>
      </c>
    </row>
    <row r="8" spans="1:30" ht="30" customHeight="1" x14ac:dyDescent="0.25">
      <c r="B8" s="46" t="s">
        <v>60</v>
      </c>
      <c r="C8" s="39" t="s">
        <v>76</v>
      </c>
      <c r="D8" s="27">
        <v>19</v>
      </c>
      <c r="E8" s="27">
        <v>4</v>
      </c>
      <c r="F8" s="27">
        <v>7</v>
      </c>
      <c r="G8" s="27">
        <v>14</v>
      </c>
      <c r="H8" s="27">
        <v>22</v>
      </c>
      <c r="I8" s="27">
        <v>10</v>
      </c>
      <c r="J8" s="27">
        <v>22</v>
      </c>
      <c r="K8" s="27">
        <v>5</v>
      </c>
      <c r="L8" s="27">
        <v>4</v>
      </c>
      <c r="M8" s="27">
        <v>12</v>
      </c>
      <c r="N8" s="27">
        <v>18</v>
      </c>
      <c r="O8" s="27">
        <v>24</v>
      </c>
      <c r="P8" s="40">
        <f>SUM(tblExpenses[[#This Row],[Cột_1]:[Thg12]])</f>
        <v>161</v>
      </c>
      <c r="Q8" s="28">
        <v>0.08</v>
      </c>
      <c r="R8" s="41">
        <f>tblExpenses[[#This Row],[Cột_1]]/tblExpenses[[#Totals],[Cột_1]]</f>
        <v>8.050847457627118E-2</v>
      </c>
      <c r="S8" s="41">
        <f>tblExpenses[[#This Row],[Thg2]]/tblExpenses[[#Totals],[Thg2]]</f>
        <v>1.9512195121951219E-2</v>
      </c>
      <c r="T8" s="41">
        <f>tblExpenses[[#This Row],[Thg3]]/tblExpenses[[#Totals],[Thg3]]</f>
        <v>2.8112449799196786E-2</v>
      </c>
      <c r="U8" s="41">
        <f>tblExpenses[[#This Row],[Thg4]]/tblExpenses[[#Totals],[Thg4]]</f>
        <v>5.3639846743295021E-2</v>
      </c>
      <c r="V8" s="41">
        <f>tblExpenses[[#This Row],[Thg5]]/tblExpenses[[#Totals],[Thg5]]</f>
        <v>8.5603112840466927E-2</v>
      </c>
      <c r="W8" s="41">
        <f>tblExpenses[[#This Row],[Thg6]]/tblExpenses[[#Totals],[Thg6]]</f>
        <v>3.6496350364963501E-2</v>
      </c>
      <c r="X8" s="41">
        <f>tblExpenses[[#This Row],[Thg7]]/tblExpenses[[#Totals],[Thg7]]</f>
        <v>8.2706766917293228E-2</v>
      </c>
      <c r="Y8" s="41">
        <f>tblExpenses[[#This Row],[Thg8]]/tblExpenses[[#Totals],[Thg8]]</f>
        <v>2.1276595744680851E-2</v>
      </c>
      <c r="Z8" s="41">
        <f>tblExpenses[[#This Row],[Thg9]]/tblExpenses[[#Totals],[Thg9]]</f>
        <v>1.7391304347826087E-2</v>
      </c>
      <c r="AA8" s="41">
        <f>tblExpenses[[#This Row],[Thg10]]/tblExpenses[[#Totals],[Thg10]]</f>
        <v>4.633204633204633E-2</v>
      </c>
      <c r="AB8" s="41">
        <f>tblExpenses[[#This Row],[Thg11]]/tblExpenses[[#Totals],[Thg11]]</f>
        <v>6.0810810810810814E-2</v>
      </c>
      <c r="AC8" s="41">
        <f>tblExpenses[[#This Row],[Thg12]]/tblExpenses[[#Totals],[Thg12]]</f>
        <v>0.1038961038961039</v>
      </c>
      <c r="AD8" s="41">
        <f>tblExpenses[[#This Row],[Hàng năm]]/tblExpenses[[#Totals],[Hàng năm]]</f>
        <v>5.3684561520506838E-2</v>
      </c>
    </row>
    <row r="9" spans="1:30" ht="30" customHeight="1" x14ac:dyDescent="0.25">
      <c r="B9" s="46" t="s">
        <v>61</v>
      </c>
      <c r="C9" s="39" t="s">
        <v>76</v>
      </c>
      <c r="D9" s="27">
        <v>11</v>
      </c>
      <c r="E9" s="27">
        <v>11</v>
      </c>
      <c r="F9" s="27">
        <v>17</v>
      </c>
      <c r="G9" s="27">
        <v>12</v>
      </c>
      <c r="H9" s="27">
        <v>2</v>
      </c>
      <c r="I9" s="27">
        <v>14</v>
      </c>
      <c r="J9" s="27">
        <v>12</v>
      </c>
      <c r="K9" s="27">
        <v>10</v>
      </c>
      <c r="L9" s="27">
        <v>18</v>
      </c>
      <c r="M9" s="27">
        <v>11</v>
      </c>
      <c r="N9" s="27">
        <v>23</v>
      </c>
      <c r="O9" s="27">
        <v>11</v>
      </c>
      <c r="P9" s="40">
        <f>SUM(tblExpenses[[#This Row],[Cột_1]:[Thg12]])</f>
        <v>152</v>
      </c>
      <c r="Q9" s="28">
        <v>0.03</v>
      </c>
      <c r="R9" s="41">
        <f>tblExpenses[[#This Row],[Cột_1]]/tblExpenses[[#Totals],[Cột_1]]</f>
        <v>4.6610169491525424E-2</v>
      </c>
      <c r="S9" s="41">
        <f>tblExpenses[[#This Row],[Thg2]]/tblExpenses[[#Totals],[Thg2]]</f>
        <v>5.3658536585365853E-2</v>
      </c>
      <c r="T9" s="41">
        <f>tblExpenses[[#This Row],[Thg3]]/tblExpenses[[#Totals],[Thg3]]</f>
        <v>6.8273092369477914E-2</v>
      </c>
      <c r="U9" s="41">
        <f>tblExpenses[[#This Row],[Thg4]]/tblExpenses[[#Totals],[Thg4]]</f>
        <v>4.5977011494252873E-2</v>
      </c>
      <c r="V9" s="41">
        <f>tblExpenses[[#This Row],[Thg5]]/tblExpenses[[#Totals],[Thg5]]</f>
        <v>7.7821011673151752E-3</v>
      </c>
      <c r="W9" s="41">
        <f>tblExpenses[[#This Row],[Thg6]]/tblExpenses[[#Totals],[Thg6]]</f>
        <v>5.1094890510948905E-2</v>
      </c>
      <c r="X9" s="41">
        <f>tblExpenses[[#This Row],[Thg7]]/tblExpenses[[#Totals],[Thg7]]</f>
        <v>4.5112781954887216E-2</v>
      </c>
      <c r="Y9" s="41">
        <f>tblExpenses[[#This Row],[Thg8]]/tblExpenses[[#Totals],[Thg8]]</f>
        <v>4.2553191489361701E-2</v>
      </c>
      <c r="Z9" s="41">
        <f>tblExpenses[[#This Row],[Thg9]]/tblExpenses[[#Totals],[Thg9]]</f>
        <v>7.8260869565217397E-2</v>
      </c>
      <c r="AA9" s="41">
        <f>tblExpenses[[#This Row],[Thg10]]/tblExpenses[[#Totals],[Thg10]]</f>
        <v>4.2471042471042469E-2</v>
      </c>
      <c r="AB9" s="41">
        <f>tblExpenses[[#This Row],[Thg11]]/tblExpenses[[#Totals],[Thg11]]</f>
        <v>7.77027027027027E-2</v>
      </c>
      <c r="AC9" s="41">
        <f>tblExpenses[[#This Row],[Thg12]]/tblExpenses[[#Totals],[Thg12]]</f>
        <v>4.7619047619047616E-2</v>
      </c>
      <c r="AD9" s="41">
        <f>tblExpenses[[#This Row],[Hàng năm]]/tblExpenses[[#Totals],[Hàng năm]]</f>
        <v>5.0683561187062354E-2</v>
      </c>
    </row>
    <row r="10" spans="1:30" ht="30" customHeight="1" x14ac:dyDescent="0.25">
      <c r="B10" s="46" t="s">
        <v>62</v>
      </c>
      <c r="C10" s="39" t="s">
        <v>76</v>
      </c>
      <c r="D10" s="27">
        <v>2</v>
      </c>
      <c r="E10" s="27">
        <v>16</v>
      </c>
      <c r="F10" s="27">
        <v>6</v>
      </c>
      <c r="G10" s="27">
        <v>13</v>
      </c>
      <c r="H10" s="27">
        <v>11</v>
      </c>
      <c r="I10" s="27">
        <v>22</v>
      </c>
      <c r="J10" s="27">
        <v>21</v>
      </c>
      <c r="K10" s="27">
        <v>3</v>
      </c>
      <c r="L10" s="27">
        <v>12</v>
      </c>
      <c r="M10" s="27">
        <v>7</v>
      </c>
      <c r="N10" s="27">
        <v>17</v>
      </c>
      <c r="O10" s="27">
        <v>20</v>
      </c>
      <c r="P10" s="40">
        <f>SUM(tblExpenses[[#This Row],[Cột_1]:[Thg12]])</f>
        <v>150</v>
      </c>
      <c r="Q10" s="28">
        <v>0.15</v>
      </c>
      <c r="R10" s="41">
        <f>tblExpenses[[#This Row],[Cột_1]]/tblExpenses[[#Totals],[Cột_1]]</f>
        <v>8.4745762711864406E-3</v>
      </c>
      <c r="S10" s="41">
        <f>tblExpenses[[#This Row],[Thg2]]/tblExpenses[[#Totals],[Thg2]]</f>
        <v>7.8048780487804878E-2</v>
      </c>
      <c r="T10" s="41">
        <f>tblExpenses[[#This Row],[Thg3]]/tblExpenses[[#Totals],[Thg3]]</f>
        <v>2.4096385542168676E-2</v>
      </c>
      <c r="U10" s="41">
        <f>tblExpenses[[#This Row],[Thg4]]/tblExpenses[[#Totals],[Thg4]]</f>
        <v>4.9808429118773943E-2</v>
      </c>
      <c r="V10" s="41">
        <f>tblExpenses[[#This Row],[Thg5]]/tblExpenses[[#Totals],[Thg5]]</f>
        <v>4.2801556420233464E-2</v>
      </c>
      <c r="W10" s="41">
        <f>tblExpenses[[#This Row],[Thg6]]/tblExpenses[[#Totals],[Thg6]]</f>
        <v>8.0291970802919707E-2</v>
      </c>
      <c r="X10" s="41">
        <f>tblExpenses[[#This Row],[Thg7]]/tblExpenses[[#Totals],[Thg7]]</f>
        <v>7.8947368421052627E-2</v>
      </c>
      <c r="Y10" s="41">
        <f>tblExpenses[[#This Row],[Thg8]]/tblExpenses[[#Totals],[Thg8]]</f>
        <v>1.276595744680851E-2</v>
      </c>
      <c r="Z10" s="41">
        <f>tblExpenses[[#This Row],[Thg9]]/tblExpenses[[#Totals],[Thg9]]</f>
        <v>5.2173913043478258E-2</v>
      </c>
      <c r="AA10" s="41">
        <f>tblExpenses[[#This Row],[Thg10]]/tblExpenses[[#Totals],[Thg10]]</f>
        <v>2.7027027027027029E-2</v>
      </c>
      <c r="AB10" s="41">
        <f>tblExpenses[[#This Row],[Thg11]]/tblExpenses[[#Totals],[Thg11]]</f>
        <v>5.7432432432432436E-2</v>
      </c>
      <c r="AC10" s="41">
        <f>tblExpenses[[#This Row],[Thg12]]/tblExpenses[[#Totals],[Thg12]]</f>
        <v>8.6580086580086577E-2</v>
      </c>
      <c r="AD10" s="41">
        <f>tblExpenses[[#This Row],[Hàng năm]]/tblExpenses[[#Totals],[Hàng năm]]</f>
        <v>5.0016672224074694E-2</v>
      </c>
    </row>
    <row r="11" spans="1:30" ht="30" customHeight="1" x14ac:dyDescent="0.25">
      <c r="B11" s="46" t="s">
        <v>63</v>
      </c>
      <c r="C11" s="39" t="s">
        <v>76</v>
      </c>
      <c r="D11" s="27">
        <v>8</v>
      </c>
      <c r="E11" s="27">
        <v>17</v>
      </c>
      <c r="F11" s="27">
        <v>11</v>
      </c>
      <c r="G11" s="27">
        <v>11</v>
      </c>
      <c r="H11" s="27">
        <v>21</v>
      </c>
      <c r="I11" s="27">
        <v>9</v>
      </c>
      <c r="J11" s="27">
        <v>20</v>
      </c>
      <c r="K11" s="27">
        <v>3</v>
      </c>
      <c r="L11" s="27">
        <v>14</v>
      </c>
      <c r="M11" s="27">
        <v>22</v>
      </c>
      <c r="N11" s="27">
        <v>16</v>
      </c>
      <c r="O11" s="27">
        <v>12</v>
      </c>
      <c r="P11" s="40">
        <f>SUM(tblExpenses[[#This Row],[Cột_1]:[Thg12]])</f>
        <v>164</v>
      </c>
      <c r="Q11" s="28">
        <v>0.12</v>
      </c>
      <c r="R11" s="41">
        <f>tblExpenses[[#This Row],[Cột_1]]/tblExpenses[[#Totals],[Cột_1]]</f>
        <v>3.3898305084745763E-2</v>
      </c>
      <c r="S11" s="41">
        <f>tblExpenses[[#This Row],[Thg2]]/tblExpenses[[#Totals],[Thg2]]</f>
        <v>8.2926829268292687E-2</v>
      </c>
      <c r="T11" s="41">
        <f>tblExpenses[[#This Row],[Thg3]]/tblExpenses[[#Totals],[Thg3]]</f>
        <v>4.4176706827309238E-2</v>
      </c>
      <c r="U11" s="41">
        <f>tblExpenses[[#This Row],[Thg4]]/tblExpenses[[#Totals],[Thg4]]</f>
        <v>4.2145593869731802E-2</v>
      </c>
      <c r="V11" s="41">
        <f>tblExpenses[[#This Row],[Thg5]]/tblExpenses[[#Totals],[Thg5]]</f>
        <v>8.171206225680934E-2</v>
      </c>
      <c r="W11" s="41">
        <f>tblExpenses[[#This Row],[Thg6]]/tblExpenses[[#Totals],[Thg6]]</f>
        <v>3.2846715328467155E-2</v>
      </c>
      <c r="X11" s="41">
        <f>tblExpenses[[#This Row],[Thg7]]/tblExpenses[[#Totals],[Thg7]]</f>
        <v>7.5187969924812026E-2</v>
      </c>
      <c r="Y11" s="41">
        <f>tblExpenses[[#This Row],[Thg8]]/tblExpenses[[#Totals],[Thg8]]</f>
        <v>1.276595744680851E-2</v>
      </c>
      <c r="Z11" s="41">
        <f>tblExpenses[[#This Row],[Thg9]]/tblExpenses[[#Totals],[Thg9]]</f>
        <v>6.0869565217391307E-2</v>
      </c>
      <c r="AA11" s="41">
        <f>tblExpenses[[#This Row],[Thg10]]/tblExpenses[[#Totals],[Thg10]]</f>
        <v>8.4942084942084939E-2</v>
      </c>
      <c r="AB11" s="41">
        <f>tblExpenses[[#This Row],[Thg11]]/tblExpenses[[#Totals],[Thg11]]</f>
        <v>5.4054054054054057E-2</v>
      </c>
      <c r="AC11" s="41">
        <f>tblExpenses[[#This Row],[Thg12]]/tblExpenses[[#Totals],[Thg12]]</f>
        <v>5.1948051948051951E-2</v>
      </c>
      <c r="AD11" s="41">
        <f>tblExpenses[[#This Row],[Hàng năm]]/tblExpenses[[#Totals],[Hàng năm]]</f>
        <v>5.468489496498833E-2</v>
      </c>
    </row>
    <row r="12" spans="1:30" ht="30" customHeight="1" x14ac:dyDescent="0.25">
      <c r="B12" s="46" t="s">
        <v>64</v>
      </c>
      <c r="C12" s="39" t="s">
        <v>76</v>
      </c>
      <c r="D12" s="27">
        <v>5</v>
      </c>
      <c r="E12" s="27">
        <v>13</v>
      </c>
      <c r="F12" s="27">
        <v>6</v>
      </c>
      <c r="G12" s="27">
        <v>15</v>
      </c>
      <c r="H12" s="27">
        <v>19</v>
      </c>
      <c r="I12" s="27">
        <v>10</v>
      </c>
      <c r="J12" s="27">
        <v>12</v>
      </c>
      <c r="K12" s="27">
        <v>9</v>
      </c>
      <c r="L12" s="27">
        <v>15</v>
      </c>
      <c r="M12" s="27">
        <v>16</v>
      </c>
      <c r="N12" s="27">
        <v>4</v>
      </c>
      <c r="O12" s="27">
        <v>9</v>
      </c>
      <c r="P12" s="40">
        <f>SUM(tblExpenses[[#This Row],[Cột_1]:[Thg12]])</f>
        <v>133</v>
      </c>
      <c r="Q12" s="28">
        <v>0.09</v>
      </c>
      <c r="R12" s="41">
        <f>tblExpenses[[#This Row],[Cột_1]]/tblExpenses[[#Totals],[Cột_1]]</f>
        <v>2.1186440677966101E-2</v>
      </c>
      <c r="S12" s="41">
        <f>tblExpenses[[#This Row],[Thg2]]/tblExpenses[[#Totals],[Thg2]]</f>
        <v>6.3414634146341464E-2</v>
      </c>
      <c r="T12" s="41">
        <f>tblExpenses[[#This Row],[Thg3]]/tblExpenses[[#Totals],[Thg3]]</f>
        <v>2.4096385542168676E-2</v>
      </c>
      <c r="U12" s="41">
        <f>tblExpenses[[#This Row],[Thg4]]/tblExpenses[[#Totals],[Thg4]]</f>
        <v>5.7471264367816091E-2</v>
      </c>
      <c r="V12" s="41">
        <f>tblExpenses[[#This Row],[Thg5]]/tblExpenses[[#Totals],[Thg5]]</f>
        <v>7.3929961089494164E-2</v>
      </c>
      <c r="W12" s="41">
        <f>tblExpenses[[#This Row],[Thg6]]/tblExpenses[[#Totals],[Thg6]]</f>
        <v>3.6496350364963501E-2</v>
      </c>
      <c r="X12" s="41">
        <f>tblExpenses[[#This Row],[Thg7]]/tblExpenses[[#Totals],[Thg7]]</f>
        <v>4.5112781954887216E-2</v>
      </c>
      <c r="Y12" s="41">
        <f>tblExpenses[[#This Row],[Thg8]]/tblExpenses[[#Totals],[Thg8]]</f>
        <v>3.8297872340425532E-2</v>
      </c>
      <c r="Z12" s="41">
        <f>tblExpenses[[#This Row],[Thg9]]/tblExpenses[[#Totals],[Thg9]]</f>
        <v>6.5217391304347824E-2</v>
      </c>
      <c r="AA12" s="41">
        <f>tblExpenses[[#This Row],[Thg10]]/tblExpenses[[#Totals],[Thg10]]</f>
        <v>6.1776061776061778E-2</v>
      </c>
      <c r="AB12" s="41">
        <f>tblExpenses[[#This Row],[Thg11]]/tblExpenses[[#Totals],[Thg11]]</f>
        <v>1.3513513513513514E-2</v>
      </c>
      <c r="AC12" s="41">
        <f>tblExpenses[[#This Row],[Thg12]]/tblExpenses[[#Totals],[Thg12]]</f>
        <v>3.896103896103896E-2</v>
      </c>
      <c r="AD12" s="41">
        <f>tblExpenses[[#This Row],[Hàng năm]]/tblExpenses[[#Totals],[Hàng năm]]</f>
        <v>4.4348116038679559E-2</v>
      </c>
    </row>
    <row r="13" spans="1:30" ht="30" customHeight="1" x14ac:dyDescent="0.25">
      <c r="B13" s="46" t="s">
        <v>65</v>
      </c>
      <c r="C13" s="39" t="s">
        <v>76</v>
      </c>
      <c r="D13" s="27">
        <v>8</v>
      </c>
      <c r="E13" s="27">
        <v>4</v>
      </c>
      <c r="F13" s="27">
        <v>23</v>
      </c>
      <c r="G13" s="27">
        <v>25</v>
      </c>
      <c r="H13" s="27">
        <v>10</v>
      </c>
      <c r="I13" s="27">
        <v>24</v>
      </c>
      <c r="J13" s="27">
        <v>22</v>
      </c>
      <c r="K13" s="27">
        <v>5</v>
      </c>
      <c r="L13" s="27">
        <v>12</v>
      </c>
      <c r="M13" s="27">
        <v>24</v>
      </c>
      <c r="N13" s="27">
        <v>24</v>
      </c>
      <c r="O13" s="27">
        <v>12</v>
      </c>
      <c r="P13" s="40">
        <f>SUM(tblExpenses[[#This Row],[Cột_1]:[Thg12]])</f>
        <v>193</v>
      </c>
      <c r="Q13" s="28">
        <v>0.01</v>
      </c>
      <c r="R13" s="41">
        <f>tblExpenses[[#This Row],[Cột_1]]/tblExpenses[[#Totals],[Cột_1]]</f>
        <v>3.3898305084745763E-2</v>
      </c>
      <c r="S13" s="41">
        <f>tblExpenses[[#This Row],[Thg2]]/tblExpenses[[#Totals],[Thg2]]</f>
        <v>1.9512195121951219E-2</v>
      </c>
      <c r="T13" s="41">
        <f>tblExpenses[[#This Row],[Thg3]]/tblExpenses[[#Totals],[Thg3]]</f>
        <v>9.2369477911646583E-2</v>
      </c>
      <c r="U13" s="41">
        <f>tblExpenses[[#This Row],[Thg4]]/tblExpenses[[#Totals],[Thg4]]</f>
        <v>9.5785440613026823E-2</v>
      </c>
      <c r="V13" s="41">
        <f>tblExpenses[[#This Row],[Thg5]]/tblExpenses[[#Totals],[Thg5]]</f>
        <v>3.8910505836575876E-2</v>
      </c>
      <c r="W13" s="41">
        <f>tblExpenses[[#This Row],[Thg6]]/tblExpenses[[#Totals],[Thg6]]</f>
        <v>8.7591240875912413E-2</v>
      </c>
      <c r="X13" s="41">
        <f>tblExpenses[[#This Row],[Thg7]]/tblExpenses[[#Totals],[Thg7]]</f>
        <v>8.2706766917293228E-2</v>
      </c>
      <c r="Y13" s="41">
        <f>tblExpenses[[#This Row],[Thg8]]/tblExpenses[[#Totals],[Thg8]]</f>
        <v>2.1276595744680851E-2</v>
      </c>
      <c r="Z13" s="41">
        <f>tblExpenses[[#This Row],[Thg9]]/tblExpenses[[#Totals],[Thg9]]</f>
        <v>5.2173913043478258E-2</v>
      </c>
      <c r="AA13" s="41">
        <f>tblExpenses[[#This Row],[Thg10]]/tblExpenses[[#Totals],[Thg10]]</f>
        <v>9.2664092664092659E-2</v>
      </c>
      <c r="AB13" s="41">
        <f>tblExpenses[[#This Row],[Thg11]]/tblExpenses[[#Totals],[Thg11]]</f>
        <v>8.1081081081081086E-2</v>
      </c>
      <c r="AC13" s="41">
        <f>tblExpenses[[#This Row],[Thg12]]/tblExpenses[[#Totals],[Thg12]]</f>
        <v>5.1948051948051951E-2</v>
      </c>
      <c r="AD13" s="41">
        <f>tblExpenses[[#This Row],[Hàng năm]]/tblExpenses[[#Totals],[Hàng năm]]</f>
        <v>6.4354784928309441E-2</v>
      </c>
    </row>
    <row r="14" spans="1:30" ht="30" customHeight="1" x14ac:dyDescent="0.25">
      <c r="B14" s="46" t="s">
        <v>66</v>
      </c>
      <c r="C14" s="39" t="s">
        <v>76</v>
      </c>
      <c r="D14" s="27">
        <v>25</v>
      </c>
      <c r="E14" s="27">
        <v>2</v>
      </c>
      <c r="F14" s="27">
        <v>12</v>
      </c>
      <c r="G14" s="27">
        <v>25</v>
      </c>
      <c r="H14" s="27">
        <v>10</v>
      </c>
      <c r="I14" s="27">
        <v>24</v>
      </c>
      <c r="J14" s="27">
        <v>3</v>
      </c>
      <c r="K14" s="27">
        <v>20</v>
      </c>
      <c r="L14" s="27">
        <v>3</v>
      </c>
      <c r="M14" s="27">
        <v>9</v>
      </c>
      <c r="N14" s="27">
        <v>20</v>
      </c>
      <c r="O14" s="27">
        <v>18</v>
      </c>
      <c r="P14" s="40">
        <f>SUM(tblExpenses[[#This Row],[Cột_1]:[Thg12]])</f>
        <v>171</v>
      </c>
      <c r="Q14" s="28">
        <v>0.01</v>
      </c>
      <c r="R14" s="41">
        <f>tblExpenses[[#This Row],[Cột_1]]/tblExpenses[[#Totals],[Cột_1]]</f>
        <v>0.1059322033898305</v>
      </c>
      <c r="S14" s="41">
        <f>tblExpenses[[#This Row],[Thg2]]/tblExpenses[[#Totals],[Thg2]]</f>
        <v>9.7560975609756097E-3</v>
      </c>
      <c r="T14" s="41">
        <f>tblExpenses[[#This Row],[Thg3]]/tblExpenses[[#Totals],[Thg3]]</f>
        <v>4.8192771084337352E-2</v>
      </c>
      <c r="U14" s="41">
        <f>tblExpenses[[#This Row],[Thg4]]/tblExpenses[[#Totals],[Thg4]]</f>
        <v>9.5785440613026823E-2</v>
      </c>
      <c r="V14" s="41">
        <f>tblExpenses[[#This Row],[Thg5]]/tblExpenses[[#Totals],[Thg5]]</f>
        <v>3.8910505836575876E-2</v>
      </c>
      <c r="W14" s="41">
        <f>tblExpenses[[#This Row],[Thg6]]/tblExpenses[[#Totals],[Thg6]]</f>
        <v>8.7591240875912413E-2</v>
      </c>
      <c r="X14" s="41">
        <f>tblExpenses[[#This Row],[Thg7]]/tblExpenses[[#Totals],[Thg7]]</f>
        <v>1.1278195488721804E-2</v>
      </c>
      <c r="Y14" s="41">
        <f>tblExpenses[[#This Row],[Thg8]]/tblExpenses[[#Totals],[Thg8]]</f>
        <v>8.5106382978723402E-2</v>
      </c>
      <c r="Z14" s="41">
        <f>tblExpenses[[#This Row],[Thg9]]/tblExpenses[[#Totals],[Thg9]]</f>
        <v>1.3043478260869565E-2</v>
      </c>
      <c r="AA14" s="41">
        <f>tblExpenses[[#This Row],[Thg10]]/tblExpenses[[#Totals],[Thg10]]</f>
        <v>3.4749034749034749E-2</v>
      </c>
      <c r="AB14" s="41">
        <f>tblExpenses[[#This Row],[Thg11]]/tblExpenses[[#Totals],[Thg11]]</f>
        <v>6.7567567567567571E-2</v>
      </c>
      <c r="AC14" s="41">
        <f>tblExpenses[[#This Row],[Thg12]]/tblExpenses[[#Totals],[Thg12]]</f>
        <v>7.792207792207792E-2</v>
      </c>
      <c r="AD14" s="41">
        <f>tblExpenses[[#This Row],[Hàng năm]]/tblExpenses[[#Totals],[Hàng năm]]</f>
        <v>5.7019006335445148E-2</v>
      </c>
    </row>
    <row r="15" spans="1:30" ht="30" customHeight="1" x14ac:dyDescent="0.25">
      <c r="B15" s="46" t="s">
        <v>67</v>
      </c>
      <c r="C15" s="39" t="s">
        <v>76</v>
      </c>
      <c r="D15" s="27">
        <v>16</v>
      </c>
      <c r="E15" s="27">
        <v>19</v>
      </c>
      <c r="F15" s="27">
        <v>9</v>
      </c>
      <c r="G15" s="27">
        <v>16</v>
      </c>
      <c r="H15" s="27">
        <v>13</v>
      </c>
      <c r="I15" s="27">
        <v>2</v>
      </c>
      <c r="J15" s="27">
        <v>4</v>
      </c>
      <c r="K15" s="27">
        <v>24</v>
      </c>
      <c r="L15" s="27">
        <v>16</v>
      </c>
      <c r="M15" s="27">
        <v>22</v>
      </c>
      <c r="N15" s="27">
        <v>7</v>
      </c>
      <c r="O15" s="27">
        <v>18</v>
      </c>
      <c r="P15" s="40">
        <f>SUM(tblExpenses[[#This Row],[Cột_1]:[Thg12]])</f>
        <v>166</v>
      </c>
      <c r="Q15" s="28">
        <v>0.01</v>
      </c>
      <c r="R15" s="41">
        <f>tblExpenses[[#This Row],[Cột_1]]/tblExpenses[[#Totals],[Cột_1]]</f>
        <v>6.7796610169491525E-2</v>
      </c>
      <c r="S15" s="41">
        <f>tblExpenses[[#This Row],[Thg2]]/tblExpenses[[#Totals],[Thg2]]</f>
        <v>9.2682926829268292E-2</v>
      </c>
      <c r="T15" s="41">
        <f>tblExpenses[[#This Row],[Thg3]]/tblExpenses[[#Totals],[Thg3]]</f>
        <v>3.614457831325301E-2</v>
      </c>
      <c r="U15" s="41">
        <f>tblExpenses[[#This Row],[Thg4]]/tblExpenses[[#Totals],[Thg4]]</f>
        <v>6.1302681992337162E-2</v>
      </c>
      <c r="V15" s="41">
        <f>tblExpenses[[#This Row],[Thg5]]/tblExpenses[[#Totals],[Thg5]]</f>
        <v>5.0583657587548639E-2</v>
      </c>
      <c r="W15" s="41">
        <f>tblExpenses[[#This Row],[Thg6]]/tblExpenses[[#Totals],[Thg6]]</f>
        <v>7.2992700729927005E-3</v>
      </c>
      <c r="X15" s="41">
        <f>tblExpenses[[#This Row],[Thg7]]/tblExpenses[[#Totals],[Thg7]]</f>
        <v>1.5037593984962405E-2</v>
      </c>
      <c r="Y15" s="41">
        <f>tblExpenses[[#This Row],[Thg8]]/tblExpenses[[#Totals],[Thg8]]</f>
        <v>0.10212765957446808</v>
      </c>
      <c r="Z15" s="41">
        <f>tblExpenses[[#This Row],[Thg9]]/tblExpenses[[#Totals],[Thg9]]</f>
        <v>6.9565217391304349E-2</v>
      </c>
      <c r="AA15" s="41">
        <f>tblExpenses[[#This Row],[Thg10]]/tblExpenses[[#Totals],[Thg10]]</f>
        <v>8.4942084942084939E-2</v>
      </c>
      <c r="AB15" s="41">
        <f>tblExpenses[[#This Row],[Thg11]]/tblExpenses[[#Totals],[Thg11]]</f>
        <v>2.364864864864865E-2</v>
      </c>
      <c r="AC15" s="41">
        <f>tblExpenses[[#This Row],[Thg12]]/tblExpenses[[#Totals],[Thg12]]</f>
        <v>7.792207792207792E-2</v>
      </c>
      <c r="AD15" s="41">
        <f>tblExpenses[[#This Row],[Hàng năm]]/tblExpenses[[#Totals],[Hàng năm]]</f>
        <v>5.5351783927975989E-2</v>
      </c>
    </row>
    <row r="16" spans="1:30" ht="30" customHeight="1" x14ac:dyDescent="0.25">
      <c r="B16" s="46" t="s">
        <v>68</v>
      </c>
      <c r="C16" s="39" t="s">
        <v>76</v>
      </c>
      <c r="D16" s="27">
        <v>12</v>
      </c>
      <c r="E16" s="27">
        <v>9</v>
      </c>
      <c r="F16" s="27">
        <v>16</v>
      </c>
      <c r="G16" s="27">
        <v>19</v>
      </c>
      <c r="H16" s="27">
        <v>25</v>
      </c>
      <c r="I16" s="27">
        <v>17</v>
      </c>
      <c r="J16" s="27">
        <v>20</v>
      </c>
      <c r="K16" s="27">
        <v>14</v>
      </c>
      <c r="L16" s="27">
        <v>5</v>
      </c>
      <c r="M16" s="27">
        <v>14</v>
      </c>
      <c r="N16" s="27">
        <v>5</v>
      </c>
      <c r="O16" s="27">
        <v>2</v>
      </c>
      <c r="P16" s="40">
        <f>SUM(tblExpenses[[#This Row],[Cột_1]:[Thg12]])</f>
        <v>158</v>
      </c>
      <c r="Q16" s="28">
        <v>0.01</v>
      </c>
      <c r="R16" s="41">
        <f>tblExpenses[[#This Row],[Cột_1]]/tblExpenses[[#Totals],[Cột_1]]</f>
        <v>5.0847457627118647E-2</v>
      </c>
      <c r="S16" s="41">
        <f>tblExpenses[[#This Row],[Thg2]]/tblExpenses[[#Totals],[Thg2]]</f>
        <v>4.3902439024390241E-2</v>
      </c>
      <c r="T16" s="41">
        <f>tblExpenses[[#This Row],[Thg3]]/tblExpenses[[#Totals],[Thg3]]</f>
        <v>6.4257028112449793E-2</v>
      </c>
      <c r="U16" s="41">
        <f>tblExpenses[[#This Row],[Thg4]]/tblExpenses[[#Totals],[Thg4]]</f>
        <v>7.2796934865900387E-2</v>
      </c>
      <c r="V16" s="41">
        <f>tblExpenses[[#This Row],[Thg5]]/tblExpenses[[#Totals],[Thg5]]</f>
        <v>9.727626459143969E-2</v>
      </c>
      <c r="W16" s="41">
        <f>tblExpenses[[#This Row],[Thg6]]/tblExpenses[[#Totals],[Thg6]]</f>
        <v>6.2043795620437957E-2</v>
      </c>
      <c r="X16" s="41">
        <f>tblExpenses[[#This Row],[Thg7]]/tblExpenses[[#Totals],[Thg7]]</f>
        <v>7.5187969924812026E-2</v>
      </c>
      <c r="Y16" s="41">
        <f>tblExpenses[[#This Row],[Thg8]]/tblExpenses[[#Totals],[Thg8]]</f>
        <v>5.9574468085106386E-2</v>
      </c>
      <c r="Z16" s="41">
        <f>tblExpenses[[#This Row],[Thg9]]/tblExpenses[[#Totals],[Thg9]]</f>
        <v>2.1739130434782608E-2</v>
      </c>
      <c r="AA16" s="41">
        <f>tblExpenses[[#This Row],[Thg10]]/tblExpenses[[#Totals],[Thg10]]</f>
        <v>5.4054054054054057E-2</v>
      </c>
      <c r="AB16" s="41">
        <f>tblExpenses[[#This Row],[Thg11]]/tblExpenses[[#Totals],[Thg11]]</f>
        <v>1.6891891891891893E-2</v>
      </c>
      <c r="AC16" s="41">
        <f>tblExpenses[[#This Row],[Thg12]]/tblExpenses[[#Totals],[Thg12]]</f>
        <v>8.658008658008658E-3</v>
      </c>
      <c r="AD16" s="41">
        <f>tblExpenses[[#This Row],[Hàng năm]]/tblExpenses[[#Totals],[Hàng năm]]</f>
        <v>5.2684228076025338E-2</v>
      </c>
    </row>
    <row r="17" spans="1:30" ht="30" customHeight="1" x14ac:dyDescent="0.25">
      <c r="B17" s="46" t="s">
        <v>69</v>
      </c>
      <c r="C17" s="39" t="s">
        <v>76</v>
      </c>
      <c r="D17" s="27">
        <v>16</v>
      </c>
      <c r="E17" s="27">
        <v>13</v>
      </c>
      <c r="F17" s="27">
        <v>10</v>
      </c>
      <c r="G17" s="27">
        <v>7</v>
      </c>
      <c r="H17" s="27">
        <v>13</v>
      </c>
      <c r="I17" s="27">
        <v>3</v>
      </c>
      <c r="J17" s="27">
        <v>13</v>
      </c>
      <c r="K17" s="27">
        <v>17</v>
      </c>
      <c r="L17" s="27">
        <v>9</v>
      </c>
      <c r="M17" s="27">
        <v>4</v>
      </c>
      <c r="N17" s="27">
        <v>22</v>
      </c>
      <c r="O17" s="27">
        <v>18</v>
      </c>
      <c r="P17" s="40">
        <f>SUM(tblExpenses[[#This Row],[Cột_1]:[Thg12]])</f>
        <v>145</v>
      </c>
      <c r="Q17" s="28">
        <v>0.14000000000000001</v>
      </c>
      <c r="R17" s="41">
        <f>tblExpenses[[#This Row],[Cột_1]]/tblExpenses[[#Totals],[Cột_1]]</f>
        <v>6.7796610169491525E-2</v>
      </c>
      <c r="S17" s="41">
        <f>tblExpenses[[#This Row],[Thg2]]/tblExpenses[[#Totals],[Thg2]]</f>
        <v>6.3414634146341464E-2</v>
      </c>
      <c r="T17" s="41">
        <f>tblExpenses[[#This Row],[Thg3]]/tblExpenses[[#Totals],[Thg3]]</f>
        <v>4.0160642570281124E-2</v>
      </c>
      <c r="U17" s="41">
        <f>tblExpenses[[#This Row],[Thg4]]/tblExpenses[[#Totals],[Thg4]]</f>
        <v>2.681992337164751E-2</v>
      </c>
      <c r="V17" s="41">
        <f>tblExpenses[[#This Row],[Thg5]]/tblExpenses[[#Totals],[Thg5]]</f>
        <v>5.0583657587548639E-2</v>
      </c>
      <c r="W17" s="41">
        <f>tblExpenses[[#This Row],[Thg6]]/tblExpenses[[#Totals],[Thg6]]</f>
        <v>1.0948905109489052E-2</v>
      </c>
      <c r="X17" s="41">
        <f>tblExpenses[[#This Row],[Thg7]]/tblExpenses[[#Totals],[Thg7]]</f>
        <v>4.8872180451127817E-2</v>
      </c>
      <c r="Y17" s="41">
        <f>tblExpenses[[#This Row],[Thg8]]/tblExpenses[[#Totals],[Thg8]]</f>
        <v>7.2340425531914887E-2</v>
      </c>
      <c r="Z17" s="41">
        <f>tblExpenses[[#This Row],[Thg9]]/tblExpenses[[#Totals],[Thg9]]</f>
        <v>3.9130434782608699E-2</v>
      </c>
      <c r="AA17" s="41">
        <f>tblExpenses[[#This Row],[Thg10]]/tblExpenses[[#Totals],[Thg10]]</f>
        <v>1.5444015444015444E-2</v>
      </c>
      <c r="AB17" s="41">
        <f>tblExpenses[[#This Row],[Thg11]]/tblExpenses[[#Totals],[Thg11]]</f>
        <v>7.4324324324324328E-2</v>
      </c>
      <c r="AC17" s="41">
        <f>tblExpenses[[#This Row],[Thg12]]/tblExpenses[[#Totals],[Thg12]]</f>
        <v>7.792207792207792E-2</v>
      </c>
      <c r="AD17" s="41">
        <f>tblExpenses[[#This Row],[Hàng năm]]/tblExpenses[[#Totals],[Hàng năm]]</f>
        <v>4.8349449816605536E-2</v>
      </c>
    </row>
    <row r="18" spans="1:30" ht="30" customHeight="1" x14ac:dyDescent="0.25">
      <c r="B18" s="46" t="s">
        <v>70</v>
      </c>
      <c r="C18" s="39" t="s">
        <v>76</v>
      </c>
      <c r="D18" s="27">
        <v>3</v>
      </c>
      <c r="E18" s="27">
        <v>2</v>
      </c>
      <c r="F18" s="27">
        <v>19</v>
      </c>
      <c r="G18" s="27">
        <v>21</v>
      </c>
      <c r="H18" s="27">
        <v>13</v>
      </c>
      <c r="I18" s="27">
        <v>9</v>
      </c>
      <c r="J18" s="27">
        <v>7</v>
      </c>
      <c r="K18" s="27">
        <v>13</v>
      </c>
      <c r="L18" s="27">
        <v>3</v>
      </c>
      <c r="M18" s="27">
        <v>6</v>
      </c>
      <c r="N18" s="27">
        <v>10</v>
      </c>
      <c r="O18" s="27">
        <v>13</v>
      </c>
      <c r="P18" s="40">
        <f>SUM(tblExpenses[[#This Row],[Cột_1]:[Thg12]])</f>
        <v>119</v>
      </c>
      <c r="Q18" s="28">
        <v>0.06</v>
      </c>
      <c r="R18" s="41">
        <f>tblExpenses[[#This Row],[Cột_1]]/tblExpenses[[#Totals],[Cột_1]]</f>
        <v>1.2711864406779662E-2</v>
      </c>
      <c r="S18" s="41">
        <f>tblExpenses[[#This Row],[Thg2]]/tblExpenses[[#Totals],[Thg2]]</f>
        <v>9.7560975609756097E-3</v>
      </c>
      <c r="T18" s="41">
        <f>tblExpenses[[#This Row],[Thg3]]/tblExpenses[[#Totals],[Thg3]]</f>
        <v>7.6305220883534142E-2</v>
      </c>
      <c r="U18" s="41">
        <f>tblExpenses[[#This Row],[Thg4]]/tblExpenses[[#Totals],[Thg4]]</f>
        <v>8.0459770114942528E-2</v>
      </c>
      <c r="V18" s="41">
        <f>tblExpenses[[#This Row],[Thg5]]/tblExpenses[[#Totals],[Thg5]]</f>
        <v>5.0583657587548639E-2</v>
      </c>
      <c r="W18" s="41">
        <f>tblExpenses[[#This Row],[Thg6]]/tblExpenses[[#Totals],[Thg6]]</f>
        <v>3.2846715328467155E-2</v>
      </c>
      <c r="X18" s="41">
        <f>tblExpenses[[#This Row],[Thg7]]/tblExpenses[[#Totals],[Thg7]]</f>
        <v>2.6315789473684209E-2</v>
      </c>
      <c r="Y18" s="41">
        <f>tblExpenses[[#This Row],[Thg8]]/tblExpenses[[#Totals],[Thg8]]</f>
        <v>5.5319148936170209E-2</v>
      </c>
      <c r="Z18" s="41">
        <f>tblExpenses[[#This Row],[Thg9]]/tblExpenses[[#Totals],[Thg9]]</f>
        <v>1.3043478260869565E-2</v>
      </c>
      <c r="AA18" s="41">
        <f>tblExpenses[[#This Row],[Thg10]]/tblExpenses[[#Totals],[Thg10]]</f>
        <v>2.3166023166023165E-2</v>
      </c>
      <c r="AB18" s="41">
        <f>tblExpenses[[#This Row],[Thg11]]/tblExpenses[[#Totals],[Thg11]]</f>
        <v>3.3783783783783786E-2</v>
      </c>
      <c r="AC18" s="41">
        <f>tblExpenses[[#This Row],[Thg12]]/tblExpenses[[#Totals],[Thg12]]</f>
        <v>5.627705627705628E-2</v>
      </c>
      <c r="AD18" s="41">
        <f>tblExpenses[[#This Row],[Hàng năm]]/tblExpenses[[#Totals],[Hàng năm]]</f>
        <v>3.9679893297765924E-2</v>
      </c>
    </row>
    <row r="19" spans="1:30" ht="30" customHeight="1" x14ac:dyDescent="0.25">
      <c r="B19" s="46" t="s">
        <v>71</v>
      </c>
      <c r="C19" s="39" t="s">
        <v>76</v>
      </c>
      <c r="D19" s="27">
        <v>8</v>
      </c>
      <c r="E19" s="27">
        <v>7</v>
      </c>
      <c r="F19" s="27">
        <v>6</v>
      </c>
      <c r="G19" s="27">
        <v>7</v>
      </c>
      <c r="H19" s="27">
        <v>7</v>
      </c>
      <c r="I19" s="27">
        <v>6</v>
      </c>
      <c r="J19" s="27">
        <v>15</v>
      </c>
      <c r="K19" s="27">
        <v>23</v>
      </c>
      <c r="L19" s="27">
        <v>21</v>
      </c>
      <c r="M19" s="27">
        <v>16</v>
      </c>
      <c r="N19" s="27">
        <v>19</v>
      </c>
      <c r="O19" s="27">
        <v>7</v>
      </c>
      <c r="P19" s="40">
        <f>SUM(tblExpenses[[#This Row],[Cột_1]:[Thg12]])</f>
        <v>142</v>
      </c>
      <c r="Q19" s="28">
        <v>0.01</v>
      </c>
      <c r="R19" s="41">
        <f>tblExpenses[[#This Row],[Cột_1]]/tblExpenses[[#Totals],[Cột_1]]</f>
        <v>3.3898305084745763E-2</v>
      </c>
      <c r="S19" s="41">
        <f>tblExpenses[[#This Row],[Thg2]]/tblExpenses[[#Totals],[Thg2]]</f>
        <v>3.4146341463414637E-2</v>
      </c>
      <c r="T19" s="41">
        <f>tblExpenses[[#This Row],[Thg3]]/tblExpenses[[#Totals],[Thg3]]</f>
        <v>2.4096385542168676E-2</v>
      </c>
      <c r="U19" s="41">
        <f>tblExpenses[[#This Row],[Thg4]]/tblExpenses[[#Totals],[Thg4]]</f>
        <v>2.681992337164751E-2</v>
      </c>
      <c r="V19" s="41">
        <f>tblExpenses[[#This Row],[Thg5]]/tblExpenses[[#Totals],[Thg5]]</f>
        <v>2.7237354085603113E-2</v>
      </c>
      <c r="W19" s="41">
        <f>tblExpenses[[#This Row],[Thg6]]/tblExpenses[[#Totals],[Thg6]]</f>
        <v>2.1897810218978103E-2</v>
      </c>
      <c r="X19" s="41">
        <f>tblExpenses[[#This Row],[Thg7]]/tblExpenses[[#Totals],[Thg7]]</f>
        <v>5.6390977443609019E-2</v>
      </c>
      <c r="Y19" s="41">
        <f>tblExpenses[[#This Row],[Thg8]]/tblExpenses[[#Totals],[Thg8]]</f>
        <v>9.7872340425531917E-2</v>
      </c>
      <c r="Z19" s="41">
        <f>tblExpenses[[#This Row],[Thg9]]/tblExpenses[[#Totals],[Thg9]]</f>
        <v>9.1304347826086957E-2</v>
      </c>
      <c r="AA19" s="41">
        <f>tblExpenses[[#This Row],[Thg10]]/tblExpenses[[#Totals],[Thg10]]</f>
        <v>6.1776061776061778E-2</v>
      </c>
      <c r="AB19" s="41">
        <f>tblExpenses[[#This Row],[Thg11]]/tblExpenses[[#Totals],[Thg11]]</f>
        <v>6.4189189189189186E-2</v>
      </c>
      <c r="AC19" s="41">
        <f>tblExpenses[[#This Row],[Thg12]]/tblExpenses[[#Totals],[Thg12]]</f>
        <v>3.0303030303030304E-2</v>
      </c>
      <c r="AD19" s="41">
        <f>tblExpenses[[#This Row],[Hàng năm]]/tblExpenses[[#Totals],[Hàng năm]]</f>
        <v>4.7349116372124044E-2</v>
      </c>
    </row>
    <row r="20" spans="1:30" ht="30" customHeight="1" x14ac:dyDescent="0.25">
      <c r="B20" s="46" t="s">
        <v>72</v>
      </c>
      <c r="C20" s="39" t="s">
        <v>76</v>
      </c>
      <c r="D20" s="27">
        <v>14</v>
      </c>
      <c r="E20" s="27">
        <v>4</v>
      </c>
      <c r="F20" s="27">
        <v>24</v>
      </c>
      <c r="G20" s="27">
        <v>6</v>
      </c>
      <c r="H20" s="27">
        <v>20</v>
      </c>
      <c r="I20" s="27">
        <v>14</v>
      </c>
      <c r="J20" s="27">
        <v>21</v>
      </c>
      <c r="K20" s="27">
        <v>20</v>
      </c>
      <c r="L20" s="27">
        <v>22</v>
      </c>
      <c r="M20" s="27">
        <v>3</v>
      </c>
      <c r="N20" s="27">
        <v>14</v>
      </c>
      <c r="O20" s="27">
        <v>6</v>
      </c>
      <c r="P20" s="40">
        <f>SUM(tblExpenses[[#This Row],[Cột_1]:[Thg12]])</f>
        <v>168</v>
      </c>
      <c r="Q20" s="28">
        <v>0.01</v>
      </c>
      <c r="R20" s="41">
        <f>tblExpenses[[#This Row],[Cột_1]]/tblExpenses[[#Totals],[Cột_1]]</f>
        <v>5.9322033898305086E-2</v>
      </c>
      <c r="S20" s="41">
        <f>tblExpenses[[#This Row],[Thg2]]/tblExpenses[[#Totals],[Thg2]]</f>
        <v>1.9512195121951219E-2</v>
      </c>
      <c r="T20" s="41">
        <f>tblExpenses[[#This Row],[Thg3]]/tblExpenses[[#Totals],[Thg3]]</f>
        <v>9.6385542168674704E-2</v>
      </c>
      <c r="U20" s="41">
        <f>tblExpenses[[#This Row],[Thg4]]/tblExpenses[[#Totals],[Thg4]]</f>
        <v>2.2988505747126436E-2</v>
      </c>
      <c r="V20" s="41">
        <f>tblExpenses[[#This Row],[Thg5]]/tblExpenses[[#Totals],[Thg5]]</f>
        <v>7.7821011673151752E-2</v>
      </c>
      <c r="W20" s="41">
        <f>tblExpenses[[#This Row],[Thg6]]/tblExpenses[[#Totals],[Thg6]]</f>
        <v>5.1094890510948905E-2</v>
      </c>
      <c r="X20" s="41">
        <f>tblExpenses[[#This Row],[Thg7]]/tblExpenses[[#Totals],[Thg7]]</f>
        <v>7.8947368421052627E-2</v>
      </c>
      <c r="Y20" s="41">
        <f>tblExpenses[[#This Row],[Thg8]]/tblExpenses[[#Totals],[Thg8]]</f>
        <v>8.5106382978723402E-2</v>
      </c>
      <c r="Z20" s="41">
        <f>tblExpenses[[#This Row],[Thg9]]/tblExpenses[[#Totals],[Thg9]]</f>
        <v>9.5652173913043481E-2</v>
      </c>
      <c r="AA20" s="41">
        <f>tblExpenses[[#This Row],[Thg10]]/tblExpenses[[#Totals],[Thg10]]</f>
        <v>1.1583011583011582E-2</v>
      </c>
      <c r="AB20" s="41">
        <f>tblExpenses[[#This Row],[Thg11]]/tblExpenses[[#Totals],[Thg11]]</f>
        <v>4.72972972972973E-2</v>
      </c>
      <c r="AC20" s="41">
        <f>tblExpenses[[#This Row],[Thg12]]/tblExpenses[[#Totals],[Thg12]]</f>
        <v>2.5974025974025976E-2</v>
      </c>
      <c r="AD20" s="41">
        <f>tblExpenses[[#This Row],[Hàng năm]]/tblExpenses[[#Totals],[Hàng năm]]</f>
        <v>5.6018672890963656E-2</v>
      </c>
    </row>
    <row r="21" spans="1:30" ht="30" customHeight="1" x14ac:dyDescent="0.25">
      <c r="B21" s="46" t="s">
        <v>72</v>
      </c>
      <c r="C21" s="39" t="s">
        <v>76</v>
      </c>
      <c r="D21" s="27">
        <v>14</v>
      </c>
      <c r="E21" s="27">
        <v>7</v>
      </c>
      <c r="F21" s="27">
        <v>24</v>
      </c>
      <c r="G21" s="27">
        <v>10</v>
      </c>
      <c r="H21" s="27">
        <v>7</v>
      </c>
      <c r="I21" s="27">
        <v>24</v>
      </c>
      <c r="J21" s="27">
        <v>2</v>
      </c>
      <c r="K21" s="27">
        <v>11</v>
      </c>
      <c r="L21" s="27">
        <v>21</v>
      </c>
      <c r="M21" s="27">
        <v>19</v>
      </c>
      <c r="N21" s="27">
        <v>19</v>
      </c>
      <c r="O21" s="27">
        <v>20</v>
      </c>
      <c r="P21" s="40">
        <f>SUM(tblExpenses[[#This Row],[Cột_1]:[Thg12]])</f>
        <v>178</v>
      </c>
      <c r="Q21" s="28">
        <v>0.01</v>
      </c>
      <c r="R21" s="41">
        <f>tblExpenses[[#This Row],[Cột_1]]/tblExpenses[[#Totals],[Cột_1]]</f>
        <v>5.9322033898305086E-2</v>
      </c>
      <c r="S21" s="41">
        <f>tblExpenses[[#This Row],[Thg2]]/tblExpenses[[#Totals],[Thg2]]</f>
        <v>3.4146341463414637E-2</v>
      </c>
      <c r="T21" s="41">
        <f>tblExpenses[[#This Row],[Thg3]]/tblExpenses[[#Totals],[Thg3]]</f>
        <v>9.6385542168674704E-2</v>
      </c>
      <c r="U21" s="41">
        <f>tblExpenses[[#This Row],[Thg4]]/tblExpenses[[#Totals],[Thg4]]</f>
        <v>3.8314176245210725E-2</v>
      </c>
      <c r="V21" s="41">
        <f>tblExpenses[[#This Row],[Thg5]]/tblExpenses[[#Totals],[Thg5]]</f>
        <v>2.7237354085603113E-2</v>
      </c>
      <c r="W21" s="41">
        <f>tblExpenses[[#This Row],[Thg6]]/tblExpenses[[#Totals],[Thg6]]</f>
        <v>8.7591240875912413E-2</v>
      </c>
      <c r="X21" s="41">
        <f>tblExpenses[[#This Row],[Thg7]]/tblExpenses[[#Totals],[Thg7]]</f>
        <v>7.5187969924812026E-3</v>
      </c>
      <c r="Y21" s="41">
        <f>tblExpenses[[#This Row],[Thg8]]/tblExpenses[[#Totals],[Thg8]]</f>
        <v>4.6808510638297871E-2</v>
      </c>
      <c r="Z21" s="41">
        <f>tblExpenses[[#This Row],[Thg9]]/tblExpenses[[#Totals],[Thg9]]</f>
        <v>9.1304347826086957E-2</v>
      </c>
      <c r="AA21" s="41">
        <f>tblExpenses[[#This Row],[Thg10]]/tblExpenses[[#Totals],[Thg10]]</f>
        <v>7.3359073359073365E-2</v>
      </c>
      <c r="AB21" s="41">
        <f>tblExpenses[[#This Row],[Thg11]]/tblExpenses[[#Totals],[Thg11]]</f>
        <v>6.4189189189189186E-2</v>
      </c>
      <c r="AC21" s="41">
        <f>tblExpenses[[#This Row],[Thg12]]/tblExpenses[[#Totals],[Thg12]]</f>
        <v>8.6580086580086577E-2</v>
      </c>
      <c r="AD21" s="41">
        <f>tblExpenses[[#This Row],[Hàng năm]]/tblExpenses[[#Totals],[Hàng năm]]</f>
        <v>5.9353117705901966E-2</v>
      </c>
    </row>
    <row r="22" spans="1:30" ht="30" customHeight="1" x14ac:dyDescent="0.25">
      <c r="A22" s="1"/>
      <c r="B22" s="46" t="s">
        <v>72</v>
      </c>
      <c r="C22" s="39" t="s">
        <v>76</v>
      </c>
      <c r="D22" s="27">
        <v>11</v>
      </c>
      <c r="E22" s="27">
        <v>8</v>
      </c>
      <c r="F22" s="27">
        <v>25</v>
      </c>
      <c r="G22" s="27">
        <v>11</v>
      </c>
      <c r="H22" s="27">
        <v>9</v>
      </c>
      <c r="I22" s="27">
        <v>24</v>
      </c>
      <c r="J22" s="27">
        <v>13</v>
      </c>
      <c r="K22" s="27">
        <v>14</v>
      </c>
      <c r="L22" s="27">
        <v>19</v>
      </c>
      <c r="M22" s="27">
        <v>24</v>
      </c>
      <c r="N22" s="27">
        <v>15</v>
      </c>
      <c r="O22" s="27">
        <v>7</v>
      </c>
      <c r="P22" s="40">
        <f>SUM(tblExpenses[[#This Row],[Cột_1]:[Thg12]])</f>
        <v>180</v>
      </c>
      <c r="Q22" s="28">
        <v>0.01</v>
      </c>
      <c r="R22" s="41">
        <f>tblExpenses[[#This Row],[Cột_1]]/tblExpenses[[#Totals],[Cột_1]]</f>
        <v>4.6610169491525424E-2</v>
      </c>
      <c r="S22" s="41">
        <f>tblExpenses[[#This Row],[Thg2]]/tblExpenses[[#Totals],[Thg2]]</f>
        <v>3.9024390243902439E-2</v>
      </c>
      <c r="T22" s="41">
        <f>tblExpenses[[#This Row],[Thg3]]/tblExpenses[[#Totals],[Thg3]]</f>
        <v>0.10040160642570281</v>
      </c>
      <c r="U22" s="41">
        <f>tblExpenses[[#This Row],[Thg4]]/tblExpenses[[#Totals],[Thg4]]</f>
        <v>4.2145593869731802E-2</v>
      </c>
      <c r="V22" s="41">
        <f>tblExpenses[[#This Row],[Thg5]]/tblExpenses[[#Totals],[Thg5]]</f>
        <v>3.5019455252918288E-2</v>
      </c>
      <c r="W22" s="41">
        <f>tblExpenses[[#This Row],[Thg6]]/tblExpenses[[#Totals],[Thg6]]</f>
        <v>8.7591240875912413E-2</v>
      </c>
      <c r="X22" s="41">
        <f>tblExpenses[[#This Row],[Thg7]]/tblExpenses[[#Totals],[Thg7]]</f>
        <v>4.8872180451127817E-2</v>
      </c>
      <c r="Y22" s="41">
        <f>tblExpenses[[#This Row],[Thg8]]/tblExpenses[[#Totals],[Thg8]]</f>
        <v>5.9574468085106386E-2</v>
      </c>
      <c r="Z22" s="41">
        <f>tblExpenses[[#This Row],[Thg9]]/tblExpenses[[#Totals],[Thg9]]</f>
        <v>8.2608695652173908E-2</v>
      </c>
      <c r="AA22" s="41">
        <f>tblExpenses[[#This Row],[Thg10]]/tblExpenses[[#Totals],[Thg10]]</f>
        <v>9.2664092664092659E-2</v>
      </c>
      <c r="AB22" s="41">
        <f>tblExpenses[[#This Row],[Thg11]]/tblExpenses[[#Totals],[Thg11]]</f>
        <v>5.0675675675675678E-2</v>
      </c>
      <c r="AC22" s="41">
        <f>tblExpenses[[#This Row],[Thg12]]/tblExpenses[[#Totals],[Thg12]]</f>
        <v>3.0303030303030304E-2</v>
      </c>
      <c r="AD22" s="41">
        <f>tblExpenses[[#This Row],[Hàng năm]]/tblExpenses[[#Totals],[Hàng năm]]</f>
        <v>6.0020006668889632E-2</v>
      </c>
    </row>
    <row r="23" spans="1:30" ht="30" customHeight="1" x14ac:dyDescent="0.25">
      <c r="A23" s="2"/>
      <c r="B23" s="46" t="s">
        <v>73</v>
      </c>
      <c r="C23" s="39" t="s">
        <v>76</v>
      </c>
      <c r="D23" s="27">
        <v>8</v>
      </c>
      <c r="E23" s="27">
        <v>20</v>
      </c>
      <c r="F23" s="27">
        <v>11</v>
      </c>
      <c r="G23" s="27">
        <v>11</v>
      </c>
      <c r="H23" s="27">
        <v>11</v>
      </c>
      <c r="I23" s="27">
        <v>20</v>
      </c>
      <c r="J23" s="27">
        <v>12</v>
      </c>
      <c r="K23" s="27">
        <v>16</v>
      </c>
      <c r="L23" s="27">
        <v>5</v>
      </c>
      <c r="M23" s="27">
        <v>7</v>
      </c>
      <c r="N23" s="27">
        <v>21</v>
      </c>
      <c r="O23" s="27">
        <v>3</v>
      </c>
      <c r="P23" s="40">
        <f>SUM(tblExpenses[[#This Row],[Cột_1]:[Thg12]])</f>
        <v>145</v>
      </c>
      <c r="Q23" s="28">
        <v>0.02</v>
      </c>
      <c r="R23" s="41">
        <f>tblExpenses[[#This Row],[Cột_1]]/tblExpenses[[#Totals],[Cột_1]]</f>
        <v>3.3898305084745763E-2</v>
      </c>
      <c r="S23" s="41">
        <f>tblExpenses[[#This Row],[Thg2]]/tblExpenses[[#Totals],[Thg2]]</f>
        <v>9.7560975609756101E-2</v>
      </c>
      <c r="T23" s="41">
        <f>tblExpenses[[#This Row],[Thg3]]/tblExpenses[[#Totals],[Thg3]]</f>
        <v>4.4176706827309238E-2</v>
      </c>
      <c r="U23" s="41">
        <f>tblExpenses[[#This Row],[Thg4]]/tblExpenses[[#Totals],[Thg4]]</f>
        <v>4.2145593869731802E-2</v>
      </c>
      <c r="V23" s="41">
        <f>tblExpenses[[#This Row],[Thg5]]/tblExpenses[[#Totals],[Thg5]]</f>
        <v>4.2801556420233464E-2</v>
      </c>
      <c r="W23" s="41">
        <f>tblExpenses[[#This Row],[Thg6]]/tblExpenses[[#Totals],[Thg6]]</f>
        <v>7.2992700729927001E-2</v>
      </c>
      <c r="X23" s="41">
        <f>tblExpenses[[#This Row],[Thg7]]/tblExpenses[[#Totals],[Thg7]]</f>
        <v>4.5112781954887216E-2</v>
      </c>
      <c r="Y23" s="41">
        <f>tblExpenses[[#This Row],[Thg8]]/tblExpenses[[#Totals],[Thg8]]</f>
        <v>6.8085106382978725E-2</v>
      </c>
      <c r="Z23" s="41">
        <f>tblExpenses[[#This Row],[Thg9]]/tblExpenses[[#Totals],[Thg9]]</f>
        <v>2.1739130434782608E-2</v>
      </c>
      <c r="AA23" s="41">
        <f>tblExpenses[[#This Row],[Thg10]]/tblExpenses[[#Totals],[Thg10]]</f>
        <v>2.7027027027027029E-2</v>
      </c>
      <c r="AB23" s="41">
        <f>tblExpenses[[#This Row],[Thg11]]/tblExpenses[[#Totals],[Thg11]]</f>
        <v>7.0945945945945943E-2</v>
      </c>
      <c r="AC23" s="41">
        <f>tblExpenses[[#This Row],[Thg12]]/tblExpenses[[#Totals],[Thg12]]</f>
        <v>1.2987012987012988E-2</v>
      </c>
      <c r="AD23" s="41">
        <f>tblExpenses[[#This Row],[Hàng năm]]/tblExpenses[[#Totals],[Hàng năm]]</f>
        <v>4.8349449816605536E-2</v>
      </c>
    </row>
    <row r="24" spans="1:30" s="12" customFormat="1" ht="30" customHeight="1" x14ac:dyDescent="0.25">
      <c r="B24" s="9" t="s">
        <v>74</v>
      </c>
      <c r="C24" s="10" t="s">
        <v>76</v>
      </c>
      <c r="D24" s="45">
        <f>SUBTOTAL(109,tblExpenses[Cột_1])</f>
        <v>236</v>
      </c>
      <c r="E24" s="45">
        <f>SUBTOTAL(109,tblExpenses[Thg2])</f>
        <v>205</v>
      </c>
      <c r="F24" s="45">
        <f>SUBTOTAL(109,tblExpenses[Thg3])</f>
        <v>249</v>
      </c>
      <c r="G24" s="45">
        <f>SUBTOTAL(109,tblExpenses[Thg4])</f>
        <v>261</v>
      </c>
      <c r="H24" s="45">
        <f>SUBTOTAL(109,tblExpenses[Thg5])</f>
        <v>257</v>
      </c>
      <c r="I24" s="45">
        <f>SUBTOTAL(109,tblExpenses[Thg6])</f>
        <v>274</v>
      </c>
      <c r="J24" s="45">
        <f>SUBTOTAL(109,tblExpenses[Thg7])</f>
        <v>266</v>
      </c>
      <c r="K24" s="45">
        <f>SUBTOTAL(109,tblExpenses[Thg8])</f>
        <v>235</v>
      </c>
      <c r="L24" s="45">
        <f>SUBTOTAL(109,tblExpenses[Thg9])</f>
        <v>230</v>
      </c>
      <c r="M24" s="45">
        <f>SUBTOTAL(109,tblExpenses[Thg10])</f>
        <v>259</v>
      </c>
      <c r="N24" s="45">
        <f>SUBTOTAL(109,tblExpenses[Thg11])</f>
        <v>296</v>
      </c>
      <c r="O24" s="45">
        <f>SUBTOTAL(109,tblExpenses[Thg12])</f>
        <v>231</v>
      </c>
      <c r="P24" s="45">
        <f>SUBTOTAL(109,tblExpenses[Hàng năm])</f>
        <v>2999</v>
      </c>
      <c r="Q24" s="31">
        <f>SUBTOTAL(109,tblExpenses[% Chỉ mục])</f>
        <v>1</v>
      </c>
      <c r="R24" s="31">
        <f>SUBTOTAL(109,tblExpenses[% Thg1])</f>
        <v>1</v>
      </c>
      <c r="S24" s="31">
        <f>SUBTOTAL(109,tblExpenses[% Thg2])</f>
        <v>1.0000000000000002</v>
      </c>
      <c r="T24" s="31">
        <f>SUBTOTAL(109,tblExpenses[% Thg3])</f>
        <v>1.0000000000000002</v>
      </c>
      <c r="U24" s="31">
        <f>SUBTOTAL(109,tblExpenses[% Thg4])</f>
        <v>1</v>
      </c>
      <c r="V24" s="31">
        <f>SUBTOTAL(109,tblExpenses[% Thg5])</f>
        <v>1.0000000000000002</v>
      </c>
      <c r="W24" s="31">
        <f>SUBTOTAL(109,tblExpenses[% Thg6])</f>
        <v>1</v>
      </c>
      <c r="X24" s="31">
        <f>SUBTOTAL(109,tblExpenses[% Thg7])</f>
        <v>1</v>
      </c>
      <c r="Y24" s="31">
        <f>SUBTOTAL(109,tblExpenses[% Thg8])</f>
        <v>0.99999999999999989</v>
      </c>
      <c r="Z24" s="31">
        <f>SUBTOTAL(109,tblExpenses[% Thg9])</f>
        <v>1</v>
      </c>
      <c r="AA24" s="31">
        <f>SUBTOTAL(109,tblExpenses[% Thg10])</f>
        <v>1</v>
      </c>
      <c r="AB24" s="31">
        <f>SUBTOTAL(109,tblExpenses[% Thg11])</f>
        <v>0.99999999999999989</v>
      </c>
      <c r="AC24" s="31">
        <f>SUBTOTAL(109,tblExpenses[% Thg12])</f>
        <v>1</v>
      </c>
      <c r="AD24" s="31">
        <f>SUBTOTAL(109,tblExpenses[% Năm])</f>
        <v>0.99999999999999989</v>
      </c>
    </row>
    <row r="25" spans="1:30" ht="30" customHeight="1" x14ac:dyDescent="0.2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row>
    <row r="26" spans="1:30" ht="30" customHeight="1" x14ac:dyDescent="0.25">
      <c r="B26" s="13" t="s">
        <v>75</v>
      </c>
      <c r="C26" s="13"/>
      <c r="D26" s="14">
        <f>'Giá vốn Hàng bán'!$D$14-tblExpenses[[#Totals],[Cột_1]]</f>
        <v>123</v>
      </c>
      <c r="E26" s="14">
        <f>'Giá vốn Hàng bán'!E14-tblExpenses[[#Totals],[Thg2]]</f>
        <v>175</v>
      </c>
      <c r="F26" s="14">
        <f>'Giá vốn Hàng bán'!F14-tblExpenses[[#Totals],[Thg3]]</f>
        <v>256</v>
      </c>
      <c r="G26" s="14">
        <f>'Giá vốn Hàng bán'!G14-tblExpenses[[#Totals],[Thg4]]</f>
        <v>109</v>
      </c>
      <c r="H26" s="14">
        <f>'Giá vốn Hàng bán'!H14-tblExpenses[[#Totals],[Thg5]]</f>
        <v>156</v>
      </c>
      <c r="I26" s="14">
        <f>'Giá vốn Hàng bán'!I14-tblExpenses[[#Totals],[Thg6]]</f>
        <v>-8</v>
      </c>
      <c r="J26" s="14">
        <f>'Giá vốn Hàng bán'!J14-tblExpenses[[#Totals],[Thg7]]</f>
        <v>32</v>
      </c>
      <c r="K26" s="14">
        <f>'Giá vốn Hàng bán'!K14-tblExpenses[[#Totals],[Thg8]]</f>
        <v>214</v>
      </c>
      <c r="L26" s="14">
        <f>'Giá vốn Hàng bán'!L14-tblExpenses[[#Totals],[Thg9]]</f>
        <v>100</v>
      </c>
      <c r="M26" s="14">
        <f>'Giá vốn Hàng bán'!M14-tblExpenses[[#Totals],[Thg10]]</f>
        <v>148</v>
      </c>
      <c r="N26" s="14">
        <f>'Giá vốn Hàng bán'!N14-tblExpenses[[#Totals],[Thg11]]</f>
        <v>179</v>
      </c>
      <c r="O26" s="14">
        <f>'Giá vốn Hàng bán'!O14-tblExpenses[[#Totals],[Thg12]]</f>
        <v>359</v>
      </c>
      <c r="P26" s="14">
        <f>SUM(D26:O26)</f>
        <v>1843</v>
      </c>
      <c r="Q26" s="13"/>
      <c r="R26" s="15">
        <f>D26/$P$26</f>
        <v>6.6739012479652735E-2</v>
      </c>
      <c r="S26" s="15">
        <f t="shared" ref="S26:AD26" si="2">E26/$P$26</f>
        <v>9.4953879544221381E-2</v>
      </c>
      <c r="T26" s="15">
        <f t="shared" si="2"/>
        <v>0.13890396093326099</v>
      </c>
      <c r="U26" s="15">
        <f t="shared" si="2"/>
        <v>5.9142702116115033E-2</v>
      </c>
      <c r="V26" s="15">
        <f t="shared" si="2"/>
        <v>8.4644601193705912E-2</v>
      </c>
      <c r="W26" s="15">
        <f t="shared" si="2"/>
        <v>-4.3407487791644059E-3</v>
      </c>
      <c r="X26" s="15">
        <f t="shared" si="2"/>
        <v>1.7362995116657624E-2</v>
      </c>
      <c r="Y26" s="15">
        <f t="shared" si="2"/>
        <v>0.11611502984264786</v>
      </c>
      <c r="Z26" s="15">
        <f t="shared" si="2"/>
        <v>5.425935973955507E-2</v>
      </c>
      <c r="AA26" s="15">
        <f t="shared" si="2"/>
        <v>8.0303852414541507E-2</v>
      </c>
      <c r="AB26" s="15">
        <f t="shared" si="2"/>
        <v>9.7124253933803584E-2</v>
      </c>
      <c r="AC26" s="15">
        <f t="shared" si="2"/>
        <v>0.19479110146500273</v>
      </c>
      <c r="AD26" s="15">
        <f t="shared" si="2"/>
        <v>1</v>
      </c>
    </row>
  </sheetData>
  <dataValidations count="18">
    <dataValidation allowBlank="1" showInputMessage="1" showErrorMessage="1" prompt="Tên công ty được tự động cập nhật bằng cách sử dụng mục nhập từ trang tính Doanh thu (Doanh số)" sqref="AD1" xr:uid="{00000000-0002-0000-0200-000000000000}"/>
    <dataValidation allowBlank="1" showInputMessage="1" showErrorMessage="1" prompt="Tiêu đề được tự động cập nhật từ trang tính Doanh thu (Doanh số). Nhập các giá trị vào bảng Chi phí dưới đây để tính toán tổng chi phí" sqref="B2" xr:uid="{00000000-0002-0000-0200-000001000000}"/>
    <dataValidation allowBlank="1" showInputMessage="1" showErrorMessage="1" prompt="Nhập phần trăm chỉ mục vào cột này" sqref="Q4" xr:uid="{00000000-0002-0000-0200-000002000000}"/>
    <dataValidation allowBlank="1" showInputMessage="1" showErrorMessage="1" prompt="Lợi nhuận ròng được tự động tính toán cho từng tháng và từng năm dựa trên lợi nhuận gộp và tổng chi phí" sqref="B26" xr:uid="{00000000-0002-0000-0200-000003000000}"/>
    <dataValidation allowBlank="1" showInputMessage="1" showErrorMessage="1" prompt="Nhập chi phí của các nguồn được liệt kê trong cột B vào cột này" sqref="D4:O4" xr:uid="{00000000-0002-0000-0200-000004000000}"/>
    <dataValidation allowBlank="1" showInputMessage="1" showErrorMessage="1" prompt="Biểu đồ xu hướng về chi phí theo thời gian nằm trong cột này" sqref="C4" xr:uid="{00000000-0002-0000-0200-000005000000}"/>
    <dataValidation allowBlank="1" showInputMessage="1" showErrorMessage="1" prompt="Nhập chi phí vào cột này" sqref="B4" xr:uid="{00000000-0002-0000-0200-000006000000}"/>
    <dataValidation allowBlank="1" showInputMessage="1" showErrorMessage="1" prompt="Tự động tính toán tỷ lệ chi phí từ các nguồn khác nhau so với tổng chi phí cho năm trong cột này" sqref="AD3" xr:uid="{00000000-0002-0000-0200-000007000000}"/>
    <dataValidation allowBlank="1" showInputMessage="1" showErrorMessage="1" prompt="Tháng được cập nhật tự động" sqref="E3:O3" xr:uid="{93D2C0ED-5722-409F-8694-5406C66651D2}"/>
    <dataValidation allowBlank="1" showInputMessage="1" showErrorMessage="1" prompt="Ngày trong hàng này được tự động cập nhật dựa trên tháng bắt đầu của năm tài chính. Để thay đổi tháng bắt đầu, hãy sửa đổi ô AC2" sqref="D3" xr:uid="{3DD3537D-AB77-4738-AEBC-AAEB19FF02C8}"/>
    <dataValidation allowBlank="1" showInputMessage="1" showErrorMessage="1" prompt="Phần trăm chỉ mục nằm trong cột này" sqref="Q3" xr:uid="{6492B390-A7D8-4E42-A598-DA4E2ED835D5}"/>
    <dataValidation allowBlank="1" showInputMessage="1" showErrorMessage="1" prompt="Ô này được tự động cập nhật từ tiêu đề giai đoạn dự đoán trong trang tính Doanh thu (Doanh số)" sqref="B1" xr:uid="{00000000-0002-0000-0200-00000D000000}"/>
    <dataValidation allowBlank="1" showInputMessage="1" showErrorMessage="1" prompt="Tháng &amp; năm được tự động cập nhật trong các ô bên phải. Để thay đổi tháng hoặc năm, hãy sửa đổi các ô AC2 và AD2 trong trang tính Doanh thu (Doanh số)" sqref="AB2" xr:uid="{00000000-0002-0000-0200-00000E000000}"/>
    <dataValidation allowBlank="1" showInputMessage="1" showErrorMessage="1" prompt="Tháng được cập nhật tự động. Để thay đổi, hãy sửa đổi ô AC2 trong trang tính Doanh thu (Doanh số)" sqref="AC2" xr:uid="{00000000-0002-0000-0200-00000F000000}"/>
    <dataValidation allowBlank="1" showInputMessage="1" showErrorMessage="1" prompt="Năm được cập nhật tự động. Để thay đổi, hãy sửa đổi ô AD2 trong trang tính Doanh thu (Doanh số)" sqref="AD2" xr:uid="{00000000-0002-0000-0200-000010000000}"/>
    <dataValidation allowBlank="1" showInputMessage="1" showErrorMessage="1" prompt="Trang tính này tính toán tổng chi phí cho từng tháng, từng năm và tổng chi phí hàng năm cho từng mục. Lợi nhuận ròng được tự động tính toán dựa trên lợi nhuận gộp &amp; tổng chi phí " sqref="A1:A1048576" xr:uid="{00000000-0002-0000-0200-000011000000}"/>
    <dataValidation allowBlank="1" showInputMessage="1" showErrorMessage="1" prompt="Tự động tính toán tỷ lệ doanh số từ các nguồn khác nhau so với tổng doanh số trong cột này cho tháng trong ô này" sqref="R3:AC3" xr:uid="{4F43955B-1BAF-4AB4-89BA-C7B695F2FA52}"/>
    <dataValidation allowBlank="1" showInputMessage="1" showErrorMessage="1" prompt="Doanh thu hàng năm được tự động tính toán trong cột này" sqref="P3" xr:uid="{E2446F77-51E7-4B8A-BE89-EE64B13FF382}"/>
  </dataValidations>
  <printOptions horizontalCentered="1"/>
  <pageMargins left="0.25" right="0.25" top="0.75" bottom="0.75" header="0.3" footer="0.3"/>
  <pageSetup paperSize="9" scale="46"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5000000}">
          <x14:colorSeries theme="3"/>
          <x14:colorNegative theme="5"/>
          <x14:colorAxis rgb="FF000000"/>
          <x14:colorMarkers theme="4" tint="-0.499984740745262"/>
          <x14:colorFirst theme="4" tint="0.39997558519241921"/>
          <x14:colorLast theme="4" tint="0.39997558519241921"/>
          <x14:colorHigh theme="3"/>
          <x14:colorLow theme="3"/>
          <x14:sparklines>
            <x14:sparkline>
              <xm:f>'Chi phí'!D24:O24</xm:f>
              <xm:sqref>C24</xm:sqref>
            </x14:sparkline>
          </x14:sparklines>
        </x14:sparklineGroup>
        <x14:sparklineGroup lineWeight="1" displayEmptyCellsAs="gap" high="1" low="1" xr2:uid="{00000000-0003-0000-0200-000004000000}">
          <x14:colorSeries theme="3"/>
          <x14:colorNegative theme="5"/>
          <x14:colorAxis rgb="FF000000"/>
          <x14:colorMarkers theme="4" tint="-0.499984740745262"/>
          <x14:colorFirst theme="4" tint="0.39997558519241921"/>
          <x14:colorLast theme="4" tint="0.39997558519241921"/>
          <x14:colorHigh theme="3"/>
          <x14:colorLow theme="3"/>
          <x14:sparklines>
            <x14:sparkline>
              <xm:f>'Chi phí'!$D$5:$O$5</xm:f>
              <xm:sqref>C5</xm:sqref>
            </x14:sparkline>
            <x14:sparkline>
              <xm:f>'Chi phí'!$D$6:$O$6</xm:f>
              <xm:sqref>C6</xm:sqref>
            </x14:sparkline>
            <x14:sparkline>
              <xm:f>'Chi phí'!$D$7:$O$7</xm:f>
              <xm:sqref>C7</xm:sqref>
            </x14:sparkline>
            <x14:sparkline>
              <xm:f>'Chi phí'!$D$8:$O$8</xm:f>
              <xm:sqref>C8</xm:sqref>
            </x14:sparkline>
            <x14:sparkline>
              <xm:f>'Chi phí'!$D$9:$O$9</xm:f>
              <xm:sqref>C9</xm:sqref>
            </x14:sparkline>
            <x14:sparkline>
              <xm:f>'Chi phí'!$D$10:$O$10</xm:f>
              <xm:sqref>C10</xm:sqref>
            </x14:sparkline>
            <x14:sparkline>
              <xm:f>'Chi phí'!$D$11:$O$11</xm:f>
              <xm:sqref>C11</xm:sqref>
            </x14:sparkline>
            <x14:sparkline>
              <xm:f>'Chi phí'!$D$12:$O$12</xm:f>
              <xm:sqref>C12</xm:sqref>
            </x14:sparkline>
            <x14:sparkline>
              <xm:f>'Chi phí'!$D$13:$O$13</xm:f>
              <xm:sqref>C13</xm:sqref>
            </x14:sparkline>
            <x14:sparkline>
              <xm:f>'Chi phí'!$D$14:$O$14</xm:f>
              <xm:sqref>C14</xm:sqref>
            </x14:sparkline>
            <x14:sparkline>
              <xm:f>'Chi phí'!$D$15:$O$15</xm:f>
              <xm:sqref>C15</xm:sqref>
            </x14:sparkline>
            <x14:sparkline>
              <xm:f>'Chi phí'!$D$16:$O$16</xm:f>
              <xm:sqref>C16</xm:sqref>
            </x14:sparkline>
            <x14:sparkline>
              <xm:f>'Chi phí'!$D$17:$O$17</xm:f>
              <xm:sqref>C17</xm:sqref>
            </x14:sparkline>
            <x14:sparkline>
              <xm:f>'Chi phí'!$D$18:$O$18</xm:f>
              <xm:sqref>C18</xm:sqref>
            </x14:sparkline>
            <x14:sparkline>
              <xm:f>'Chi phí'!$D$19:$O$19</xm:f>
              <xm:sqref>C19</xm:sqref>
            </x14:sparkline>
            <x14:sparkline>
              <xm:f>'Chi phí'!$D$20:$O$20</xm:f>
              <xm:sqref>C20</xm:sqref>
            </x14:sparkline>
            <x14:sparkline>
              <xm:f>'Chi phí'!$D$21:$O$21</xm:f>
              <xm:sqref>C21</xm:sqref>
            </x14:sparkline>
            <x14:sparkline>
              <xm:f>'Chi phí'!$D$22:$O$22</xm:f>
              <xm:sqref>C22</xm:sqref>
            </x14:sparkline>
            <x14:sparkline>
              <xm:f>'Chi phí'!$D$23:$O$23</xm:f>
              <xm:sqref>C23</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11</vt:i4>
      </vt:variant>
    </vt:vector>
  </HeadingPairs>
  <TitlesOfParts>
    <vt:vector size="14" baseType="lpstr">
      <vt:lpstr>Doanh thu (Doanh số)</vt:lpstr>
      <vt:lpstr>Giá vốn Hàng bán</vt:lpstr>
      <vt:lpstr>Chi phí</vt:lpstr>
      <vt:lpstr>FYMonthStart</vt:lpstr>
      <vt:lpstr>FYStartYear</vt:lpstr>
      <vt:lpstr>'Chi phí'!In_Tiêu_đề</vt:lpstr>
      <vt:lpstr>'Doanh thu (Doanh số)'!In_Tiêu_đề</vt:lpstr>
      <vt:lpstr>'Giá vốn Hàng bán'!In_Tiêu_đề</vt:lpstr>
      <vt:lpstr>Tên_Công_ty</vt:lpstr>
      <vt:lpstr>Tiêu_đề_1</vt:lpstr>
      <vt:lpstr>Tiêu_đề_2</vt:lpstr>
      <vt:lpstr>Tiêu_đề_3</vt:lpstr>
      <vt:lpstr>Tiêu_đề_Giai_đoạn_Dự_đoán</vt:lpstr>
      <vt:lpstr>Tiêu_đề_Wksht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2016-12-06T05:59:57Z</dcterms:created>
  <dcterms:modified xsi:type="dcterms:W3CDTF">2017-08-02T15:27:35Z</dcterms:modified>
</cp:coreProperties>
</file>