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MS-IW-OFFICE-UA\Office_Online\Projects\Templates_Gemini_G1\Phases\65_Calendar_template_Customization_2016\05_ForSpotcheck\Batch6\TRK\"/>
    </mc:Choice>
  </mc:AlternateContent>
  <bookViews>
    <workbookView xWindow="0" yWindow="1350" windowWidth="20490" windowHeight="7515" tabRatio="741"/>
  </bookViews>
  <sheets>
    <sheet name="Oca" sheetId="1" r:id="rId1"/>
    <sheet name="Şub" sheetId="6" r:id="rId2"/>
    <sheet name="Mar" sheetId="7" r:id="rId3"/>
    <sheet name="Nis" sheetId="8" r:id="rId4"/>
    <sheet name="May" sheetId="9" r:id="rId5"/>
    <sheet name="Haz" sheetId="10" r:id="rId6"/>
    <sheet name="Tem" sheetId="11" r:id="rId7"/>
    <sheet name="Ağu" sheetId="12" r:id="rId8"/>
    <sheet name="Eyl" sheetId="13" r:id="rId9"/>
    <sheet name="Eki" sheetId="14" r:id="rId10"/>
    <sheet name="Kas" sheetId="15" r:id="rId11"/>
    <sheet name="Ara" sheetId="16" r:id="rId12"/>
  </sheets>
  <definedNames>
    <definedName name="AğuPaz1">DATE(TakvimYılı,8,1)-WEEKDAY(DATE(TakvimYılı,8,1))+1</definedName>
    <definedName name="AraPaz1">DATE(TakvimYılı,12,1)-WEEKDAY(DATE(TakvimYılı,12,1))+1</definedName>
    <definedName name="EkiPaz1">DATE(TakvimYılı,10,1)-WEEKDAY(DATE(TakvimYılı,10,1))+1</definedName>
    <definedName name="EylPaz1">DATE(TakvimYılı,9,1)-WEEKDAY(DATE(TakvimYılı,9,1))+1</definedName>
    <definedName name="HazPaz1">DATE(TakvimYılı,6,1)-WEEKDAY(DATE(TakvimYılı,6,1))+1</definedName>
    <definedName name="KasPaz1">DATE(TakvimYılı,11,1)-WEEKDAY(DATE(TakvimYılı,11,1))+1</definedName>
    <definedName name="MarPaz1">DATE(TakvimYılı,3,1)-WEEKDAY(DATE(TakvimYılı,3,1))+1</definedName>
    <definedName name="MayPaz1">DATE(TakvimYılı,5,1)-WEEKDAY(DATE(TakvimYılı,5,1))+1</definedName>
    <definedName name="NisPaz1">DATE(TakvimYılı,4,1)-WEEKDAY(DATE(TakvimYılı,4,1))+1</definedName>
    <definedName name="OcaPaz1">DATE(TakvimYılı,1,1)-WEEKDAY(DATE(TakvimYılı,1,1))+1</definedName>
    <definedName name="ÖdevGünleri" localSheetId="7">Ağu!$L$4:$L$33</definedName>
    <definedName name="ÖdevGünleri" localSheetId="11">Ara!$L$4:$L$33</definedName>
    <definedName name="ÖdevGünleri" localSheetId="9">Eki!$L$4:$L$33</definedName>
    <definedName name="ÖdevGünleri" localSheetId="8">Eyl!$L$4:$L$33</definedName>
    <definedName name="ÖdevGünleri" localSheetId="5">Haz!$L$4:$L$33</definedName>
    <definedName name="ÖdevGünleri" localSheetId="10">Kas!$L$4:$L$33</definedName>
    <definedName name="ÖdevGünleri" localSheetId="2">Mar!$L$4:$L$33</definedName>
    <definedName name="ÖdevGünleri" localSheetId="4">May!$L$4:$L$33</definedName>
    <definedName name="ÖdevGünleri" localSheetId="3">Nis!$L$4:$L$33</definedName>
    <definedName name="ÖdevGünleri" localSheetId="1">Şub!$L$4:$L$33</definedName>
    <definedName name="ÖdevGünleri" localSheetId="6">Tem!$L$4:$L$33</definedName>
    <definedName name="ÖdevGünleri">Oca!$L$4:$L$33</definedName>
    <definedName name="ÖnemliTarihlerTablosu" localSheetId="7">Ağu!$L$4:$M$8</definedName>
    <definedName name="ÖnemliTarihlerTablosu" localSheetId="11">Ara!$L$4:$M$8</definedName>
    <definedName name="ÖnemliTarihlerTablosu" localSheetId="9">Eki!$L$4:$M$8</definedName>
    <definedName name="ÖnemliTarihlerTablosu" localSheetId="8">Eyl!$L$4:$M$8</definedName>
    <definedName name="ÖnemliTarihlerTablosu" localSheetId="5">Haz!$L$4:$M$8</definedName>
    <definedName name="ÖnemliTarihlerTablosu" localSheetId="10">Kas!$L$4:$M$8</definedName>
    <definedName name="ÖnemliTarihlerTablosu" localSheetId="2">Mar!$L$4:$M$8</definedName>
    <definedName name="ÖnemliTarihlerTablosu" localSheetId="4">May!$L$4:$M$8</definedName>
    <definedName name="ÖnemliTarihlerTablosu" localSheetId="3">Nis!$L$4:$M$8</definedName>
    <definedName name="ÖnemliTarihlerTablosu" localSheetId="1">Şub!$L$4:$M$8</definedName>
    <definedName name="ÖnemliTarihlerTablosu" localSheetId="6">Tem!$L$4:$M$8</definedName>
    <definedName name="ÖnemliTarihlerTablosu">Oca!$L$4:$M$8</definedName>
    <definedName name="_xlnm.Print_Area" localSheetId="7">Ağu!$A$1:$N$33</definedName>
    <definedName name="_xlnm.Print_Area" localSheetId="11">Ara!$A$1:$N$33</definedName>
    <definedName name="_xlnm.Print_Area" localSheetId="9">Eki!$A$1:$N$33</definedName>
    <definedName name="_xlnm.Print_Area" localSheetId="8">Eyl!$A$1:$N$33</definedName>
    <definedName name="_xlnm.Print_Area" localSheetId="5">Haz!$A$1:$N$33</definedName>
    <definedName name="_xlnm.Print_Area" localSheetId="10">Kas!$A$1:$N$33</definedName>
    <definedName name="_xlnm.Print_Area" localSheetId="2">Mar!$A$1:$N$33</definedName>
    <definedName name="_xlnm.Print_Area" localSheetId="4">May!$A$1:$N$33</definedName>
    <definedName name="_xlnm.Print_Area" localSheetId="3">Nis!$A$1:$N$33</definedName>
    <definedName name="_xlnm.Print_Area" localSheetId="0">Oca!$A$1:$N$33</definedName>
    <definedName name="_xlnm.Print_Area" localSheetId="1">Şub!$A$1:$N$33</definedName>
    <definedName name="_xlnm.Print_Area" localSheetId="6">Tem!$A$1:$N$33</definedName>
    <definedName name="ŞubPaz1">DATE(TakvimYılı,2,1)-WEEKDAY(DATE(TakvimYılı,2,1))+1</definedName>
    <definedName name="TakvimYılı">Oca!$N$2</definedName>
    <definedName name="TemPaz1">DATE(TakvimYılı,7,1)-WEEKDAY(DATE(TakvimYılı,7,1))+1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" i="16" l="1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C5" i="6"/>
  <c r="C5" i="7"/>
  <c r="C4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I4" i="7"/>
  <c r="H4" i="7"/>
  <c r="G4" i="7"/>
  <c r="F4" i="7"/>
  <c r="E4" i="7"/>
  <c r="D4" i="7"/>
  <c r="N2" i="16"/>
  <c r="N2" i="15"/>
  <c r="N2" i="14"/>
  <c r="N2" i="13"/>
  <c r="N2" i="12"/>
  <c r="N2" i="11"/>
  <c r="N2" i="10"/>
  <c r="N2" i="9"/>
  <c r="N2" i="8"/>
  <c r="N2" i="7"/>
  <c r="N2" i="6"/>
  <c r="C4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I4" i="6"/>
  <c r="H4" i="6"/>
  <c r="G4" i="6"/>
  <c r="F4" i="6"/>
  <c r="E4" i="6"/>
  <c r="D4" i="6"/>
  <c r="C5" i="1" l="1"/>
  <c r="C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<sst xmlns="http://schemas.openxmlformats.org/spreadsheetml/2006/main" count="555" uniqueCount="41">
  <si>
    <t>OCA</t>
  </si>
  <si>
    <t>HAFTALIK PROGRAM</t>
  </si>
  <si>
    <t>Fransızca</t>
  </si>
  <si>
    <t>10:00</t>
  </si>
  <si>
    <t>Matematik</t>
  </si>
  <si>
    <t>14:00</t>
  </si>
  <si>
    <t>İngilizce</t>
  </si>
  <si>
    <t>SALI</t>
  </si>
  <si>
    <t>Sanat Tarihi</t>
  </si>
  <si>
    <t>16:00</t>
  </si>
  <si>
    <t>Programlama</t>
  </si>
  <si>
    <t>ÇAR</t>
  </si>
  <si>
    <t>PERŞ</t>
  </si>
  <si>
    <t>CUM</t>
  </si>
  <si>
    <t>ÖDEVLER</t>
  </si>
  <si>
    <t>SAL</t>
  </si>
  <si>
    <t>PER</t>
  </si>
  <si>
    <t>Fransızca: İlk ödev taslağı teslimi</t>
  </si>
  <si>
    <t>Sanat Tarihi: Test</t>
  </si>
  <si>
    <t>&lt; N2’ye takvim yılını girin.</t>
  </si>
  <si>
    <t>EKİ</t>
  </si>
  <si>
    <t>KAS</t>
  </si>
  <si>
    <t>ARA</t>
  </si>
  <si>
    <t>ŞUB</t>
  </si>
  <si>
    <t>MAR</t>
  </si>
  <si>
    <t>NİS</t>
  </si>
  <si>
    <t>MAY</t>
  </si>
  <si>
    <t>HAZ</t>
  </si>
  <si>
    <t>TEM</t>
  </si>
  <si>
    <t>AĞU</t>
  </si>
  <si>
    <t>EYL</t>
  </si>
  <si>
    <t>Pt</t>
  </si>
  <si>
    <t>Sa</t>
  </si>
  <si>
    <t>Ça</t>
  </si>
  <si>
    <t>Pe</t>
  </si>
  <si>
    <t>Cu</t>
  </si>
  <si>
    <t>Ct</t>
  </si>
  <si>
    <t>Pz</t>
  </si>
  <si>
    <t>PZT</t>
  </si>
  <si>
    <t>08:00</t>
  </si>
  <si>
    <t>09:00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</si>
</sst>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oStiliAçık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oStiliAçık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30.855468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14</v>
      </c>
      <c r="L2" s="71">
        <v>2013</v>
      </c>
      <c r="M2" s="71"/>
      <c r="N2" s="77">
        <v>2016</v>
      </c>
      <c r="P2" s="32" t="s">
        <v>19</v>
      </c>
    </row>
    <row r="3" spans="1:16" ht="21" customHeight="1" x14ac:dyDescent="0.2">
      <c r="A3" s="4"/>
      <c r="B3" s="31" t="s">
        <v>0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72"/>
      <c r="L3" s="73"/>
      <c r="M3" s="73"/>
      <c r="N3" s="78"/>
      <c r="P3" s="32"/>
    </row>
    <row r="4" spans="1:16" ht="18" customHeight="1" x14ac:dyDescent="0.2">
      <c r="A4" s="4"/>
      <c r="B4" s="31"/>
      <c r="C4" s="10">
        <f>IF(DAY(OcaPaz1)=1,OcaPaz1-6,OcaPaz1+1)</f>
        <v>42366</v>
      </c>
      <c r="D4" s="10">
        <f>IF(DAY(OcaPaz1)=1,OcaPaz1-5,OcaPaz1+2)</f>
        <v>42367</v>
      </c>
      <c r="E4" s="10">
        <f>IF(DAY(OcaPaz1)=1,OcaPaz1-4,OcaPaz1+3)</f>
        <v>42368</v>
      </c>
      <c r="F4" s="10">
        <f>IF(DAY(OcaPaz1)=1,OcaPaz1-3,OcaPaz1+4)</f>
        <v>42369</v>
      </c>
      <c r="G4" s="10">
        <f>IF(DAY(OcaPaz1)=1,OcaPaz1-2,OcaPaz1+5)</f>
        <v>42370</v>
      </c>
      <c r="H4" s="10">
        <f>IF(DAY(OcaPaz1)=1,OcaPaz1-1,OcaPaz1+6)</f>
        <v>42371</v>
      </c>
      <c r="I4" s="10">
        <f>IF(DAY(OcaPaz1)=1,OcaPaz1,OcaPaz1+7)</f>
        <v>42372</v>
      </c>
      <c r="J4" s="5"/>
      <c r="K4" s="74" t="s">
        <v>38</v>
      </c>
      <c r="L4" s="16">
        <v>5</v>
      </c>
      <c r="M4" s="75" t="s">
        <v>17</v>
      </c>
      <c r="N4" s="76"/>
      <c r="P4" s="25"/>
    </row>
    <row r="5" spans="1:16" ht="18" customHeight="1" x14ac:dyDescent="0.2">
      <c r="A5" s="4"/>
      <c r="B5" s="26"/>
      <c r="C5" s="10">
        <f>IF(DAY(OcaPaz1)=1,OcaPaz1+1,OcaPaz1+8)</f>
        <v>42373</v>
      </c>
      <c r="D5" s="10">
        <f>IF(DAY(OcaPaz1)=1,OcaPaz1+2,OcaPaz1+9)</f>
        <v>42374</v>
      </c>
      <c r="E5" s="10">
        <f>IF(DAY(OcaPaz1)=1,OcaPaz1+3,OcaPaz1+10)</f>
        <v>42375</v>
      </c>
      <c r="F5" s="10">
        <f>IF(DAY(OcaPaz1)=1,OcaPaz1+4,OcaPaz1+11)</f>
        <v>42376</v>
      </c>
      <c r="G5" s="10">
        <f>IF(DAY(OcaPaz1)=1,OcaPaz1+5,OcaPaz1+12)</f>
        <v>42377</v>
      </c>
      <c r="H5" s="10">
        <f>IF(DAY(OcaPaz1)=1,OcaPaz1+6,OcaPaz1+13)</f>
        <v>42378</v>
      </c>
      <c r="I5" s="10">
        <f>IF(DAY(OcaPaz1)=1,OcaPaz1+7,OcaPaz1+14)</f>
        <v>42379</v>
      </c>
      <c r="J5" s="5"/>
      <c r="K5" s="66"/>
      <c r="L5" s="17"/>
      <c r="M5" s="36"/>
      <c r="N5" s="37"/>
      <c r="P5" s="25"/>
    </row>
    <row r="6" spans="1:16" ht="18" customHeight="1" x14ac:dyDescent="0.2">
      <c r="A6" s="4"/>
      <c r="B6" s="26"/>
      <c r="C6" s="10">
        <f>IF(DAY(OcaPaz1)=1,OcaPaz1+8,OcaPaz1+15)</f>
        <v>42380</v>
      </c>
      <c r="D6" s="10">
        <f>IF(DAY(OcaPaz1)=1,OcaPaz1+9,OcaPaz1+16)</f>
        <v>42381</v>
      </c>
      <c r="E6" s="10">
        <f>IF(DAY(OcaPaz1)=1,OcaPaz1+10,OcaPaz1+17)</f>
        <v>42382</v>
      </c>
      <c r="F6" s="10">
        <f>IF(DAY(OcaPaz1)=1,OcaPaz1+11,OcaPaz1+18)</f>
        <v>42383</v>
      </c>
      <c r="G6" s="10">
        <f>IF(DAY(OcaPaz1)=1,OcaPaz1+12,OcaPaz1+19)</f>
        <v>42384</v>
      </c>
      <c r="H6" s="10">
        <f>IF(DAY(OcaPaz1)=1,OcaPaz1+13,OcaPaz1+20)</f>
        <v>42385</v>
      </c>
      <c r="I6" s="10">
        <f>IF(DAY(OcaPaz1)=1,OcaPaz1+14,OcaPaz1+21)</f>
        <v>42386</v>
      </c>
      <c r="J6" s="5"/>
      <c r="K6" s="66"/>
      <c r="L6" s="17"/>
      <c r="M6" s="36"/>
      <c r="N6" s="37"/>
    </row>
    <row r="7" spans="1:16" ht="18" customHeight="1" x14ac:dyDescent="0.2">
      <c r="A7" s="4"/>
      <c r="B7" s="26"/>
      <c r="C7" s="10">
        <f>IF(DAY(OcaPaz1)=1,OcaPaz1+15,OcaPaz1+22)</f>
        <v>42387</v>
      </c>
      <c r="D7" s="10">
        <f>IF(DAY(OcaPaz1)=1,OcaPaz1+16,OcaPaz1+23)</f>
        <v>42388</v>
      </c>
      <c r="E7" s="10">
        <f>IF(DAY(OcaPaz1)=1,OcaPaz1+17,OcaPaz1+24)</f>
        <v>42389</v>
      </c>
      <c r="F7" s="10">
        <f>IF(DAY(OcaPaz1)=1,OcaPaz1+18,OcaPaz1+25)</f>
        <v>42390</v>
      </c>
      <c r="G7" s="10">
        <f>IF(DAY(OcaPaz1)=1,OcaPaz1+19,OcaPaz1+26)</f>
        <v>42391</v>
      </c>
      <c r="H7" s="10">
        <f>IF(DAY(OcaPaz1)=1,OcaPaz1+20,OcaPaz1+27)</f>
        <v>42392</v>
      </c>
      <c r="I7" s="10">
        <f>IF(DAY(OcaPaz1)=1,OcaPaz1+21,OcaPaz1+28)</f>
        <v>42393</v>
      </c>
      <c r="J7" s="5"/>
      <c r="K7" s="11"/>
      <c r="L7" s="17"/>
      <c r="M7" s="36"/>
      <c r="N7" s="37"/>
    </row>
    <row r="8" spans="1:16" ht="18.75" customHeight="1" x14ac:dyDescent="0.2">
      <c r="A8" s="4"/>
      <c r="B8" s="26"/>
      <c r="C8" s="10">
        <f>IF(DAY(OcaPaz1)=1,OcaPaz1+22,OcaPaz1+29)</f>
        <v>42394</v>
      </c>
      <c r="D8" s="10">
        <f>IF(DAY(OcaPaz1)=1,OcaPaz1+23,OcaPaz1+30)</f>
        <v>42395</v>
      </c>
      <c r="E8" s="10">
        <f>IF(DAY(OcaPaz1)=1,OcaPaz1+24,OcaPaz1+31)</f>
        <v>42396</v>
      </c>
      <c r="F8" s="10">
        <f>IF(DAY(OcaPaz1)=1,OcaPaz1+25,OcaPaz1+32)</f>
        <v>42397</v>
      </c>
      <c r="G8" s="10">
        <f>IF(DAY(OcaPaz1)=1,OcaPaz1+26,OcaPaz1+33)</f>
        <v>42398</v>
      </c>
      <c r="H8" s="10">
        <f>IF(DAY(OcaPaz1)=1,OcaPaz1+27,OcaPaz1+34)</f>
        <v>42399</v>
      </c>
      <c r="I8" s="10">
        <f>IF(DAY(OcaPaz1)=1,OcaPaz1+28,OcaPaz1+35)</f>
        <v>42400</v>
      </c>
      <c r="J8" s="5"/>
      <c r="K8" s="11"/>
      <c r="L8" s="17"/>
      <c r="M8" s="36"/>
      <c r="N8" s="37"/>
    </row>
    <row r="9" spans="1:16" ht="18" customHeight="1" x14ac:dyDescent="0.2">
      <c r="A9" s="4"/>
      <c r="B9" s="26"/>
      <c r="C9" s="10">
        <f>IF(DAY(OcaPaz1)=1,OcaPaz1+29,OcaPaz1+36)</f>
        <v>42401</v>
      </c>
      <c r="D9" s="10">
        <f>IF(DAY(OcaPaz1)=1,OcaPaz1+30,OcaPaz1+37)</f>
        <v>42402</v>
      </c>
      <c r="E9" s="10">
        <f>IF(DAY(OcaPaz1)=1,OcaPaz1+31,OcaPaz1+38)</f>
        <v>42403</v>
      </c>
      <c r="F9" s="10">
        <f>IF(DAY(OcaPaz1)=1,OcaPaz1+32,OcaPaz1+39)</f>
        <v>42404</v>
      </c>
      <c r="G9" s="10">
        <f>IF(DAY(OcaPaz1)=1,OcaPaz1+33,OcaPaz1+40)</f>
        <v>42405</v>
      </c>
      <c r="H9" s="10">
        <f>IF(DAY(OcaPaz1)=1,OcaPaz1+34,OcaPaz1+41)</f>
        <v>42406</v>
      </c>
      <c r="I9" s="10">
        <f>IF(DAY(OcaPaz1)=1,OcaPaz1+35,OcaPaz1+42)</f>
        <v>42407</v>
      </c>
      <c r="J9" s="5"/>
      <c r="K9" s="12"/>
      <c r="L9" s="18"/>
      <c r="M9" s="40"/>
      <c r="N9" s="41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>
        <v>20</v>
      </c>
      <c r="M10" s="42" t="s">
        <v>18</v>
      </c>
      <c r="N10" s="43"/>
    </row>
    <row r="11" spans="1:16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6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6" ht="18" customHeight="1" x14ac:dyDescent="0.2">
      <c r="B13" s="3" t="s">
        <v>38</v>
      </c>
      <c r="C13" s="67" t="s">
        <v>7</v>
      </c>
      <c r="D13" s="69"/>
      <c r="E13" s="67" t="s">
        <v>11</v>
      </c>
      <c r="F13" s="69"/>
      <c r="G13" s="67" t="s">
        <v>12</v>
      </c>
      <c r="H13" s="69"/>
      <c r="I13" s="67" t="s">
        <v>13</v>
      </c>
      <c r="J13" s="68"/>
      <c r="K13" s="11"/>
      <c r="L13" s="17"/>
      <c r="M13" s="36"/>
      <c r="N13" s="37"/>
    </row>
    <row r="14" spans="1:16" ht="18" customHeight="1" x14ac:dyDescent="0.2">
      <c r="B14" s="8" t="s">
        <v>39</v>
      </c>
      <c r="C14" s="44"/>
      <c r="D14" s="45"/>
      <c r="E14" s="44" t="s">
        <v>39</v>
      </c>
      <c r="F14" s="45"/>
      <c r="G14" s="44"/>
      <c r="H14" s="45"/>
      <c r="I14" s="44" t="s">
        <v>39</v>
      </c>
      <c r="J14" s="59"/>
      <c r="K14" s="11"/>
      <c r="L14" s="17"/>
      <c r="M14" s="36"/>
      <c r="N14" s="37"/>
    </row>
    <row r="15" spans="1:16" ht="18" customHeight="1" x14ac:dyDescent="0.2">
      <c r="B15" s="6" t="s">
        <v>2</v>
      </c>
      <c r="C15" s="46"/>
      <c r="D15" s="47"/>
      <c r="E15" s="46" t="s">
        <v>2</v>
      </c>
      <c r="F15" s="47"/>
      <c r="G15" s="46"/>
      <c r="H15" s="47"/>
      <c r="I15" s="57" t="s">
        <v>2</v>
      </c>
      <c r="J15" s="58"/>
      <c r="K15" s="13"/>
      <c r="L15" s="19"/>
      <c r="M15" s="40"/>
      <c r="N15" s="41"/>
    </row>
    <row r="16" spans="1:16" ht="18" customHeight="1" x14ac:dyDescent="0.2">
      <c r="B16" s="8"/>
      <c r="C16" s="44" t="s">
        <v>40</v>
      </c>
      <c r="D16" s="45"/>
      <c r="E16" s="44"/>
      <c r="F16" s="45"/>
      <c r="G16" s="44" t="s">
        <v>40</v>
      </c>
      <c r="H16" s="45"/>
      <c r="I16" s="53"/>
      <c r="J16" s="54"/>
      <c r="K16" s="65" t="s">
        <v>11</v>
      </c>
      <c r="L16" s="16"/>
      <c r="M16" s="42"/>
      <c r="N16" s="43"/>
    </row>
    <row r="17" spans="2:14" ht="18" customHeight="1" x14ac:dyDescent="0.2">
      <c r="B17" s="6"/>
      <c r="C17" s="46" t="s">
        <v>8</v>
      </c>
      <c r="D17" s="47"/>
      <c r="E17" s="46"/>
      <c r="F17" s="47"/>
      <c r="G17" s="46" t="s">
        <v>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3</v>
      </c>
      <c r="C18" s="62"/>
      <c r="D18" s="63"/>
      <c r="E18" s="62" t="s">
        <v>3</v>
      </c>
      <c r="F18" s="63"/>
      <c r="G18" s="62"/>
      <c r="H18" s="63"/>
      <c r="I18" s="62" t="s">
        <v>3</v>
      </c>
      <c r="J18" s="64"/>
      <c r="K18" s="66"/>
      <c r="L18" s="17"/>
      <c r="M18" s="36"/>
      <c r="N18" s="37"/>
    </row>
    <row r="19" spans="2:14" ht="18" customHeight="1" x14ac:dyDescent="0.2">
      <c r="B19" s="6" t="s">
        <v>4</v>
      </c>
      <c r="C19" s="46"/>
      <c r="D19" s="47"/>
      <c r="E19" s="46" t="s">
        <v>4</v>
      </c>
      <c r="F19" s="47"/>
      <c r="G19" s="46"/>
      <c r="H19" s="47"/>
      <c r="I19" s="57" t="s">
        <v>4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5</v>
      </c>
      <c r="C26" s="44"/>
      <c r="D26" s="45"/>
      <c r="E26" s="44" t="s">
        <v>5</v>
      </c>
      <c r="F26" s="45"/>
      <c r="G26" s="44"/>
      <c r="H26" s="45"/>
      <c r="I26" s="44" t="s">
        <v>5</v>
      </c>
      <c r="J26" s="59"/>
      <c r="K26" s="11"/>
      <c r="L26" s="17"/>
      <c r="M26" s="36"/>
      <c r="N26" s="37"/>
    </row>
    <row r="27" spans="2:14" ht="18" customHeight="1" x14ac:dyDescent="0.2">
      <c r="B27" s="6" t="s">
        <v>6</v>
      </c>
      <c r="C27" s="46"/>
      <c r="D27" s="47"/>
      <c r="E27" s="46" t="s">
        <v>6</v>
      </c>
      <c r="F27" s="47"/>
      <c r="G27" s="46"/>
      <c r="H27" s="47"/>
      <c r="I27" s="57" t="s">
        <v>6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9</v>
      </c>
      <c r="D30" s="45"/>
      <c r="E30" s="44"/>
      <c r="F30" s="45"/>
      <c r="G30" s="44" t="s">
        <v>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10</v>
      </c>
      <c r="D31" s="47"/>
      <c r="E31" s="46"/>
      <c r="F31" s="47"/>
      <c r="G31" s="46" t="s">
        <v>10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VLOOKUP(DAY(C4),ÖdevGünleri,1,FALSE)=DAY(C4)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14</v>
      </c>
      <c r="L2" s="71">
        <v>2013</v>
      </c>
      <c r="M2" s="71"/>
      <c r="N2" s="79">
        <f>TakvimYılı</f>
        <v>2016</v>
      </c>
    </row>
    <row r="3" spans="1:14" ht="21" customHeight="1" x14ac:dyDescent="0.2">
      <c r="A3" s="4"/>
      <c r="B3" s="31" t="s">
        <v>20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IF(DAY(EkiPaz1)=1,EkiPaz1-6,EkiPaz1+1)</f>
        <v>42639</v>
      </c>
      <c r="D4" s="10">
        <f>IF(DAY(EkiPaz1)=1,EkiPaz1-5,EkiPaz1+2)</f>
        <v>42640</v>
      </c>
      <c r="E4" s="10">
        <f>IF(DAY(EkiPaz1)=1,EkiPaz1-4,EkiPaz1+3)</f>
        <v>42641</v>
      </c>
      <c r="F4" s="10">
        <f>IF(DAY(EkiPaz1)=1,EkiPaz1-3,EkiPaz1+4)</f>
        <v>42642</v>
      </c>
      <c r="G4" s="10">
        <f>IF(DAY(EkiPaz1)=1,EkiPaz1-2,EkiPaz1+5)</f>
        <v>42643</v>
      </c>
      <c r="H4" s="10">
        <f>IF(DAY(EkiPaz1)=1,EkiPaz1-1,EkiPaz1+6)</f>
        <v>42644</v>
      </c>
      <c r="I4" s="10">
        <f>IF(DAY(EkiPaz1)=1,EkiPaz1,EkiPaz1+7)</f>
        <v>42645</v>
      </c>
      <c r="J4" s="5"/>
      <c r="K4" s="74" t="s">
        <v>38</v>
      </c>
      <c r="L4" s="16"/>
      <c r="M4" s="75"/>
      <c r="N4" s="76"/>
    </row>
    <row r="5" spans="1:14" ht="18" customHeight="1" x14ac:dyDescent="0.2">
      <c r="A5" s="4"/>
      <c r="B5" s="28"/>
      <c r="C5" s="10">
        <f>IF(DAY(EkiPaz1)=1,EkiPaz1+1,EkiPaz1+8)</f>
        <v>42646</v>
      </c>
      <c r="D5" s="10">
        <f>IF(DAY(EkiPaz1)=1,EkiPaz1+2,EkiPaz1+9)</f>
        <v>42647</v>
      </c>
      <c r="E5" s="10">
        <f>IF(DAY(EkiPaz1)=1,EkiPaz1+3,EkiPaz1+10)</f>
        <v>42648</v>
      </c>
      <c r="F5" s="10">
        <f>IF(DAY(EkiPaz1)=1,EkiPaz1+4,EkiPaz1+11)</f>
        <v>42649</v>
      </c>
      <c r="G5" s="10">
        <f>IF(DAY(EkiPaz1)=1,EkiPaz1+5,EkiPaz1+12)</f>
        <v>42650</v>
      </c>
      <c r="H5" s="10">
        <f>IF(DAY(EkiPaz1)=1,EkiPaz1+6,EkiPaz1+13)</f>
        <v>42651</v>
      </c>
      <c r="I5" s="10">
        <f>IF(DAY(EkiPaz1)=1,EkiPaz1+7,EkiPaz1+14)</f>
        <v>42652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IF(DAY(EkiPaz1)=1,EkiPaz1+8,EkiPaz1+15)</f>
        <v>42653</v>
      </c>
      <c r="D6" s="10">
        <f>IF(DAY(EkiPaz1)=1,EkiPaz1+9,EkiPaz1+16)</f>
        <v>42654</v>
      </c>
      <c r="E6" s="10">
        <f>IF(DAY(EkiPaz1)=1,EkiPaz1+10,EkiPaz1+17)</f>
        <v>42655</v>
      </c>
      <c r="F6" s="10">
        <f>IF(DAY(EkiPaz1)=1,EkiPaz1+11,EkiPaz1+18)</f>
        <v>42656</v>
      </c>
      <c r="G6" s="10">
        <f>IF(DAY(EkiPaz1)=1,EkiPaz1+12,EkiPaz1+19)</f>
        <v>42657</v>
      </c>
      <c r="H6" s="10">
        <f>IF(DAY(EkiPaz1)=1,EkiPaz1+13,EkiPaz1+20)</f>
        <v>42658</v>
      </c>
      <c r="I6" s="10">
        <f>IF(DAY(EkiPaz1)=1,EkiPaz1+14,EkiPaz1+21)</f>
        <v>42659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IF(DAY(EkiPaz1)=1,EkiPaz1+15,EkiPaz1+22)</f>
        <v>42660</v>
      </c>
      <c r="D7" s="10">
        <f>IF(DAY(EkiPaz1)=1,EkiPaz1+16,EkiPaz1+23)</f>
        <v>42661</v>
      </c>
      <c r="E7" s="10">
        <f>IF(DAY(EkiPaz1)=1,EkiPaz1+17,EkiPaz1+24)</f>
        <v>42662</v>
      </c>
      <c r="F7" s="10">
        <f>IF(DAY(EkiPaz1)=1,EkiPaz1+18,EkiPaz1+25)</f>
        <v>42663</v>
      </c>
      <c r="G7" s="10">
        <f>IF(DAY(EkiPaz1)=1,EkiPaz1+19,EkiPaz1+26)</f>
        <v>42664</v>
      </c>
      <c r="H7" s="10">
        <f>IF(DAY(EkiPaz1)=1,EkiPaz1+20,EkiPaz1+27)</f>
        <v>42665</v>
      </c>
      <c r="I7" s="10">
        <f>IF(DAY(EkiPaz1)=1,EkiPaz1+21,EkiPaz1+28)</f>
        <v>42666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IF(DAY(EkiPaz1)=1,EkiPaz1+22,EkiPaz1+29)</f>
        <v>42667</v>
      </c>
      <c r="D8" s="10">
        <f>IF(DAY(EkiPaz1)=1,EkiPaz1+23,EkiPaz1+30)</f>
        <v>42668</v>
      </c>
      <c r="E8" s="10">
        <f>IF(DAY(EkiPaz1)=1,EkiPaz1+24,EkiPaz1+31)</f>
        <v>42669</v>
      </c>
      <c r="F8" s="10">
        <f>IF(DAY(EkiPaz1)=1,EkiPaz1+25,EkiPaz1+32)</f>
        <v>42670</v>
      </c>
      <c r="G8" s="10">
        <f>IF(DAY(EkiPaz1)=1,EkiPaz1+26,EkiPaz1+33)</f>
        <v>42671</v>
      </c>
      <c r="H8" s="10">
        <f>IF(DAY(EkiPaz1)=1,EkiPaz1+27,EkiPaz1+34)</f>
        <v>42672</v>
      </c>
      <c r="I8" s="10">
        <f>IF(DAY(EkiPaz1)=1,EkiPaz1+28,EkiPaz1+35)</f>
        <v>42673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IF(DAY(EkiPaz1)=1,EkiPaz1+29,EkiPaz1+36)</f>
        <v>42674</v>
      </c>
      <c r="D9" s="10">
        <f>IF(DAY(EkiPaz1)=1,EkiPaz1+30,EkiPaz1+37)</f>
        <v>42675</v>
      </c>
      <c r="E9" s="10">
        <f>IF(DAY(EkiPaz1)=1,EkiPaz1+31,EkiPaz1+38)</f>
        <v>42676</v>
      </c>
      <c r="F9" s="10">
        <f>IF(DAY(EkiPaz1)=1,EkiPaz1+32,EkiPaz1+39)</f>
        <v>42677</v>
      </c>
      <c r="G9" s="10">
        <f>IF(DAY(EkiPaz1)=1,EkiPaz1+33,EkiPaz1+40)</f>
        <v>42678</v>
      </c>
      <c r="H9" s="10">
        <f>IF(DAY(EkiPaz1)=1,EkiPaz1+34,EkiPaz1+41)</f>
        <v>42679</v>
      </c>
      <c r="I9" s="10">
        <f>IF(DAY(EkiPaz1)=1,EkiPaz1+35,EkiPaz1+42)</f>
        <v>42680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38</v>
      </c>
      <c r="C13" s="67" t="s">
        <v>7</v>
      </c>
      <c r="D13" s="69"/>
      <c r="E13" s="67" t="s">
        <v>11</v>
      </c>
      <c r="F13" s="69"/>
      <c r="G13" s="67" t="s">
        <v>12</v>
      </c>
      <c r="H13" s="69"/>
      <c r="I13" s="67" t="s">
        <v>13</v>
      </c>
      <c r="J13" s="68"/>
      <c r="K13" s="11"/>
      <c r="L13" s="17"/>
      <c r="M13" s="36"/>
      <c r="N13" s="37"/>
    </row>
    <row r="14" spans="1:14" ht="18" customHeight="1" x14ac:dyDescent="0.2">
      <c r="B14" s="8" t="s">
        <v>39</v>
      </c>
      <c r="C14" s="44"/>
      <c r="D14" s="45"/>
      <c r="E14" s="44" t="s">
        <v>39</v>
      </c>
      <c r="F14" s="45"/>
      <c r="G14" s="44"/>
      <c r="H14" s="45"/>
      <c r="I14" s="44" t="s">
        <v>39</v>
      </c>
      <c r="J14" s="59"/>
      <c r="K14" s="11"/>
      <c r="L14" s="17"/>
      <c r="M14" s="36"/>
      <c r="N14" s="37"/>
    </row>
    <row r="15" spans="1:14" ht="18" customHeight="1" x14ac:dyDescent="0.2">
      <c r="B15" s="6" t="s">
        <v>2</v>
      </c>
      <c r="C15" s="46"/>
      <c r="D15" s="47"/>
      <c r="E15" s="46" t="s">
        <v>2</v>
      </c>
      <c r="F15" s="47"/>
      <c r="G15" s="46"/>
      <c r="H15" s="47"/>
      <c r="I15" s="57" t="s">
        <v>2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40</v>
      </c>
      <c r="D16" s="45"/>
      <c r="E16" s="44"/>
      <c r="F16" s="45"/>
      <c r="G16" s="44" t="s">
        <v>40</v>
      </c>
      <c r="H16" s="45"/>
      <c r="I16" s="53"/>
      <c r="J16" s="54"/>
      <c r="K16" s="65" t="s">
        <v>11</v>
      </c>
      <c r="L16" s="16"/>
      <c r="M16" s="42"/>
      <c r="N16" s="43"/>
    </row>
    <row r="17" spans="2:14" ht="18" customHeight="1" x14ac:dyDescent="0.2">
      <c r="B17" s="6"/>
      <c r="C17" s="46" t="s">
        <v>8</v>
      </c>
      <c r="D17" s="47"/>
      <c r="E17" s="46"/>
      <c r="F17" s="47"/>
      <c r="G17" s="46" t="s">
        <v>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3</v>
      </c>
      <c r="C18" s="62"/>
      <c r="D18" s="63"/>
      <c r="E18" s="62" t="s">
        <v>3</v>
      </c>
      <c r="F18" s="63"/>
      <c r="G18" s="62"/>
      <c r="H18" s="63"/>
      <c r="I18" s="62" t="s">
        <v>3</v>
      </c>
      <c r="J18" s="64"/>
      <c r="K18" s="66"/>
      <c r="L18" s="17"/>
      <c r="M18" s="36"/>
      <c r="N18" s="37"/>
    </row>
    <row r="19" spans="2:14" ht="18" customHeight="1" x14ac:dyDescent="0.2">
      <c r="B19" s="6" t="s">
        <v>4</v>
      </c>
      <c r="C19" s="46"/>
      <c r="D19" s="47"/>
      <c r="E19" s="46" t="s">
        <v>4</v>
      </c>
      <c r="F19" s="47"/>
      <c r="G19" s="46"/>
      <c r="H19" s="47"/>
      <c r="I19" s="57" t="s">
        <v>4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5</v>
      </c>
      <c r="C26" s="44"/>
      <c r="D26" s="45"/>
      <c r="E26" s="44" t="s">
        <v>5</v>
      </c>
      <c r="F26" s="45"/>
      <c r="G26" s="44"/>
      <c r="H26" s="45"/>
      <c r="I26" s="44" t="s">
        <v>5</v>
      </c>
      <c r="J26" s="59"/>
      <c r="K26" s="11"/>
      <c r="L26" s="17"/>
      <c r="M26" s="36"/>
      <c r="N26" s="37"/>
    </row>
    <row r="27" spans="2:14" ht="18" customHeight="1" x14ac:dyDescent="0.2">
      <c r="B27" s="6" t="s">
        <v>6</v>
      </c>
      <c r="C27" s="46"/>
      <c r="D27" s="47"/>
      <c r="E27" s="46" t="s">
        <v>6</v>
      </c>
      <c r="F27" s="47"/>
      <c r="G27" s="46"/>
      <c r="H27" s="47"/>
      <c r="I27" s="57" t="s">
        <v>6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9</v>
      </c>
      <c r="D30" s="45"/>
      <c r="E30" s="44"/>
      <c r="F30" s="45"/>
      <c r="G30" s="44" t="s">
        <v>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10</v>
      </c>
      <c r="D31" s="47"/>
      <c r="E31" s="46"/>
      <c r="F31" s="47"/>
      <c r="G31" s="46" t="s">
        <v>10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VLOOKUP(DAY(C4),ÖdevGünleri,1,FALSE)=DAY(C4)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14</v>
      </c>
      <c r="L2" s="71">
        <v>2013</v>
      </c>
      <c r="M2" s="71"/>
      <c r="N2" s="79">
        <f>TakvimYılı</f>
        <v>2016</v>
      </c>
    </row>
    <row r="3" spans="1:14" ht="21" customHeight="1" x14ac:dyDescent="0.2">
      <c r="A3" s="4"/>
      <c r="B3" s="31" t="s">
        <v>21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IF(DAY(KasPaz1)=1,KasPaz1-6,KasPaz1+1)</f>
        <v>42674</v>
      </c>
      <c r="D4" s="10">
        <f>IF(DAY(KasPaz1)=1,KasPaz1-5,KasPaz1+2)</f>
        <v>42675</v>
      </c>
      <c r="E4" s="10">
        <f>IF(DAY(KasPaz1)=1,KasPaz1-4,KasPaz1+3)</f>
        <v>42676</v>
      </c>
      <c r="F4" s="10">
        <f>IF(DAY(KasPaz1)=1,KasPaz1-3,KasPaz1+4)</f>
        <v>42677</v>
      </c>
      <c r="G4" s="10">
        <f>IF(DAY(KasPaz1)=1,KasPaz1-2,KasPaz1+5)</f>
        <v>42678</v>
      </c>
      <c r="H4" s="10">
        <f>IF(DAY(KasPaz1)=1,KasPaz1-1,KasPaz1+6)</f>
        <v>42679</v>
      </c>
      <c r="I4" s="10">
        <f>IF(DAY(KasPaz1)=1,KasPaz1,KasPaz1+7)</f>
        <v>42680</v>
      </c>
      <c r="J4" s="5"/>
      <c r="K4" s="74" t="s">
        <v>38</v>
      </c>
      <c r="L4" s="16"/>
      <c r="M4" s="75"/>
      <c r="N4" s="76"/>
    </row>
    <row r="5" spans="1:14" ht="18" customHeight="1" x14ac:dyDescent="0.2">
      <c r="A5" s="4"/>
      <c r="B5" s="28"/>
      <c r="C5" s="10">
        <f>IF(DAY(KasPaz1)=1,KasPaz1+1,KasPaz1+8)</f>
        <v>42681</v>
      </c>
      <c r="D5" s="10">
        <f>IF(DAY(KasPaz1)=1,KasPaz1+2,KasPaz1+9)</f>
        <v>42682</v>
      </c>
      <c r="E5" s="10">
        <f>IF(DAY(KasPaz1)=1,KasPaz1+3,KasPaz1+10)</f>
        <v>42683</v>
      </c>
      <c r="F5" s="10">
        <f>IF(DAY(KasPaz1)=1,KasPaz1+4,KasPaz1+11)</f>
        <v>42684</v>
      </c>
      <c r="G5" s="10">
        <f>IF(DAY(KasPaz1)=1,KasPaz1+5,KasPaz1+12)</f>
        <v>42685</v>
      </c>
      <c r="H5" s="10">
        <f>IF(DAY(KasPaz1)=1,KasPaz1+6,KasPaz1+13)</f>
        <v>42686</v>
      </c>
      <c r="I5" s="10">
        <f>IF(DAY(KasPaz1)=1,KasPaz1+7,KasPaz1+14)</f>
        <v>42687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IF(DAY(KasPaz1)=1,KasPaz1+8,KasPaz1+15)</f>
        <v>42688</v>
      </c>
      <c r="D6" s="10">
        <f>IF(DAY(KasPaz1)=1,KasPaz1+9,KasPaz1+16)</f>
        <v>42689</v>
      </c>
      <c r="E6" s="10">
        <f>IF(DAY(KasPaz1)=1,KasPaz1+10,KasPaz1+17)</f>
        <v>42690</v>
      </c>
      <c r="F6" s="10">
        <f>IF(DAY(KasPaz1)=1,KasPaz1+11,KasPaz1+18)</f>
        <v>42691</v>
      </c>
      <c r="G6" s="10">
        <f>IF(DAY(KasPaz1)=1,KasPaz1+12,KasPaz1+19)</f>
        <v>42692</v>
      </c>
      <c r="H6" s="10">
        <f>IF(DAY(KasPaz1)=1,KasPaz1+13,KasPaz1+20)</f>
        <v>42693</v>
      </c>
      <c r="I6" s="10">
        <f>IF(DAY(KasPaz1)=1,KasPaz1+14,KasPaz1+21)</f>
        <v>42694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IF(DAY(KasPaz1)=1,KasPaz1+15,KasPaz1+22)</f>
        <v>42695</v>
      </c>
      <c r="D7" s="10">
        <f>IF(DAY(KasPaz1)=1,KasPaz1+16,KasPaz1+23)</f>
        <v>42696</v>
      </c>
      <c r="E7" s="10">
        <f>IF(DAY(KasPaz1)=1,KasPaz1+17,KasPaz1+24)</f>
        <v>42697</v>
      </c>
      <c r="F7" s="10">
        <f>IF(DAY(KasPaz1)=1,KasPaz1+18,KasPaz1+25)</f>
        <v>42698</v>
      </c>
      <c r="G7" s="10">
        <f>IF(DAY(KasPaz1)=1,KasPaz1+19,KasPaz1+26)</f>
        <v>42699</v>
      </c>
      <c r="H7" s="10">
        <f>IF(DAY(KasPaz1)=1,KasPaz1+20,KasPaz1+27)</f>
        <v>42700</v>
      </c>
      <c r="I7" s="10">
        <f>IF(DAY(KasPaz1)=1,KasPaz1+21,KasPaz1+28)</f>
        <v>42701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IF(DAY(KasPaz1)=1,KasPaz1+22,KasPaz1+29)</f>
        <v>42702</v>
      </c>
      <c r="D8" s="10">
        <f>IF(DAY(KasPaz1)=1,KasPaz1+23,KasPaz1+30)</f>
        <v>42703</v>
      </c>
      <c r="E8" s="10">
        <f>IF(DAY(KasPaz1)=1,KasPaz1+24,KasPaz1+31)</f>
        <v>42704</v>
      </c>
      <c r="F8" s="10">
        <f>IF(DAY(KasPaz1)=1,KasPaz1+25,KasPaz1+32)</f>
        <v>42705</v>
      </c>
      <c r="G8" s="10">
        <f>IF(DAY(KasPaz1)=1,KasPaz1+26,KasPaz1+33)</f>
        <v>42706</v>
      </c>
      <c r="H8" s="10">
        <f>IF(DAY(KasPaz1)=1,KasPaz1+27,KasPaz1+34)</f>
        <v>42707</v>
      </c>
      <c r="I8" s="10">
        <f>IF(DAY(KasPaz1)=1,KasPaz1+28,KasPaz1+35)</f>
        <v>42708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IF(DAY(KasPaz1)=1,KasPaz1+29,KasPaz1+36)</f>
        <v>42709</v>
      </c>
      <c r="D9" s="10">
        <f>IF(DAY(KasPaz1)=1,KasPaz1+30,KasPaz1+37)</f>
        <v>42710</v>
      </c>
      <c r="E9" s="10">
        <f>IF(DAY(KasPaz1)=1,KasPaz1+31,KasPaz1+38)</f>
        <v>42711</v>
      </c>
      <c r="F9" s="10">
        <f>IF(DAY(KasPaz1)=1,KasPaz1+32,KasPaz1+39)</f>
        <v>42712</v>
      </c>
      <c r="G9" s="10">
        <f>IF(DAY(KasPaz1)=1,KasPaz1+33,KasPaz1+40)</f>
        <v>42713</v>
      </c>
      <c r="H9" s="10">
        <f>IF(DAY(KasPaz1)=1,KasPaz1+34,KasPaz1+41)</f>
        <v>42714</v>
      </c>
      <c r="I9" s="10">
        <f>IF(DAY(KasPaz1)=1,KasPaz1+35,KasPaz1+42)</f>
        <v>42715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38</v>
      </c>
      <c r="C13" s="67" t="s">
        <v>7</v>
      </c>
      <c r="D13" s="69"/>
      <c r="E13" s="67" t="s">
        <v>11</v>
      </c>
      <c r="F13" s="69"/>
      <c r="G13" s="67" t="s">
        <v>12</v>
      </c>
      <c r="H13" s="69"/>
      <c r="I13" s="67" t="s">
        <v>13</v>
      </c>
      <c r="J13" s="68"/>
      <c r="K13" s="11"/>
      <c r="L13" s="17"/>
      <c r="M13" s="36"/>
      <c r="N13" s="37"/>
    </row>
    <row r="14" spans="1:14" ht="18" customHeight="1" x14ac:dyDescent="0.2">
      <c r="B14" s="8" t="s">
        <v>39</v>
      </c>
      <c r="C14" s="44"/>
      <c r="D14" s="45"/>
      <c r="E14" s="44" t="s">
        <v>39</v>
      </c>
      <c r="F14" s="45"/>
      <c r="G14" s="44"/>
      <c r="H14" s="45"/>
      <c r="I14" s="44" t="s">
        <v>39</v>
      </c>
      <c r="J14" s="59"/>
      <c r="K14" s="11"/>
      <c r="L14" s="17"/>
      <c r="M14" s="36"/>
      <c r="N14" s="37"/>
    </row>
    <row r="15" spans="1:14" ht="18" customHeight="1" x14ac:dyDescent="0.2">
      <c r="B15" s="6" t="s">
        <v>2</v>
      </c>
      <c r="C15" s="46"/>
      <c r="D15" s="47"/>
      <c r="E15" s="46" t="s">
        <v>2</v>
      </c>
      <c r="F15" s="47"/>
      <c r="G15" s="46"/>
      <c r="H15" s="47"/>
      <c r="I15" s="57" t="s">
        <v>2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40</v>
      </c>
      <c r="D16" s="45"/>
      <c r="E16" s="44"/>
      <c r="F16" s="45"/>
      <c r="G16" s="44" t="s">
        <v>40</v>
      </c>
      <c r="H16" s="45"/>
      <c r="I16" s="53"/>
      <c r="J16" s="54"/>
      <c r="K16" s="65" t="s">
        <v>11</v>
      </c>
      <c r="L16" s="16"/>
      <c r="M16" s="42"/>
      <c r="N16" s="43"/>
    </row>
    <row r="17" spans="2:14" ht="18" customHeight="1" x14ac:dyDescent="0.2">
      <c r="B17" s="6"/>
      <c r="C17" s="46" t="s">
        <v>8</v>
      </c>
      <c r="D17" s="47"/>
      <c r="E17" s="46"/>
      <c r="F17" s="47"/>
      <c r="G17" s="46" t="s">
        <v>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3</v>
      </c>
      <c r="C18" s="62"/>
      <c r="D18" s="63"/>
      <c r="E18" s="62" t="s">
        <v>3</v>
      </c>
      <c r="F18" s="63"/>
      <c r="G18" s="62"/>
      <c r="H18" s="63"/>
      <c r="I18" s="62" t="s">
        <v>3</v>
      </c>
      <c r="J18" s="64"/>
      <c r="K18" s="66"/>
      <c r="L18" s="17"/>
      <c r="M18" s="36"/>
      <c r="N18" s="37"/>
    </row>
    <row r="19" spans="2:14" ht="18" customHeight="1" x14ac:dyDescent="0.2">
      <c r="B19" s="6" t="s">
        <v>4</v>
      </c>
      <c r="C19" s="46"/>
      <c r="D19" s="47"/>
      <c r="E19" s="46" t="s">
        <v>4</v>
      </c>
      <c r="F19" s="47"/>
      <c r="G19" s="46"/>
      <c r="H19" s="47"/>
      <c r="I19" s="57" t="s">
        <v>4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5</v>
      </c>
      <c r="C26" s="44"/>
      <c r="D26" s="45"/>
      <c r="E26" s="44" t="s">
        <v>5</v>
      </c>
      <c r="F26" s="45"/>
      <c r="G26" s="44"/>
      <c r="H26" s="45"/>
      <c r="I26" s="44" t="s">
        <v>5</v>
      </c>
      <c r="J26" s="59"/>
      <c r="K26" s="11"/>
      <c r="L26" s="17"/>
      <c r="M26" s="36"/>
      <c r="N26" s="37"/>
    </row>
    <row r="27" spans="2:14" ht="18" customHeight="1" x14ac:dyDescent="0.2">
      <c r="B27" s="6" t="s">
        <v>6</v>
      </c>
      <c r="C27" s="46"/>
      <c r="D27" s="47"/>
      <c r="E27" s="46" t="s">
        <v>6</v>
      </c>
      <c r="F27" s="47"/>
      <c r="G27" s="46"/>
      <c r="H27" s="47"/>
      <c r="I27" s="57" t="s">
        <v>6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9</v>
      </c>
      <c r="D30" s="45"/>
      <c r="E30" s="44"/>
      <c r="F30" s="45"/>
      <c r="G30" s="44" t="s">
        <v>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10</v>
      </c>
      <c r="D31" s="47"/>
      <c r="E31" s="46"/>
      <c r="F31" s="47"/>
      <c r="G31" s="46" t="s">
        <v>10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VLOOKUP(DAY(C4),ÖdevGünleri,1,FALSE)=DAY(C4)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14</v>
      </c>
      <c r="L2" s="71">
        <v>2013</v>
      </c>
      <c r="M2" s="71"/>
      <c r="N2" s="79">
        <f>TakvimYılı</f>
        <v>2016</v>
      </c>
    </row>
    <row r="3" spans="1:14" ht="21" customHeight="1" x14ac:dyDescent="0.2">
      <c r="A3" s="4"/>
      <c r="B3" s="31" t="s">
        <v>22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IF(DAY(AraPaz1)=1,AraPaz1-6,AraPaz1+1)</f>
        <v>42702</v>
      </c>
      <c r="D4" s="10">
        <f>IF(DAY(AraPaz1)=1,AraPaz1-5,AraPaz1+2)</f>
        <v>42703</v>
      </c>
      <c r="E4" s="10">
        <f>IF(DAY(AraPaz1)=1,AraPaz1-4,AraPaz1+3)</f>
        <v>42704</v>
      </c>
      <c r="F4" s="10">
        <f>IF(DAY(AraPaz1)=1,AraPaz1-3,AraPaz1+4)</f>
        <v>42705</v>
      </c>
      <c r="G4" s="10">
        <f>IF(DAY(AraPaz1)=1,AraPaz1-2,AraPaz1+5)</f>
        <v>42706</v>
      </c>
      <c r="H4" s="10">
        <f>IF(DAY(AraPaz1)=1,AraPaz1-1,AraPaz1+6)</f>
        <v>42707</v>
      </c>
      <c r="I4" s="10">
        <f>IF(DAY(AraPaz1)=1,AraPaz1,AraPaz1+7)</f>
        <v>42708</v>
      </c>
      <c r="J4" s="5"/>
      <c r="K4" s="74" t="s">
        <v>38</v>
      </c>
      <c r="L4" s="16"/>
      <c r="M4" s="75"/>
      <c r="N4" s="76"/>
    </row>
    <row r="5" spans="1:14" ht="18" customHeight="1" x14ac:dyDescent="0.2">
      <c r="A5" s="4"/>
      <c r="B5" s="28"/>
      <c r="C5" s="10">
        <f>IF(DAY(AraPaz1)=1,AraPaz1+1,AraPaz1+8)</f>
        <v>42709</v>
      </c>
      <c r="D5" s="10">
        <f>IF(DAY(AraPaz1)=1,AraPaz1+2,AraPaz1+9)</f>
        <v>42710</v>
      </c>
      <c r="E5" s="10">
        <f>IF(DAY(AraPaz1)=1,AraPaz1+3,AraPaz1+10)</f>
        <v>42711</v>
      </c>
      <c r="F5" s="10">
        <f>IF(DAY(AraPaz1)=1,AraPaz1+4,AraPaz1+11)</f>
        <v>42712</v>
      </c>
      <c r="G5" s="10">
        <f>IF(DAY(AraPaz1)=1,AraPaz1+5,AraPaz1+12)</f>
        <v>42713</v>
      </c>
      <c r="H5" s="10">
        <f>IF(DAY(AraPaz1)=1,AraPaz1+6,AraPaz1+13)</f>
        <v>42714</v>
      </c>
      <c r="I5" s="10">
        <f>IF(DAY(AraPaz1)=1,AraPaz1+7,AraPaz1+14)</f>
        <v>42715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IF(DAY(AraPaz1)=1,AraPaz1+8,AraPaz1+15)</f>
        <v>42716</v>
      </c>
      <c r="D6" s="10">
        <f>IF(DAY(AraPaz1)=1,AraPaz1+9,AraPaz1+16)</f>
        <v>42717</v>
      </c>
      <c r="E6" s="10">
        <f>IF(DAY(AraPaz1)=1,AraPaz1+10,AraPaz1+17)</f>
        <v>42718</v>
      </c>
      <c r="F6" s="10">
        <f>IF(DAY(AraPaz1)=1,AraPaz1+11,AraPaz1+18)</f>
        <v>42719</v>
      </c>
      <c r="G6" s="10">
        <f>IF(DAY(AraPaz1)=1,AraPaz1+12,AraPaz1+19)</f>
        <v>42720</v>
      </c>
      <c r="H6" s="10">
        <f>IF(DAY(AraPaz1)=1,AraPaz1+13,AraPaz1+20)</f>
        <v>42721</v>
      </c>
      <c r="I6" s="10">
        <f>IF(DAY(AraPaz1)=1,AraPaz1+14,AraPaz1+21)</f>
        <v>42722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IF(DAY(AraPaz1)=1,AraPaz1+15,AraPaz1+22)</f>
        <v>42723</v>
      </c>
      <c r="D7" s="10">
        <f>IF(DAY(AraPaz1)=1,AraPaz1+16,AraPaz1+23)</f>
        <v>42724</v>
      </c>
      <c r="E7" s="10">
        <f>IF(DAY(AraPaz1)=1,AraPaz1+17,AraPaz1+24)</f>
        <v>42725</v>
      </c>
      <c r="F7" s="10">
        <f>IF(DAY(AraPaz1)=1,AraPaz1+18,AraPaz1+25)</f>
        <v>42726</v>
      </c>
      <c r="G7" s="10">
        <f>IF(DAY(AraPaz1)=1,AraPaz1+19,AraPaz1+26)</f>
        <v>42727</v>
      </c>
      <c r="H7" s="10">
        <f>IF(DAY(AraPaz1)=1,AraPaz1+20,AraPaz1+27)</f>
        <v>42728</v>
      </c>
      <c r="I7" s="10">
        <f>IF(DAY(AraPaz1)=1,AraPaz1+21,AraPaz1+28)</f>
        <v>42729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IF(DAY(AraPaz1)=1,AraPaz1+22,AraPaz1+29)</f>
        <v>42730</v>
      </c>
      <c r="D8" s="10">
        <f>IF(DAY(AraPaz1)=1,AraPaz1+23,AraPaz1+30)</f>
        <v>42731</v>
      </c>
      <c r="E8" s="10">
        <f>IF(DAY(AraPaz1)=1,AraPaz1+24,AraPaz1+31)</f>
        <v>42732</v>
      </c>
      <c r="F8" s="10">
        <f>IF(DAY(AraPaz1)=1,AraPaz1+25,AraPaz1+32)</f>
        <v>42733</v>
      </c>
      <c r="G8" s="10">
        <f>IF(DAY(AraPaz1)=1,AraPaz1+26,AraPaz1+33)</f>
        <v>42734</v>
      </c>
      <c r="H8" s="10">
        <f>IF(DAY(AraPaz1)=1,AraPaz1+27,AraPaz1+34)</f>
        <v>42735</v>
      </c>
      <c r="I8" s="10">
        <f>IF(DAY(AraPaz1)=1,AraPaz1+28,AraPaz1+35)</f>
        <v>42736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IF(DAY(AraPaz1)=1,AraPaz1+29,AraPaz1+36)</f>
        <v>42737</v>
      </c>
      <c r="D9" s="10">
        <f>IF(DAY(AraPaz1)=1,AraPaz1+30,AraPaz1+37)</f>
        <v>42738</v>
      </c>
      <c r="E9" s="10">
        <f>IF(DAY(AraPaz1)=1,AraPaz1+31,AraPaz1+38)</f>
        <v>42739</v>
      </c>
      <c r="F9" s="10">
        <f>IF(DAY(AraPaz1)=1,AraPaz1+32,AraPaz1+39)</f>
        <v>42740</v>
      </c>
      <c r="G9" s="10">
        <f>IF(DAY(AraPaz1)=1,AraPaz1+33,AraPaz1+40)</f>
        <v>42741</v>
      </c>
      <c r="H9" s="10">
        <f>IF(DAY(AraPaz1)=1,AraPaz1+34,AraPaz1+41)</f>
        <v>42742</v>
      </c>
      <c r="I9" s="10">
        <f>IF(DAY(AraPaz1)=1,AraPaz1+35,AraPaz1+42)</f>
        <v>42743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38</v>
      </c>
      <c r="C13" s="67" t="s">
        <v>7</v>
      </c>
      <c r="D13" s="69"/>
      <c r="E13" s="67" t="s">
        <v>11</v>
      </c>
      <c r="F13" s="69"/>
      <c r="G13" s="67" t="s">
        <v>12</v>
      </c>
      <c r="H13" s="69"/>
      <c r="I13" s="67" t="s">
        <v>13</v>
      </c>
      <c r="J13" s="68"/>
      <c r="K13" s="11"/>
      <c r="L13" s="17"/>
      <c r="M13" s="36"/>
      <c r="N13" s="37"/>
    </row>
    <row r="14" spans="1:14" ht="18" customHeight="1" x14ac:dyDescent="0.2">
      <c r="B14" s="8" t="s">
        <v>39</v>
      </c>
      <c r="C14" s="44"/>
      <c r="D14" s="45"/>
      <c r="E14" s="44" t="s">
        <v>39</v>
      </c>
      <c r="F14" s="45"/>
      <c r="G14" s="44"/>
      <c r="H14" s="45"/>
      <c r="I14" s="44" t="s">
        <v>39</v>
      </c>
      <c r="J14" s="59"/>
      <c r="K14" s="11"/>
      <c r="L14" s="17"/>
      <c r="M14" s="36"/>
      <c r="N14" s="37"/>
    </row>
    <row r="15" spans="1:14" ht="18" customHeight="1" x14ac:dyDescent="0.2">
      <c r="B15" s="6" t="s">
        <v>2</v>
      </c>
      <c r="C15" s="46"/>
      <c r="D15" s="47"/>
      <c r="E15" s="46" t="s">
        <v>2</v>
      </c>
      <c r="F15" s="47"/>
      <c r="G15" s="46"/>
      <c r="H15" s="47"/>
      <c r="I15" s="57" t="s">
        <v>2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40</v>
      </c>
      <c r="D16" s="45"/>
      <c r="E16" s="44"/>
      <c r="F16" s="45"/>
      <c r="G16" s="44" t="s">
        <v>40</v>
      </c>
      <c r="H16" s="45"/>
      <c r="I16" s="53"/>
      <c r="J16" s="54"/>
      <c r="K16" s="65" t="s">
        <v>11</v>
      </c>
      <c r="L16" s="16"/>
      <c r="M16" s="42"/>
      <c r="N16" s="43"/>
    </row>
    <row r="17" spans="2:14" ht="18" customHeight="1" x14ac:dyDescent="0.2">
      <c r="B17" s="6"/>
      <c r="C17" s="46" t="s">
        <v>8</v>
      </c>
      <c r="D17" s="47"/>
      <c r="E17" s="46"/>
      <c r="F17" s="47"/>
      <c r="G17" s="46" t="s">
        <v>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3</v>
      </c>
      <c r="C18" s="62"/>
      <c r="D18" s="63"/>
      <c r="E18" s="62" t="s">
        <v>3</v>
      </c>
      <c r="F18" s="63"/>
      <c r="G18" s="62"/>
      <c r="H18" s="63"/>
      <c r="I18" s="62" t="s">
        <v>3</v>
      </c>
      <c r="J18" s="64"/>
      <c r="K18" s="66"/>
      <c r="L18" s="17"/>
      <c r="M18" s="36"/>
      <c r="N18" s="37"/>
    </row>
    <row r="19" spans="2:14" ht="18" customHeight="1" x14ac:dyDescent="0.2">
      <c r="B19" s="6" t="s">
        <v>4</v>
      </c>
      <c r="C19" s="46"/>
      <c r="D19" s="47"/>
      <c r="E19" s="46" t="s">
        <v>4</v>
      </c>
      <c r="F19" s="47"/>
      <c r="G19" s="46"/>
      <c r="H19" s="47"/>
      <c r="I19" s="57" t="s">
        <v>4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5</v>
      </c>
      <c r="C26" s="44"/>
      <c r="D26" s="45"/>
      <c r="E26" s="44" t="s">
        <v>5</v>
      </c>
      <c r="F26" s="45"/>
      <c r="G26" s="44"/>
      <c r="H26" s="45"/>
      <c r="I26" s="44" t="s">
        <v>5</v>
      </c>
      <c r="J26" s="59"/>
      <c r="K26" s="11"/>
      <c r="L26" s="17"/>
      <c r="M26" s="36"/>
      <c r="N26" s="37"/>
    </row>
    <row r="27" spans="2:14" ht="18" customHeight="1" x14ac:dyDescent="0.2">
      <c r="B27" s="6" t="s">
        <v>6</v>
      </c>
      <c r="C27" s="46"/>
      <c r="D27" s="47"/>
      <c r="E27" s="46" t="s">
        <v>6</v>
      </c>
      <c r="F27" s="47"/>
      <c r="G27" s="46"/>
      <c r="H27" s="47"/>
      <c r="I27" s="57" t="s">
        <v>6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9</v>
      </c>
      <c r="D30" s="45"/>
      <c r="E30" s="44"/>
      <c r="F30" s="45"/>
      <c r="G30" s="44" t="s">
        <v>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10</v>
      </c>
      <c r="D31" s="47"/>
      <c r="E31" s="46"/>
      <c r="F31" s="47"/>
      <c r="G31" s="46" t="s">
        <v>10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VLOOKUP(DAY(C4),ÖdevGünleri,1,FALSE)=DAY(C4)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14</v>
      </c>
      <c r="L2" s="71">
        <v>2013</v>
      </c>
      <c r="M2" s="71"/>
      <c r="N2" s="79">
        <f>TakvimYılı</f>
        <v>2016</v>
      </c>
    </row>
    <row r="3" spans="1:14" ht="21" customHeight="1" x14ac:dyDescent="0.2">
      <c r="A3" s="4"/>
      <c r="B3" s="31" t="s">
        <v>23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IF(DAY(ŞubPaz1)=1,ŞubPaz1-6,ŞubPaz1+1)</f>
        <v>42401</v>
      </c>
      <c r="D4" s="10">
        <f>IF(DAY(ŞubPaz1)=1,ŞubPaz1-5,ŞubPaz1+2)</f>
        <v>42402</v>
      </c>
      <c r="E4" s="10">
        <f>IF(DAY(ŞubPaz1)=1,ŞubPaz1-4,ŞubPaz1+3)</f>
        <v>42403</v>
      </c>
      <c r="F4" s="10">
        <f>IF(DAY(ŞubPaz1)=1,ŞubPaz1-3,ŞubPaz1+4)</f>
        <v>42404</v>
      </c>
      <c r="G4" s="10">
        <f>IF(DAY(ŞubPaz1)=1,ŞubPaz1-2,ŞubPaz1+5)</f>
        <v>42405</v>
      </c>
      <c r="H4" s="10">
        <f>IF(DAY(ŞubPaz1)=1,ŞubPaz1-1,ŞubPaz1+6)</f>
        <v>42406</v>
      </c>
      <c r="I4" s="10">
        <f>IF(DAY(ŞubPaz1)=1,ŞubPaz1,ŞubPaz1+7)</f>
        <v>42407</v>
      </c>
      <c r="J4" s="5"/>
      <c r="K4" s="74" t="s">
        <v>38</v>
      </c>
      <c r="L4" s="16"/>
      <c r="M4" s="75"/>
      <c r="N4" s="76"/>
    </row>
    <row r="5" spans="1:14" ht="18" customHeight="1" x14ac:dyDescent="0.2">
      <c r="A5" s="4"/>
      <c r="B5" s="28"/>
      <c r="C5" s="10">
        <f>IF(DAY(ŞubPaz1)=1,ŞubPaz1+1,ŞubPaz1+8)</f>
        <v>42408</v>
      </c>
      <c r="D5" s="10">
        <f>IF(DAY(ŞubPaz1)=1,ŞubPaz1+2,ŞubPaz1+9)</f>
        <v>42409</v>
      </c>
      <c r="E5" s="10">
        <f>IF(DAY(ŞubPaz1)=1,ŞubPaz1+3,ŞubPaz1+10)</f>
        <v>42410</v>
      </c>
      <c r="F5" s="10">
        <f>IF(DAY(ŞubPaz1)=1,ŞubPaz1+4,ŞubPaz1+11)</f>
        <v>42411</v>
      </c>
      <c r="G5" s="10">
        <f>IF(DAY(ŞubPaz1)=1,ŞubPaz1+5,ŞubPaz1+12)</f>
        <v>42412</v>
      </c>
      <c r="H5" s="10">
        <f>IF(DAY(ŞubPaz1)=1,ŞubPaz1+6,ŞubPaz1+13)</f>
        <v>42413</v>
      </c>
      <c r="I5" s="10">
        <f>IF(DAY(ŞubPaz1)=1,ŞubPaz1+7,ŞubPaz1+14)</f>
        <v>42414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IF(DAY(ŞubPaz1)=1,ŞubPaz1+8,ŞubPaz1+15)</f>
        <v>42415</v>
      </c>
      <c r="D6" s="10">
        <f>IF(DAY(ŞubPaz1)=1,ŞubPaz1+9,ŞubPaz1+16)</f>
        <v>42416</v>
      </c>
      <c r="E6" s="10">
        <f>IF(DAY(ŞubPaz1)=1,ŞubPaz1+10,ŞubPaz1+17)</f>
        <v>42417</v>
      </c>
      <c r="F6" s="10">
        <f>IF(DAY(ŞubPaz1)=1,ŞubPaz1+11,ŞubPaz1+18)</f>
        <v>42418</v>
      </c>
      <c r="G6" s="10">
        <f>IF(DAY(ŞubPaz1)=1,ŞubPaz1+12,ŞubPaz1+19)</f>
        <v>42419</v>
      </c>
      <c r="H6" s="10">
        <f>IF(DAY(ŞubPaz1)=1,ŞubPaz1+13,ŞubPaz1+20)</f>
        <v>42420</v>
      </c>
      <c r="I6" s="10">
        <f>IF(DAY(ŞubPaz1)=1,ŞubPaz1+14,ŞubPaz1+21)</f>
        <v>42421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IF(DAY(ŞubPaz1)=1,ŞubPaz1+15,ŞubPaz1+22)</f>
        <v>42422</v>
      </c>
      <c r="D7" s="10">
        <f>IF(DAY(ŞubPaz1)=1,ŞubPaz1+16,ŞubPaz1+23)</f>
        <v>42423</v>
      </c>
      <c r="E7" s="10">
        <f>IF(DAY(ŞubPaz1)=1,ŞubPaz1+17,ŞubPaz1+24)</f>
        <v>42424</v>
      </c>
      <c r="F7" s="10">
        <f>IF(DAY(ŞubPaz1)=1,ŞubPaz1+18,ŞubPaz1+25)</f>
        <v>42425</v>
      </c>
      <c r="G7" s="10">
        <f>IF(DAY(ŞubPaz1)=1,ŞubPaz1+19,ŞubPaz1+26)</f>
        <v>42426</v>
      </c>
      <c r="H7" s="10">
        <f>IF(DAY(ŞubPaz1)=1,ŞubPaz1+20,ŞubPaz1+27)</f>
        <v>42427</v>
      </c>
      <c r="I7" s="10">
        <f>IF(DAY(ŞubPaz1)=1,ŞubPaz1+21,ŞubPaz1+28)</f>
        <v>42428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IF(DAY(ŞubPaz1)=1,ŞubPaz1+22,ŞubPaz1+29)</f>
        <v>42429</v>
      </c>
      <c r="D8" s="10">
        <f>IF(DAY(ŞubPaz1)=1,ŞubPaz1+23,ŞubPaz1+30)</f>
        <v>42430</v>
      </c>
      <c r="E8" s="10">
        <f>IF(DAY(ŞubPaz1)=1,ŞubPaz1+24,ŞubPaz1+31)</f>
        <v>42431</v>
      </c>
      <c r="F8" s="10">
        <f>IF(DAY(ŞubPaz1)=1,ŞubPaz1+25,ŞubPaz1+32)</f>
        <v>42432</v>
      </c>
      <c r="G8" s="10">
        <f>IF(DAY(ŞubPaz1)=1,ŞubPaz1+26,ŞubPaz1+33)</f>
        <v>42433</v>
      </c>
      <c r="H8" s="10">
        <f>IF(DAY(ŞubPaz1)=1,ŞubPaz1+27,ŞubPaz1+34)</f>
        <v>42434</v>
      </c>
      <c r="I8" s="10">
        <f>IF(DAY(ŞubPaz1)=1,ŞubPaz1+28,ŞubPaz1+35)</f>
        <v>42435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IF(DAY(ŞubPaz1)=1,ŞubPaz1+29,ŞubPaz1+36)</f>
        <v>42436</v>
      </c>
      <c r="D9" s="10">
        <f>IF(DAY(ŞubPaz1)=1,ŞubPaz1+30,ŞubPaz1+37)</f>
        <v>42437</v>
      </c>
      <c r="E9" s="10">
        <f>IF(DAY(ŞubPaz1)=1,ŞubPaz1+31,ŞubPaz1+38)</f>
        <v>42438</v>
      </c>
      <c r="F9" s="10">
        <f>IF(DAY(ŞubPaz1)=1,ŞubPaz1+32,ŞubPaz1+39)</f>
        <v>42439</v>
      </c>
      <c r="G9" s="10">
        <f>IF(DAY(ŞubPaz1)=1,ŞubPaz1+33,ŞubPaz1+40)</f>
        <v>42440</v>
      </c>
      <c r="H9" s="10">
        <f>IF(DAY(ŞubPaz1)=1,ŞubPaz1+34,ŞubPaz1+41)</f>
        <v>42441</v>
      </c>
      <c r="I9" s="10">
        <f>IF(DAY(ŞubPaz1)=1,ŞubPaz1+35,ŞubPaz1+42)</f>
        <v>42442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38</v>
      </c>
      <c r="C13" s="67" t="s">
        <v>7</v>
      </c>
      <c r="D13" s="69"/>
      <c r="E13" s="67" t="s">
        <v>11</v>
      </c>
      <c r="F13" s="69"/>
      <c r="G13" s="67" t="s">
        <v>12</v>
      </c>
      <c r="H13" s="69"/>
      <c r="I13" s="67" t="s">
        <v>13</v>
      </c>
      <c r="J13" s="68"/>
      <c r="K13" s="11"/>
      <c r="L13" s="17"/>
      <c r="M13" s="36"/>
      <c r="N13" s="37"/>
    </row>
    <row r="14" spans="1:14" ht="18" customHeight="1" x14ac:dyDescent="0.2">
      <c r="B14" s="8" t="s">
        <v>39</v>
      </c>
      <c r="C14" s="44"/>
      <c r="D14" s="45"/>
      <c r="E14" s="44" t="s">
        <v>39</v>
      </c>
      <c r="F14" s="45"/>
      <c r="G14" s="44"/>
      <c r="H14" s="45"/>
      <c r="I14" s="44" t="s">
        <v>39</v>
      </c>
      <c r="J14" s="59"/>
      <c r="K14" s="11"/>
      <c r="L14" s="17"/>
      <c r="M14" s="36"/>
      <c r="N14" s="37"/>
    </row>
    <row r="15" spans="1:14" ht="18" customHeight="1" x14ac:dyDescent="0.2">
      <c r="B15" s="6" t="s">
        <v>2</v>
      </c>
      <c r="C15" s="46"/>
      <c r="D15" s="47"/>
      <c r="E15" s="46" t="s">
        <v>2</v>
      </c>
      <c r="F15" s="47"/>
      <c r="G15" s="46"/>
      <c r="H15" s="47"/>
      <c r="I15" s="57" t="s">
        <v>2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40</v>
      </c>
      <c r="D16" s="45"/>
      <c r="E16" s="44"/>
      <c r="F16" s="45"/>
      <c r="G16" s="44" t="s">
        <v>40</v>
      </c>
      <c r="H16" s="45"/>
      <c r="I16" s="53"/>
      <c r="J16" s="54"/>
      <c r="K16" s="65" t="s">
        <v>11</v>
      </c>
      <c r="L16" s="16"/>
      <c r="M16" s="42"/>
      <c r="N16" s="43"/>
    </row>
    <row r="17" spans="2:14" ht="18" customHeight="1" x14ac:dyDescent="0.2">
      <c r="B17" s="6"/>
      <c r="C17" s="46" t="s">
        <v>8</v>
      </c>
      <c r="D17" s="47"/>
      <c r="E17" s="46"/>
      <c r="F17" s="47"/>
      <c r="G17" s="46" t="s">
        <v>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3</v>
      </c>
      <c r="C18" s="62"/>
      <c r="D18" s="63"/>
      <c r="E18" s="62" t="s">
        <v>3</v>
      </c>
      <c r="F18" s="63"/>
      <c r="G18" s="62"/>
      <c r="H18" s="63"/>
      <c r="I18" s="62" t="s">
        <v>3</v>
      </c>
      <c r="J18" s="64"/>
      <c r="K18" s="66"/>
      <c r="L18" s="17"/>
      <c r="M18" s="36"/>
      <c r="N18" s="37"/>
    </row>
    <row r="19" spans="2:14" ht="18" customHeight="1" x14ac:dyDescent="0.2">
      <c r="B19" s="6" t="s">
        <v>4</v>
      </c>
      <c r="C19" s="46"/>
      <c r="D19" s="47"/>
      <c r="E19" s="46" t="s">
        <v>4</v>
      </c>
      <c r="F19" s="47"/>
      <c r="G19" s="46"/>
      <c r="H19" s="47"/>
      <c r="I19" s="57" t="s">
        <v>4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5</v>
      </c>
      <c r="C26" s="44"/>
      <c r="D26" s="45"/>
      <c r="E26" s="44" t="s">
        <v>5</v>
      </c>
      <c r="F26" s="45"/>
      <c r="G26" s="44"/>
      <c r="H26" s="45"/>
      <c r="I26" s="44" t="s">
        <v>5</v>
      </c>
      <c r="J26" s="59"/>
      <c r="K26" s="11"/>
      <c r="L26" s="17"/>
      <c r="M26" s="36"/>
      <c r="N26" s="37"/>
    </row>
    <row r="27" spans="2:14" ht="18" customHeight="1" x14ac:dyDescent="0.2">
      <c r="B27" s="6" t="s">
        <v>6</v>
      </c>
      <c r="C27" s="46"/>
      <c r="D27" s="47"/>
      <c r="E27" s="46" t="s">
        <v>6</v>
      </c>
      <c r="F27" s="47"/>
      <c r="G27" s="46"/>
      <c r="H27" s="47"/>
      <c r="I27" s="57" t="s">
        <v>6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9</v>
      </c>
      <c r="D30" s="45"/>
      <c r="E30" s="44"/>
      <c r="F30" s="45"/>
      <c r="G30" s="44" t="s">
        <v>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10</v>
      </c>
      <c r="D31" s="47"/>
      <c r="E31" s="46"/>
      <c r="F31" s="47"/>
      <c r="G31" s="46" t="s">
        <v>10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VLOOKUP(DAY(C4),ÖdevGünleri,1,FALSE)=DAY(C4)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14</v>
      </c>
      <c r="L2" s="71">
        <v>2013</v>
      </c>
      <c r="M2" s="71"/>
      <c r="N2" s="79">
        <f>TakvimYılı</f>
        <v>2016</v>
      </c>
    </row>
    <row r="3" spans="1:14" ht="21" customHeight="1" x14ac:dyDescent="0.2">
      <c r="A3" s="4"/>
      <c r="B3" s="31" t="s">
        <v>24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IF(DAY(MarPaz1)=1,MarPaz1-6,MarPaz1+1)</f>
        <v>42429</v>
      </c>
      <c r="D4" s="10">
        <f>IF(DAY(MarPaz1)=1,MarPaz1-5,MarPaz1+2)</f>
        <v>42430</v>
      </c>
      <c r="E4" s="10">
        <f>IF(DAY(MarPaz1)=1,MarPaz1-4,MarPaz1+3)</f>
        <v>42431</v>
      </c>
      <c r="F4" s="10">
        <f>IF(DAY(MarPaz1)=1,MarPaz1-3,MarPaz1+4)</f>
        <v>42432</v>
      </c>
      <c r="G4" s="10">
        <f>IF(DAY(MarPaz1)=1,MarPaz1-2,MarPaz1+5)</f>
        <v>42433</v>
      </c>
      <c r="H4" s="10">
        <f>IF(DAY(MarPaz1)=1,MarPaz1-1,MarPaz1+6)</f>
        <v>42434</v>
      </c>
      <c r="I4" s="10">
        <f>IF(DAY(MarPaz1)=1,MarPaz1,MarPaz1+7)</f>
        <v>42435</v>
      </c>
      <c r="J4" s="5"/>
      <c r="K4" s="74" t="s">
        <v>38</v>
      </c>
      <c r="L4" s="16"/>
      <c r="M4" s="75"/>
      <c r="N4" s="76"/>
    </row>
    <row r="5" spans="1:14" ht="18" customHeight="1" x14ac:dyDescent="0.2">
      <c r="A5" s="4"/>
      <c r="B5" s="28"/>
      <c r="C5" s="10">
        <f>IF(DAY(MarPaz1)=1,MarPaz1+1,MarPaz1+8)</f>
        <v>42436</v>
      </c>
      <c r="D5" s="10">
        <f>IF(DAY(MarPaz1)=1,MarPaz1+2,MarPaz1+9)</f>
        <v>42437</v>
      </c>
      <c r="E5" s="10">
        <f>IF(DAY(MarPaz1)=1,MarPaz1+3,MarPaz1+10)</f>
        <v>42438</v>
      </c>
      <c r="F5" s="10">
        <f>IF(DAY(MarPaz1)=1,MarPaz1+4,MarPaz1+11)</f>
        <v>42439</v>
      </c>
      <c r="G5" s="10">
        <f>IF(DAY(MarPaz1)=1,MarPaz1+5,MarPaz1+12)</f>
        <v>42440</v>
      </c>
      <c r="H5" s="10">
        <f>IF(DAY(MarPaz1)=1,MarPaz1+6,MarPaz1+13)</f>
        <v>42441</v>
      </c>
      <c r="I5" s="10">
        <f>IF(DAY(MarPaz1)=1,MarPaz1+7,MarPaz1+14)</f>
        <v>42442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IF(DAY(MarPaz1)=1,MarPaz1+8,MarPaz1+15)</f>
        <v>42443</v>
      </c>
      <c r="D6" s="10">
        <f>IF(DAY(MarPaz1)=1,MarPaz1+9,MarPaz1+16)</f>
        <v>42444</v>
      </c>
      <c r="E6" s="10">
        <f>IF(DAY(MarPaz1)=1,MarPaz1+10,MarPaz1+17)</f>
        <v>42445</v>
      </c>
      <c r="F6" s="10">
        <f>IF(DAY(MarPaz1)=1,MarPaz1+11,MarPaz1+18)</f>
        <v>42446</v>
      </c>
      <c r="G6" s="10">
        <f>IF(DAY(MarPaz1)=1,MarPaz1+12,MarPaz1+19)</f>
        <v>42447</v>
      </c>
      <c r="H6" s="10">
        <f>IF(DAY(MarPaz1)=1,MarPaz1+13,MarPaz1+20)</f>
        <v>42448</v>
      </c>
      <c r="I6" s="10">
        <f>IF(DAY(MarPaz1)=1,MarPaz1+14,MarPaz1+21)</f>
        <v>42449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IF(DAY(MarPaz1)=1,MarPaz1+15,MarPaz1+22)</f>
        <v>42450</v>
      </c>
      <c r="D7" s="10">
        <f>IF(DAY(MarPaz1)=1,MarPaz1+16,MarPaz1+23)</f>
        <v>42451</v>
      </c>
      <c r="E7" s="10">
        <f>IF(DAY(MarPaz1)=1,MarPaz1+17,MarPaz1+24)</f>
        <v>42452</v>
      </c>
      <c r="F7" s="10">
        <f>IF(DAY(MarPaz1)=1,MarPaz1+18,MarPaz1+25)</f>
        <v>42453</v>
      </c>
      <c r="G7" s="10">
        <f>IF(DAY(MarPaz1)=1,MarPaz1+19,MarPaz1+26)</f>
        <v>42454</v>
      </c>
      <c r="H7" s="10">
        <f>IF(DAY(MarPaz1)=1,MarPaz1+20,MarPaz1+27)</f>
        <v>42455</v>
      </c>
      <c r="I7" s="10">
        <f>IF(DAY(MarPaz1)=1,MarPaz1+21,MarPaz1+28)</f>
        <v>42456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IF(DAY(MarPaz1)=1,MarPaz1+22,MarPaz1+29)</f>
        <v>42457</v>
      </c>
      <c r="D8" s="10">
        <f>IF(DAY(MarPaz1)=1,MarPaz1+23,MarPaz1+30)</f>
        <v>42458</v>
      </c>
      <c r="E8" s="10">
        <f>IF(DAY(MarPaz1)=1,MarPaz1+24,MarPaz1+31)</f>
        <v>42459</v>
      </c>
      <c r="F8" s="10">
        <f>IF(DAY(MarPaz1)=1,MarPaz1+25,MarPaz1+32)</f>
        <v>42460</v>
      </c>
      <c r="G8" s="10">
        <f>IF(DAY(MarPaz1)=1,MarPaz1+26,MarPaz1+33)</f>
        <v>42461</v>
      </c>
      <c r="H8" s="10">
        <f>IF(DAY(MarPaz1)=1,MarPaz1+27,MarPaz1+34)</f>
        <v>42462</v>
      </c>
      <c r="I8" s="10">
        <f>IF(DAY(MarPaz1)=1,MarPaz1+28,MarPaz1+35)</f>
        <v>42463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IF(DAY(MarPaz1)=1,MarPaz1+29,MarPaz1+36)</f>
        <v>42464</v>
      </c>
      <c r="D9" s="10">
        <f>IF(DAY(MarPaz1)=1,MarPaz1+30,MarPaz1+37)</f>
        <v>42465</v>
      </c>
      <c r="E9" s="10">
        <f>IF(DAY(MarPaz1)=1,MarPaz1+31,MarPaz1+38)</f>
        <v>42466</v>
      </c>
      <c r="F9" s="10">
        <f>IF(DAY(MarPaz1)=1,MarPaz1+32,MarPaz1+39)</f>
        <v>42467</v>
      </c>
      <c r="G9" s="10">
        <f>IF(DAY(MarPaz1)=1,MarPaz1+33,MarPaz1+40)</f>
        <v>42468</v>
      </c>
      <c r="H9" s="10">
        <f>IF(DAY(MarPaz1)=1,MarPaz1+34,MarPaz1+41)</f>
        <v>42469</v>
      </c>
      <c r="I9" s="10">
        <f>IF(DAY(MarPaz1)=1,MarPaz1+35,MarPaz1+42)</f>
        <v>42470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38</v>
      </c>
      <c r="C13" s="67" t="s">
        <v>7</v>
      </c>
      <c r="D13" s="69"/>
      <c r="E13" s="67" t="s">
        <v>11</v>
      </c>
      <c r="F13" s="69"/>
      <c r="G13" s="67" t="s">
        <v>12</v>
      </c>
      <c r="H13" s="69"/>
      <c r="I13" s="67" t="s">
        <v>13</v>
      </c>
      <c r="J13" s="68"/>
      <c r="K13" s="11"/>
      <c r="L13" s="17"/>
      <c r="M13" s="36"/>
      <c r="N13" s="37"/>
    </row>
    <row r="14" spans="1:14" ht="18" customHeight="1" x14ac:dyDescent="0.2">
      <c r="B14" s="8" t="s">
        <v>39</v>
      </c>
      <c r="C14" s="44"/>
      <c r="D14" s="45"/>
      <c r="E14" s="44" t="s">
        <v>39</v>
      </c>
      <c r="F14" s="45"/>
      <c r="G14" s="44"/>
      <c r="H14" s="45"/>
      <c r="I14" s="44" t="s">
        <v>39</v>
      </c>
      <c r="J14" s="59"/>
      <c r="K14" s="11"/>
      <c r="L14" s="17"/>
      <c r="M14" s="36"/>
      <c r="N14" s="37"/>
    </row>
    <row r="15" spans="1:14" ht="18" customHeight="1" x14ac:dyDescent="0.2">
      <c r="B15" s="6" t="s">
        <v>2</v>
      </c>
      <c r="C15" s="46"/>
      <c r="D15" s="47"/>
      <c r="E15" s="46" t="s">
        <v>2</v>
      </c>
      <c r="F15" s="47"/>
      <c r="G15" s="46"/>
      <c r="H15" s="47"/>
      <c r="I15" s="57" t="s">
        <v>2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40</v>
      </c>
      <c r="D16" s="45"/>
      <c r="E16" s="44"/>
      <c r="F16" s="45"/>
      <c r="G16" s="44" t="s">
        <v>40</v>
      </c>
      <c r="H16" s="45"/>
      <c r="I16" s="53"/>
      <c r="J16" s="54"/>
      <c r="K16" s="65" t="s">
        <v>11</v>
      </c>
      <c r="L16" s="16"/>
      <c r="M16" s="42"/>
      <c r="N16" s="43"/>
    </row>
    <row r="17" spans="2:14" ht="18" customHeight="1" x14ac:dyDescent="0.2">
      <c r="B17" s="6"/>
      <c r="C17" s="46" t="s">
        <v>8</v>
      </c>
      <c r="D17" s="47"/>
      <c r="E17" s="46"/>
      <c r="F17" s="47"/>
      <c r="G17" s="46" t="s">
        <v>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3</v>
      </c>
      <c r="C18" s="62"/>
      <c r="D18" s="63"/>
      <c r="E18" s="62" t="s">
        <v>3</v>
      </c>
      <c r="F18" s="63"/>
      <c r="G18" s="62"/>
      <c r="H18" s="63"/>
      <c r="I18" s="62" t="s">
        <v>3</v>
      </c>
      <c r="J18" s="64"/>
      <c r="K18" s="66"/>
      <c r="L18" s="17"/>
      <c r="M18" s="36"/>
      <c r="N18" s="37"/>
    </row>
    <row r="19" spans="2:14" ht="18" customHeight="1" x14ac:dyDescent="0.2">
      <c r="B19" s="6" t="s">
        <v>4</v>
      </c>
      <c r="C19" s="46"/>
      <c r="D19" s="47"/>
      <c r="E19" s="46" t="s">
        <v>4</v>
      </c>
      <c r="F19" s="47"/>
      <c r="G19" s="46"/>
      <c r="H19" s="47"/>
      <c r="I19" s="57" t="s">
        <v>4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5</v>
      </c>
      <c r="C26" s="44"/>
      <c r="D26" s="45"/>
      <c r="E26" s="44" t="s">
        <v>5</v>
      </c>
      <c r="F26" s="45"/>
      <c r="G26" s="44"/>
      <c r="H26" s="45"/>
      <c r="I26" s="44" t="s">
        <v>5</v>
      </c>
      <c r="J26" s="59"/>
      <c r="K26" s="11"/>
      <c r="L26" s="17"/>
      <c r="M26" s="36"/>
      <c r="N26" s="37"/>
    </row>
    <row r="27" spans="2:14" ht="18" customHeight="1" x14ac:dyDescent="0.2">
      <c r="B27" s="6" t="s">
        <v>6</v>
      </c>
      <c r="C27" s="46"/>
      <c r="D27" s="47"/>
      <c r="E27" s="46" t="s">
        <v>6</v>
      </c>
      <c r="F27" s="47"/>
      <c r="G27" s="46"/>
      <c r="H27" s="47"/>
      <c r="I27" s="57" t="s">
        <v>6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9</v>
      </c>
      <c r="D30" s="45"/>
      <c r="E30" s="44"/>
      <c r="F30" s="45"/>
      <c r="G30" s="44" t="s">
        <v>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10</v>
      </c>
      <c r="D31" s="47"/>
      <c r="E31" s="46"/>
      <c r="F31" s="47"/>
      <c r="G31" s="46" t="s">
        <v>10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VLOOKUP(DAY(C4),ÖdevGünleri,1,FALSE)=DAY(C4)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14</v>
      </c>
      <c r="L2" s="71">
        <v>2013</v>
      </c>
      <c r="M2" s="71"/>
      <c r="N2" s="79">
        <f>TakvimYılı</f>
        <v>2016</v>
      </c>
    </row>
    <row r="3" spans="1:14" ht="21" customHeight="1" x14ac:dyDescent="0.2">
      <c r="A3" s="4"/>
      <c r="B3" s="31" t="s">
        <v>25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IF(DAY(NisPaz1)=1,NisPaz1-6,NisPaz1+1)</f>
        <v>42457</v>
      </c>
      <c r="D4" s="10">
        <f>IF(DAY(NisPaz1)=1,NisPaz1-5,NisPaz1+2)</f>
        <v>42458</v>
      </c>
      <c r="E4" s="10">
        <f>IF(DAY(NisPaz1)=1,NisPaz1-4,NisPaz1+3)</f>
        <v>42459</v>
      </c>
      <c r="F4" s="10">
        <f>IF(DAY(NisPaz1)=1,NisPaz1-3,NisPaz1+4)</f>
        <v>42460</v>
      </c>
      <c r="G4" s="10">
        <f>IF(DAY(NisPaz1)=1,NisPaz1-2,NisPaz1+5)</f>
        <v>42461</v>
      </c>
      <c r="H4" s="10">
        <f>IF(DAY(NisPaz1)=1,NisPaz1-1,NisPaz1+6)</f>
        <v>42462</v>
      </c>
      <c r="I4" s="10">
        <f>IF(DAY(NisPaz1)=1,NisPaz1,NisPaz1+7)</f>
        <v>42463</v>
      </c>
      <c r="J4" s="5"/>
      <c r="K4" s="74" t="s">
        <v>38</v>
      </c>
      <c r="L4" s="16"/>
      <c r="M4" s="75"/>
      <c r="N4" s="76"/>
    </row>
    <row r="5" spans="1:14" ht="18" customHeight="1" x14ac:dyDescent="0.2">
      <c r="A5" s="4"/>
      <c r="B5" s="28"/>
      <c r="C5" s="10">
        <f>IF(DAY(NisPaz1)=1,NisPaz1+1,NisPaz1+8)</f>
        <v>42464</v>
      </c>
      <c r="D5" s="10">
        <f>IF(DAY(NisPaz1)=1,NisPaz1+2,NisPaz1+9)</f>
        <v>42465</v>
      </c>
      <c r="E5" s="10">
        <f>IF(DAY(NisPaz1)=1,NisPaz1+3,NisPaz1+10)</f>
        <v>42466</v>
      </c>
      <c r="F5" s="10">
        <f>IF(DAY(NisPaz1)=1,NisPaz1+4,NisPaz1+11)</f>
        <v>42467</v>
      </c>
      <c r="G5" s="10">
        <f>IF(DAY(NisPaz1)=1,NisPaz1+5,NisPaz1+12)</f>
        <v>42468</v>
      </c>
      <c r="H5" s="10">
        <f>IF(DAY(NisPaz1)=1,NisPaz1+6,NisPaz1+13)</f>
        <v>42469</v>
      </c>
      <c r="I5" s="10">
        <f>IF(DAY(NisPaz1)=1,NisPaz1+7,NisPaz1+14)</f>
        <v>42470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IF(DAY(NisPaz1)=1,NisPaz1+8,NisPaz1+15)</f>
        <v>42471</v>
      </c>
      <c r="D6" s="10">
        <f>IF(DAY(NisPaz1)=1,NisPaz1+9,NisPaz1+16)</f>
        <v>42472</v>
      </c>
      <c r="E6" s="10">
        <f>IF(DAY(NisPaz1)=1,NisPaz1+10,NisPaz1+17)</f>
        <v>42473</v>
      </c>
      <c r="F6" s="10">
        <f>IF(DAY(NisPaz1)=1,NisPaz1+11,NisPaz1+18)</f>
        <v>42474</v>
      </c>
      <c r="G6" s="10">
        <f>IF(DAY(NisPaz1)=1,NisPaz1+12,NisPaz1+19)</f>
        <v>42475</v>
      </c>
      <c r="H6" s="10">
        <f>IF(DAY(NisPaz1)=1,NisPaz1+13,NisPaz1+20)</f>
        <v>42476</v>
      </c>
      <c r="I6" s="10">
        <f>IF(DAY(NisPaz1)=1,NisPaz1+14,NisPaz1+21)</f>
        <v>42477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IF(DAY(NisPaz1)=1,NisPaz1+15,NisPaz1+22)</f>
        <v>42478</v>
      </c>
      <c r="D7" s="10">
        <f>IF(DAY(NisPaz1)=1,NisPaz1+16,NisPaz1+23)</f>
        <v>42479</v>
      </c>
      <c r="E7" s="10">
        <f>IF(DAY(NisPaz1)=1,NisPaz1+17,NisPaz1+24)</f>
        <v>42480</v>
      </c>
      <c r="F7" s="10">
        <f>IF(DAY(NisPaz1)=1,NisPaz1+18,NisPaz1+25)</f>
        <v>42481</v>
      </c>
      <c r="G7" s="10">
        <f>IF(DAY(NisPaz1)=1,NisPaz1+19,NisPaz1+26)</f>
        <v>42482</v>
      </c>
      <c r="H7" s="10">
        <f>IF(DAY(NisPaz1)=1,NisPaz1+20,NisPaz1+27)</f>
        <v>42483</v>
      </c>
      <c r="I7" s="10">
        <f>IF(DAY(NisPaz1)=1,NisPaz1+21,NisPaz1+28)</f>
        <v>42484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IF(DAY(NisPaz1)=1,NisPaz1+22,NisPaz1+29)</f>
        <v>42485</v>
      </c>
      <c r="D8" s="10">
        <f>IF(DAY(NisPaz1)=1,NisPaz1+23,NisPaz1+30)</f>
        <v>42486</v>
      </c>
      <c r="E8" s="10">
        <f>IF(DAY(NisPaz1)=1,NisPaz1+24,NisPaz1+31)</f>
        <v>42487</v>
      </c>
      <c r="F8" s="10">
        <f>IF(DAY(NisPaz1)=1,NisPaz1+25,NisPaz1+32)</f>
        <v>42488</v>
      </c>
      <c r="G8" s="10">
        <f>IF(DAY(NisPaz1)=1,NisPaz1+26,NisPaz1+33)</f>
        <v>42489</v>
      </c>
      <c r="H8" s="10">
        <f>IF(DAY(NisPaz1)=1,NisPaz1+27,NisPaz1+34)</f>
        <v>42490</v>
      </c>
      <c r="I8" s="10">
        <f>IF(DAY(NisPaz1)=1,NisPaz1+28,NisPaz1+35)</f>
        <v>42491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IF(DAY(NisPaz1)=1,NisPaz1+29,NisPaz1+36)</f>
        <v>42492</v>
      </c>
      <c r="D9" s="10">
        <f>IF(DAY(NisPaz1)=1,NisPaz1+30,NisPaz1+37)</f>
        <v>42493</v>
      </c>
      <c r="E9" s="10">
        <f>IF(DAY(NisPaz1)=1,NisPaz1+31,NisPaz1+38)</f>
        <v>42494</v>
      </c>
      <c r="F9" s="10">
        <f>IF(DAY(NisPaz1)=1,NisPaz1+32,NisPaz1+39)</f>
        <v>42495</v>
      </c>
      <c r="G9" s="10">
        <f>IF(DAY(NisPaz1)=1,NisPaz1+33,NisPaz1+40)</f>
        <v>42496</v>
      </c>
      <c r="H9" s="10">
        <f>IF(DAY(NisPaz1)=1,NisPaz1+34,NisPaz1+41)</f>
        <v>42497</v>
      </c>
      <c r="I9" s="10">
        <f>IF(DAY(NisPaz1)=1,NisPaz1+35,NisPaz1+42)</f>
        <v>42498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38</v>
      </c>
      <c r="C13" s="67" t="s">
        <v>7</v>
      </c>
      <c r="D13" s="69"/>
      <c r="E13" s="67" t="s">
        <v>11</v>
      </c>
      <c r="F13" s="69"/>
      <c r="G13" s="67" t="s">
        <v>12</v>
      </c>
      <c r="H13" s="69"/>
      <c r="I13" s="67" t="s">
        <v>13</v>
      </c>
      <c r="J13" s="68"/>
      <c r="K13" s="11"/>
      <c r="L13" s="17"/>
      <c r="M13" s="36"/>
      <c r="N13" s="37"/>
    </row>
    <row r="14" spans="1:14" ht="18" customHeight="1" x14ac:dyDescent="0.2">
      <c r="B14" s="8" t="s">
        <v>39</v>
      </c>
      <c r="C14" s="44"/>
      <c r="D14" s="45"/>
      <c r="E14" s="44" t="s">
        <v>39</v>
      </c>
      <c r="F14" s="45"/>
      <c r="G14" s="44"/>
      <c r="H14" s="45"/>
      <c r="I14" s="44" t="s">
        <v>39</v>
      </c>
      <c r="J14" s="59"/>
      <c r="K14" s="11"/>
      <c r="L14" s="17"/>
      <c r="M14" s="36"/>
      <c r="N14" s="37"/>
    </row>
    <row r="15" spans="1:14" ht="18" customHeight="1" x14ac:dyDescent="0.2">
      <c r="B15" s="6" t="s">
        <v>2</v>
      </c>
      <c r="C15" s="46"/>
      <c r="D15" s="47"/>
      <c r="E15" s="46" t="s">
        <v>2</v>
      </c>
      <c r="F15" s="47"/>
      <c r="G15" s="46"/>
      <c r="H15" s="47"/>
      <c r="I15" s="57" t="s">
        <v>2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40</v>
      </c>
      <c r="D16" s="45"/>
      <c r="E16" s="44"/>
      <c r="F16" s="45"/>
      <c r="G16" s="44" t="s">
        <v>40</v>
      </c>
      <c r="H16" s="45"/>
      <c r="I16" s="53"/>
      <c r="J16" s="54"/>
      <c r="K16" s="65" t="s">
        <v>11</v>
      </c>
      <c r="L16" s="16"/>
      <c r="M16" s="42"/>
      <c r="N16" s="43"/>
    </row>
    <row r="17" spans="2:14" ht="18" customHeight="1" x14ac:dyDescent="0.2">
      <c r="B17" s="6"/>
      <c r="C17" s="46" t="s">
        <v>8</v>
      </c>
      <c r="D17" s="47"/>
      <c r="E17" s="46"/>
      <c r="F17" s="47"/>
      <c r="G17" s="46" t="s">
        <v>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3</v>
      </c>
      <c r="C18" s="62"/>
      <c r="D18" s="63"/>
      <c r="E18" s="62" t="s">
        <v>3</v>
      </c>
      <c r="F18" s="63"/>
      <c r="G18" s="62"/>
      <c r="H18" s="63"/>
      <c r="I18" s="62" t="s">
        <v>3</v>
      </c>
      <c r="J18" s="64"/>
      <c r="K18" s="66"/>
      <c r="L18" s="17"/>
      <c r="M18" s="36"/>
      <c r="N18" s="37"/>
    </row>
    <row r="19" spans="2:14" ht="18" customHeight="1" x14ac:dyDescent="0.2">
      <c r="B19" s="6" t="s">
        <v>4</v>
      </c>
      <c r="C19" s="46"/>
      <c r="D19" s="47"/>
      <c r="E19" s="46" t="s">
        <v>4</v>
      </c>
      <c r="F19" s="47"/>
      <c r="G19" s="46"/>
      <c r="H19" s="47"/>
      <c r="I19" s="57" t="s">
        <v>4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5</v>
      </c>
      <c r="C26" s="44"/>
      <c r="D26" s="45"/>
      <c r="E26" s="44" t="s">
        <v>5</v>
      </c>
      <c r="F26" s="45"/>
      <c r="G26" s="44"/>
      <c r="H26" s="45"/>
      <c r="I26" s="44" t="s">
        <v>5</v>
      </c>
      <c r="J26" s="59"/>
      <c r="K26" s="11"/>
      <c r="L26" s="17"/>
      <c r="M26" s="36"/>
      <c r="N26" s="37"/>
    </row>
    <row r="27" spans="2:14" ht="18" customHeight="1" x14ac:dyDescent="0.2">
      <c r="B27" s="6" t="s">
        <v>6</v>
      </c>
      <c r="C27" s="46"/>
      <c r="D27" s="47"/>
      <c r="E27" s="46" t="s">
        <v>6</v>
      </c>
      <c r="F27" s="47"/>
      <c r="G27" s="46"/>
      <c r="H27" s="47"/>
      <c r="I27" s="57" t="s">
        <v>6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9</v>
      </c>
      <c r="D30" s="45"/>
      <c r="E30" s="44"/>
      <c r="F30" s="45"/>
      <c r="G30" s="44" t="s">
        <v>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10</v>
      </c>
      <c r="D31" s="47"/>
      <c r="E31" s="46"/>
      <c r="F31" s="47"/>
      <c r="G31" s="46" t="s">
        <v>10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VLOOKUP(DAY(C4),ÖdevGünleri,1,FALSE)=DAY(C4)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14</v>
      </c>
      <c r="L2" s="71">
        <v>2013</v>
      </c>
      <c r="M2" s="71"/>
      <c r="N2" s="79">
        <f>TakvimYılı</f>
        <v>2016</v>
      </c>
    </row>
    <row r="3" spans="1:14" ht="21" customHeight="1" x14ac:dyDescent="0.2">
      <c r="A3" s="4"/>
      <c r="B3" s="31" t="s">
        <v>26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IF(DAY(MayPaz1)=1,MayPaz1-6,MayPaz1+1)</f>
        <v>42485</v>
      </c>
      <c r="D4" s="10">
        <f>IF(DAY(MayPaz1)=1,MayPaz1-5,MayPaz1+2)</f>
        <v>42486</v>
      </c>
      <c r="E4" s="10">
        <f>IF(DAY(MayPaz1)=1,MayPaz1-4,MayPaz1+3)</f>
        <v>42487</v>
      </c>
      <c r="F4" s="10">
        <f>IF(DAY(MayPaz1)=1,MayPaz1-3,MayPaz1+4)</f>
        <v>42488</v>
      </c>
      <c r="G4" s="10">
        <f>IF(DAY(MayPaz1)=1,MayPaz1-2,MayPaz1+5)</f>
        <v>42489</v>
      </c>
      <c r="H4" s="10">
        <f>IF(DAY(MayPaz1)=1,MayPaz1-1,MayPaz1+6)</f>
        <v>42490</v>
      </c>
      <c r="I4" s="10">
        <f>IF(DAY(MayPaz1)=1,MayPaz1,MayPaz1+7)</f>
        <v>42491</v>
      </c>
      <c r="J4" s="5"/>
      <c r="K4" s="74" t="s">
        <v>38</v>
      </c>
      <c r="L4" s="16"/>
      <c r="M4" s="75"/>
      <c r="N4" s="76"/>
    </row>
    <row r="5" spans="1:14" ht="18" customHeight="1" x14ac:dyDescent="0.2">
      <c r="A5" s="4"/>
      <c r="B5" s="28"/>
      <c r="C5" s="10">
        <f>IF(DAY(MayPaz1)=1,MayPaz1+1,MayPaz1+8)</f>
        <v>42492</v>
      </c>
      <c r="D5" s="10">
        <f>IF(DAY(MayPaz1)=1,MayPaz1+2,MayPaz1+9)</f>
        <v>42493</v>
      </c>
      <c r="E5" s="10">
        <f>IF(DAY(MayPaz1)=1,MayPaz1+3,MayPaz1+10)</f>
        <v>42494</v>
      </c>
      <c r="F5" s="10">
        <f>IF(DAY(MayPaz1)=1,MayPaz1+4,MayPaz1+11)</f>
        <v>42495</v>
      </c>
      <c r="G5" s="10">
        <f>IF(DAY(MayPaz1)=1,MayPaz1+5,MayPaz1+12)</f>
        <v>42496</v>
      </c>
      <c r="H5" s="10">
        <f>IF(DAY(MayPaz1)=1,MayPaz1+6,MayPaz1+13)</f>
        <v>42497</v>
      </c>
      <c r="I5" s="10">
        <f>IF(DAY(MayPaz1)=1,MayPaz1+7,MayPaz1+14)</f>
        <v>42498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IF(DAY(MayPaz1)=1,MayPaz1+8,MayPaz1+15)</f>
        <v>42499</v>
      </c>
      <c r="D6" s="10">
        <f>IF(DAY(MayPaz1)=1,MayPaz1+9,MayPaz1+16)</f>
        <v>42500</v>
      </c>
      <c r="E6" s="10">
        <f>IF(DAY(MayPaz1)=1,MayPaz1+10,MayPaz1+17)</f>
        <v>42501</v>
      </c>
      <c r="F6" s="10">
        <f>IF(DAY(MayPaz1)=1,MayPaz1+11,MayPaz1+18)</f>
        <v>42502</v>
      </c>
      <c r="G6" s="10">
        <f>IF(DAY(MayPaz1)=1,MayPaz1+12,MayPaz1+19)</f>
        <v>42503</v>
      </c>
      <c r="H6" s="10">
        <f>IF(DAY(MayPaz1)=1,MayPaz1+13,MayPaz1+20)</f>
        <v>42504</v>
      </c>
      <c r="I6" s="10">
        <f>IF(DAY(MayPaz1)=1,MayPaz1+14,MayPaz1+21)</f>
        <v>42505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IF(DAY(MayPaz1)=1,MayPaz1+15,MayPaz1+22)</f>
        <v>42506</v>
      </c>
      <c r="D7" s="10">
        <f>IF(DAY(MayPaz1)=1,MayPaz1+16,MayPaz1+23)</f>
        <v>42507</v>
      </c>
      <c r="E7" s="10">
        <f>IF(DAY(MayPaz1)=1,MayPaz1+17,MayPaz1+24)</f>
        <v>42508</v>
      </c>
      <c r="F7" s="10">
        <f>IF(DAY(MayPaz1)=1,MayPaz1+18,MayPaz1+25)</f>
        <v>42509</v>
      </c>
      <c r="G7" s="10">
        <f>IF(DAY(MayPaz1)=1,MayPaz1+19,MayPaz1+26)</f>
        <v>42510</v>
      </c>
      <c r="H7" s="10">
        <f>IF(DAY(MayPaz1)=1,MayPaz1+20,MayPaz1+27)</f>
        <v>42511</v>
      </c>
      <c r="I7" s="10">
        <f>IF(DAY(MayPaz1)=1,MayPaz1+21,MayPaz1+28)</f>
        <v>42512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IF(DAY(MayPaz1)=1,MayPaz1+22,MayPaz1+29)</f>
        <v>42513</v>
      </c>
      <c r="D8" s="10">
        <f>IF(DAY(MayPaz1)=1,MayPaz1+23,MayPaz1+30)</f>
        <v>42514</v>
      </c>
      <c r="E8" s="10">
        <f>IF(DAY(MayPaz1)=1,MayPaz1+24,MayPaz1+31)</f>
        <v>42515</v>
      </c>
      <c r="F8" s="10">
        <f>IF(DAY(MayPaz1)=1,MayPaz1+25,MayPaz1+32)</f>
        <v>42516</v>
      </c>
      <c r="G8" s="10">
        <f>IF(DAY(MayPaz1)=1,MayPaz1+26,MayPaz1+33)</f>
        <v>42517</v>
      </c>
      <c r="H8" s="10">
        <f>IF(DAY(MayPaz1)=1,MayPaz1+27,MayPaz1+34)</f>
        <v>42518</v>
      </c>
      <c r="I8" s="10">
        <f>IF(DAY(MayPaz1)=1,MayPaz1+28,MayPaz1+35)</f>
        <v>42519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IF(DAY(MayPaz1)=1,MayPaz1+29,MayPaz1+36)</f>
        <v>42520</v>
      </c>
      <c r="D9" s="10">
        <f>IF(DAY(MayPaz1)=1,MayPaz1+30,MayPaz1+37)</f>
        <v>42521</v>
      </c>
      <c r="E9" s="10">
        <f>IF(DAY(MayPaz1)=1,MayPaz1+31,MayPaz1+38)</f>
        <v>42522</v>
      </c>
      <c r="F9" s="10">
        <f>IF(DAY(MayPaz1)=1,MayPaz1+32,MayPaz1+39)</f>
        <v>42523</v>
      </c>
      <c r="G9" s="10">
        <f>IF(DAY(MayPaz1)=1,MayPaz1+33,MayPaz1+40)</f>
        <v>42524</v>
      </c>
      <c r="H9" s="10">
        <f>IF(DAY(MayPaz1)=1,MayPaz1+34,MayPaz1+41)</f>
        <v>42525</v>
      </c>
      <c r="I9" s="10">
        <f>IF(DAY(MayPaz1)=1,MayPaz1+35,MayPaz1+42)</f>
        <v>42526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38</v>
      </c>
      <c r="C13" s="67" t="s">
        <v>7</v>
      </c>
      <c r="D13" s="69"/>
      <c r="E13" s="67" t="s">
        <v>11</v>
      </c>
      <c r="F13" s="69"/>
      <c r="G13" s="67" t="s">
        <v>12</v>
      </c>
      <c r="H13" s="69"/>
      <c r="I13" s="67" t="s">
        <v>13</v>
      </c>
      <c r="J13" s="68"/>
      <c r="K13" s="11"/>
      <c r="L13" s="17"/>
      <c r="M13" s="36"/>
      <c r="N13" s="37"/>
    </row>
    <row r="14" spans="1:14" ht="18" customHeight="1" x14ac:dyDescent="0.2">
      <c r="B14" s="8" t="s">
        <v>39</v>
      </c>
      <c r="C14" s="44"/>
      <c r="D14" s="45"/>
      <c r="E14" s="44" t="s">
        <v>39</v>
      </c>
      <c r="F14" s="45"/>
      <c r="G14" s="44"/>
      <c r="H14" s="45"/>
      <c r="I14" s="44" t="s">
        <v>39</v>
      </c>
      <c r="J14" s="59"/>
      <c r="K14" s="11"/>
      <c r="L14" s="17"/>
      <c r="M14" s="36"/>
      <c r="N14" s="37"/>
    </row>
    <row r="15" spans="1:14" ht="18" customHeight="1" x14ac:dyDescent="0.2">
      <c r="B15" s="6" t="s">
        <v>2</v>
      </c>
      <c r="C15" s="46"/>
      <c r="D15" s="47"/>
      <c r="E15" s="46" t="s">
        <v>2</v>
      </c>
      <c r="F15" s="47"/>
      <c r="G15" s="46"/>
      <c r="H15" s="47"/>
      <c r="I15" s="57" t="s">
        <v>2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40</v>
      </c>
      <c r="D16" s="45"/>
      <c r="E16" s="44"/>
      <c r="F16" s="45"/>
      <c r="G16" s="44" t="s">
        <v>40</v>
      </c>
      <c r="H16" s="45"/>
      <c r="I16" s="53"/>
      <c r="J16" s="54"/>
      <c r="K16" s="65" t="s">
        <v>11</v>
      </c>
      <c r="L16" s="16"/>
      <c r="M16" s="42"/>
      <c r="N16" s="43"/>
    </row>
    <row r="17" spans="2:14" ht="18" customHeight="1" x14ac:dyDescent="0.2">
      <c r="B17" s="6"/>
      <c r="C17" s="46" t="s">
        <v>8</v>
      </c>
      <c r="D17" s="47"/>
      <c r="E17" s="46"/>
      <c r="F17" s="47"/>
      <c r="G17" s="46" t="s">
        <v>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3</v>
      </c>
      <c r="C18" s="62"/>
      <c r="D18" s="63"/>
      <c r="E18" s="62" t="s">
        <v>3</v>
      </c>
      <c r="F18" s="63"/>
      <c r="G18" s="62"/>
      <c r="H18" s="63"/>
      <c r="I18" s="62" t="s">
        <v>3</v>
      </c>
      <c r="J18" s="64"/>
      <c r="K18" s="66"/>
      <c r="L18" s="17"/>
      <c r="M18" s="36"/>
      <c r="N18" s="37"/>
    </row>
    <row r="19" spans="2:14" ht="18" customHeight="1" x14ac:dyDescent="0.2">
      <c r="B19" s="6" t="s">
        <v>4</v>
      </c>
      <c r="C19" s="46"/>
      <c r="D19" s="47"/>
      <c r="E19" s="46" t="s">
        <v>4</v>
      </c>
      <c r="F19" s="47"/>
      <c r="G19" s="46"/>
      <c r="H19" s="47"/>
      <c r="I19" s="57" t="s">
        <v>4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5</v>
      </c>
      <c r="C26" s="44"/>
      <c r="D26" s="45"/>
      <c r="E26" s="44" t="s">
        <v>5</v>
      </c>
      <c r="F26" s="45"/>
      <c r="G26" s="44"/>
      <c r="H26" s="45"/>
      <c r="I26" s="44" t="s">
        <v>5</v>
      </c>
      <c r="J26" s="59"/>
      <c r="K26" s="11"/>
      <c r="L26" s="17"/>
      <c r="M26" s="36"/>
      <c r="N26" s="37"/>
    </row>
    <row r="27" spans="2:14" ht="18" customHeight="1" x14ac:dyDescent="0.2">
      <c r="B27" s="6" t="s">
        <v>6</v>
      </c>
      <c r="C27" s="46"/>
      <c r="D27" s="47"/>
      <c r="E27" s="46" t="s">
        <v>6</v>
      </c>
      <c r="F27" s="47"/>
      <c r="G27" s="46"/>
      <c r="H27" s="47"/>
      <c r="I27" s="57" t="s">
        <v>6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9</v>
      </c>
      <c r="D30" s="45"/>
      <c r="E30" s="44"/>
      <c r="F30" s="45"/>
      <c r="G30" s="44" t="s">
        <v>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10</v>
      </c>
      <c r="D31" s="47"/>
      <c r="E31" s="46"/>
      <c r="F31" s="47"/>
      <c r="G31" s="46" t="s">
        <v>10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VLOOKUP(DAY(C4),ÖdevGünleri,1,FALSE)=DAY(C4)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14</v>
      </c>
      <c r="L2" s="71">
        <v>2013</v>
      </c>
      <c r="M2" s="71"/>
      <c r="N2" s="79">
        <f>TakvimYılı</f>
        <v>2016</v>
      </c>
    </row>
    <row r="3" spans="1:14" ht="21" customHeight="1" x14ac:dyDescent="0.2">
      <c r="A3" s="4"/>
      <c r="B3" s="31" t="s">
        <v>27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IF(DAY(HazPaz1)=1,HazPaz1-6,HazPaz1+1)</f>
        <v>42520</v>
      </c>
      <c r="D4" s="10">
        <f>IF(DAY(HazPaz1)=1,HazPaz1-5,HazPaz1+2)</f>
        <v>42521</v>
      </c>
      <c r="E4" s="10">
        <f>IF(DAY(HazPaz1)=1,HazPaz1-4,HazPaz1+3)</f>
        <v>42522</v>
      </c>
      <c r="F4" s="10">
        <f>IF(DAY(HazPaz1)=1,HazPaz1-3,HazPaz1+4)</f>
        <v>42523</v>
      </c>
      <c r="G4" s="10">
        <f>IF(DAY(HazPaz1)=1,HazPaz1-2,HazPaz1+5)</f>
        <v>42524</v>
      </c>
      <c r="H4" s="10">
        <f>IF(DAY(HazPaz1)=1,HazPaz1-1,HazPaz1+6)</f>
        <v>42525</v>
      </c>
      <c r="I4" s="10">
        <f>IF(DAY(HazPaz1)=1,HazPaz1,HazPaz1+7)</f>
        <v>42526</v>
      </c>
      <c r="J4" s="5"/>
      <c r="K4" s="74" t="s">
        <v>38</v>
      </c>
      <c r="L4" s="16"/>
      <c r="M4" s="75"/>
      <c r="N4" s="76"/>
    </row>
    <row r="5" spans="1:14" ht="18" customHeight="1" x14ac:dyDescent="0.2">
      <c r="A5" s="4"/>
      <c r="B5" s="28"/>
      <c r="C5" s="10">
        <f>IF(DAY(HazPaz1)=1,HazPaz1+1,HazPaz1+8)</f>
        <v>42527</v>
      </c>
      <c r="D5" s="10">
        <f>IF(DAY(HazPaz1)=1,HazPaz1+2,HazPaz1+9)</f>
        <v>42528</v>
      </c>
      <c r="E5" s="10">
        <f>IF(DAY(HazPaz1)=1,HazPaz1+3,HazPaz1+10)</f>
        <v>42529</v>
      </c>
      <c r="F5" s="10">
        <f>IF(DAY(HazPaz1)=1,HazPaz1+4,HazPaz1+11)</f>
        <v>42530</v>
      </c>
      <c r="G5" s="10">
        <f>IF(DAY(HazPaz1)=1,HazPaz1+5,HazPaz1+12)</f>
        <v>42531</v>
      </c>
      <c r="H5" s="10">
        <f>IF(DAY(HazPaz1)=1,HazPaz1+6,HazPaz1+13)</f>
        <v>42532</v>
      </c>
      <c r="I5" s="10">
        <f>IF(DAY(HazPaz1)=1,HazPaz1+7,HazPaz1+14)</f>
        <v>42533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IF(DAY(HazPaz1)=1,HazPaz1+8,HazPaz1+15)</f>
        <v>42534</v>
      </c>
      <c r="D6" s="10">
        <f>IF(DAY(HazPaz1)=1,HazPaz1+9,HazPaz1+16)</f>
        <v>42535</v>
      </c>
      <c r="E6" s="10">
        <f>IF(DAY(HazPaz1)=1,HazPaz1+10,HazPaz1+17)</f>
        <v>42536</v>
      </c>
      <c r="F6" s="10">
        <f>IF(DAY(HazPaz1)=1,HazPaz1+11,HazPaz1+18)</f>
        <v>42537</v>
      </c>
      <c r="G6" s="10">
        <f>IF(DAY(HazPaz1)=1,HazPaz1+12,HazPaz1+19)</f>
        <v>42538</v>
      </c>
      <c r="H6" s="10">
        <f>IF(DAY(HazPaz1)=1,HazPaz1+13,HazPaz1+20)</f>
        <v>42539</v>
      </c>
      <c r="I6" s="10">
        <f>IF(DAY(HazPaz1)=1,HazPaz1+14,HazPaz1+21)</f>
        <v>42540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IF(DAY(HazPaz1)=1,HazPaz1+15,HazPaz1+22)</f>
        <v>42541</v>
      </c>
      <c r="D7" s="10">
        <f>IF(DAY(HazPaz1)=1,HazPaz1+16,HazPaz1+23)</f>
        <v>42542</v>
      </c>
      <c r="E7" s="10">
        <f>IF(DAY(HazPaz1)=1,HazPaz1+17,HazPaz1+24)</f>
        <v>42543</v>
      </c>
      <c r="F7" s="10">
        <f>IF(DAY(HazPaz1)=1,HazPaz1+18,HazPaz1+25)</f>
        <v>42544</v>
      </c>
      <c r="G7" s="10">
        <f>IF(DAY(HazPaz1)=1,HazPaz1+19,HazPaz1+26)</f>
        <v>42545</v>
      </c>
      <c r="H7" s="10">
        <f>IF(DAY(HazPaz1)=1,HazPaz1+20,HazPaz1+27)</f>
        <v>42546</v>
      </c>
      <c r="I7" s="10">
        <f>IF(DAY(HazPaz1)=1,HazPaz1+21,HazPaz1+28)</f>
        <v>42547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IF(DAY(HazPaz1)=1,HazPaz1+22,HazPaz1+29)</f>
        <v>42548</v>
      </c>
      <c r="D8" s="10">
        <f>IF(DAY(HazPaz1)=1,HazPaz1+23,HazPaz1+30)</f>
        <v>42549</v>
      </c>
      <c r="E8" s="10">
        <f>IF(DAY(HazPaz1)=1,HazPaz1+24,HazPaz1+31)</f>
        <v>42550</v>
      </c>
      <c r="F8" s="10">
        <f>IF(DAY(HazPaz1)=1,HazPaz1+25,HazPaz1+32)</f>
        <v>42551</v>
      </c>
      <c r="G8" s="10">
        <f>IF(DAY(HazPaz1)=1,HazPaz1+26,HazPaz1+33)</f>
        <v>42552</v>
      </c>
      <c r="H8" s="10">
        <f>IF(DAY(HazPaz1)=1,HazPaz1+27,HazPaz1+34)</f>
        <v>42553</v>
      </c>
      <c r="I8" s="10">
        <f>IF(DAY(HazPaz1)=1,HazPaz1+28,HazPaz1+35)</f>
        <v>42554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IF(DAY(HazPaz1)=1,HazPaz1+29,HazPaz1+36)</f>
        <v>42555</v>
      </c>
      <c r="D9" s="10">
        <f>IF(DAY(HazPaz1)=1,HazPaz1+30,HazPaz1+37)</f>
        <v>42556</v>
      </c>
      <c r="E9" s="10">
        <f>IF(DAY(HazPaz1)=1,HazPaz1+31,HazPaz1+38)</f>
        <v>42557</v>
      </c>
      <c r="F9" s="10">
        <f>IF(DAY(HazPaz1)=1,HazPaz1+32,HazPaz1+39)</f>
        <v>42558</v>
      </c>
      <c r="G9" s="10">
        <f>IF(DAY(HazPaz1)=1,HazPaz1+33,HazPaz1+40)</f>
        <v>42559</v>
      </c>
      <c r="H9" s="10">
        <f>IF(DAY(HazPaz1)=1,HazPaz1+34,HazPaz1+41)</f>
        <v>42560</v>
      </c>
      <c r="I9" s="10">
        <f>IF(DAY(HazPaz1)=1,HazPaz1+35,HazPaz1+42)</f>
        <v>42561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38</v>
      </c>
      <c r="C13" s="67" t="s">
        <v>7</v>
      </c>
      <c r="D13" s="69"/>
      <c r="E13" s="67" t="s">
        <v>11</v>
      </c>
      <c r="F13" s="69"/>
      <c r="G13" s="67" t="s">
        <v>12</v>
      </c>
      <c r="H13" s="69"/>
      <c r="I13" s="67" t="s">
        <v>13</v>
      </c>
      <c r="J13" s="68"/>
      <c r="K13" s="11"/>
      <c r="L13" s="17"/>
      <c r="M13" s="36"/>
      <c r="N13" s="37"/>
    </row>
    <row r="14" spans="1:14" ht="18" customHeight="1" x14ac:dyDescent="0.2">
      <c r="B14" s="8" t="s">
        <v>39</v>
      </c>
      <c r="C14" s="44"/>
      <c r="D14" s="45"/>
      <c r="E14" s="44" t="s">
        <v>39</v>
      </c>
      <c r="F14" s="45"/>
      <c r="G14" s="44"/>
      <c r="H14" s="45"/>
      <c r="I14" s="44" t="s">
        <v>39</v>
      </c>
      <c r="J14" s="59"/>
      <c r="K14" s="11"/>
      <c r="L14" s="17"/>
      <c r="M14" s="36"/>
      <c r="N14" s="37"/>
    </row>
    <row r="15" spans="1:14" ht="18" customHeight="1" x14ac:dyDescent="0.2">
      <c r="B15" s="6" t="s">
        <v>2</v>
      </c>
      <c r="C15" s="46"/>
      <c r="D15" s="47"/>
      <c r="E15" s="46" t="s">
        <v>2</v>
      </c>
      <c r="F15" s="47"/>
      <c r="G15" s="46"/>
      <c r="H15" s="47"/>
      <c r="I15" s="57" t="s">
        <v>2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40</v>
      </c>
      <c r="D16" s="45"/>
      <c r="E16" s="44"/>
      <c r="F16" s="45"/>
      <c r="G16" s="44" t="s">
        <v>40</v>
      </c>
      <c r="H16" s="45"/>
      <c r="I16" s="53"/>
      <c r="J16" s="54"/>
      <c r="K16" s="65" t="s">
        <v>11</v>
      </c>
      <c r="L16" s="16"/>
      <c r="M16" s="42"/>
      <c r="N16" s="43"/>
    </row>
    <row r="17" spans="2:14" ht="18" customHeight="1" x14ac:dyDescent="0.2">
      <c r="B17" s="6"/>
      <c r="C17" s="46" t="s">
        <v>8</v>
      </c>
      <c r="D17" s="47"/>
      <c r="E17" s="46"/>
      <c r="F17" s="47"/>
      <c r="G17" s="46" t="s">
        <v>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3</v>
      </c>
      <c r="C18" s="62"/>
      <c r="D18" s="63"/>
      <c r="E18" s="62" t="s">
        <v>3</v>
      </c>
      <c r="F18" s="63"/>
      <c r="G18" s="62"/>
      <c r="H18" s="63"/>
      <c r="I18" s="62" t="s">
        <v>3</v>
      </c>
      <c r="J18" s="64"/>
      <c r="K18" s="66"/>
      <c r="L18" s="17"/>
      <c r="M18" s="36"/>
      <c r="N18" s="37"/>
    </row>
    <row r="19" spans="2:14" ht="18" customHeight="1" x14ac:dyDescent="0.2">
      <c r="B19" s="6" t="s">
        <v>4</v>
      </c>
      <c r="C19" s="46"/>
      <c r="D19" s="47"/>
      <c r="E19" s="46" t="s">
        <v>4</v>
      </c>
      <c r="F19" s="47"/>
      <c r="G19" s="46"/>
      <c r="H19" s="47"/>
      <c r="I19" s="57" t="s">
        <v>4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5</v>
      </c>
      <c r="C26" s="44"/>
      <c r="D26" s="45"/>
      <c r="E26" s="44" t="s">
        <v>5</v>
      </c>
      <c r="F26" s="45"/>
      <c r="G26" s="44"/>
      <c r="H26" s="45"/>
      <c r="I26" s="44" t="s">
        <v>5</v>
      </c>
      <c r="J26" s="59"/>
      <c r="K26" s="11"/>
      <c r="L26" s="17"/>
      <c r="M26" s="36"/>
      <c r="N26" s="37"/>
    </row>
    <row r="27" spans="2:14" ht="18" customHeight="1" x14ac:dyDescent="0.2">
      <c r="B27" s="6" t="s">
        <v>6</v>
      </c>
      <c r="C27" s="46"/>
      <c r="D27" s="47"/>
      <c r="E27" s="46" t="s">
        <v>6</v>
      </c>
      <c r="F27" s="47"/>
      <c r="G27" s="46"/>
      <c r="H27" s="47"/>
      <c r="I27" s="57" t="s">
        <v>6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9</v>
      </c>
      <c r="D30" s="45"/>
      <c r="E30" s="44"/>
      <c r="F30" s="45"/>
      <c r="G30" s="44" t="s">
        <v>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10</v>
      </c>
      <c r="D31" s="47"/>
      <c r="E31" s="46"/>
      <c r="F31" s="47"/>
      <c r="G31" s="46" t="s">
        <v>10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VLOOKUP(DAY(C4),ÖdevGünleri,1,FALSE)=DAY(C4)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14</v>
      </c>
      <c r="L2" s="71">
        <v>2013</v>
      </c>
      <c r="M2" s="71"/>
      <c r="N2" s="79">
        <f>TakvimYılı</f>
        <v>2016</v>
      </c>
    </row>
    <row r="3" spans="1:14" ht="21" customHeight="1" x14ac:dyDescent="0.2">
      <c r="A3" s="4"/>
      <c r="B3" s="31" t="s">
        <v>28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IF(DAY(TemPaz1)=1,TemPaz1-6,TemPaz1+1)</f>
        <v>42548</v>
      </c>
      <c r="D4" s="10">
        <f>IF(DAY(TemPaz1)=1,TemPaz1-5,TemPaz1+2)</f>
        <v>42549</v>
      </c>
      <c r="E4" s="10">
        <f>IF(DAY(TemPaz1)=1,TemPaz1-4,TemPaz1+3)</f>
        <v>42550</v>
      </c>
      <c r="F4" s="10">
        <f>IF(DAY(TemPaz1)=1,TemPaz1-3,TemPaz1+4)</f>
        <v>42551</v>
      </c>
      <c r="G4" s="10">
        <f>IF(DAY(TemPaz1)=1,TemPaz1-2,TemPaz1+5)</f>
        <v>42552</v>
      </c>
      <c r="H4" s="10">
        <f>IF(DAY(TemPaz1)=1,TemPaz1-1,TemPaz1+6)</f>
        <v>42553</v>
      </c>
      <c r="I4" s="10">
        <f>IF(DAY(TemPaz1)=1,TemPaz1,TemPaz1+7)</f>
        <v>42554</v>
      </c>
      <c r="J4" s="5"/>
      <c r="K4" s="74" t="s">
        <v>38</v>
      </c>
      <c r="L4" s="16"/>
      <c r="M4" s="75"/>
      <c r="N4" s="76"/>
    </row>
    <row r="5" spans="1:14" ht="18" customHeight="1" x14ac:dyDescent="0.2">
      <c r="A5" s="4"/>
      <c r="B5" s="28"/>
      <c r="C5" s="10">
        <f>IF(DAY(TemPaz1)=1,TemPaz1+1,TemPaz1+8)</f>
        <v>42555</v>
      </c>
      <c r="D5" s="10">
        <f>IF(DAY(TemPaz1)=1,TemPaz1+2,TemPaz1+9)</f>
        <v>42556</v>
      </c>
      <c r="E5" s="10">
        <f>IF(DAY(TemPaz1)=1,TemPaz1+3,TemPaz1+10)</f>
        <v>42557</v>
      </c>
      <c r="F5" s="10">
        <f>IF(DAY(TemPaz1)=1,TemPaz1+4,TemPaz1+11)</f>
        <v>42558</v>
      </c>
      <c r="G5" s="10">
        <f>IF(DAY(TemPaz1)=1,TemPaz1+5,TemPaz1+12)</f>
        <v>42559</v>
      </c>
      <c r="H5" s="10">
        <f>IF(DAY(TemPaz1)=1,TemPaz1+6,TemPaz1+13)</f>
        <v>42560</v>
      </c>
      <c r="I5" s="10">
        <f>IF(DAY(TemPaz1)=1,TemPaz1+7,TemPaz1+14)</f>
        <v>42561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IF(DAY(TemPaz1)=1,TemPaz1+8,TemPaz1+15)</f>
        <v>42562</v>
      </c>
      <c r="D6" s="10">
        <f>IF(DAY(TemPaz1)=1,TemPaz1+9,TemPaz1+16)</f>
        <v>42563</v>
      </c>
      <c r="E6" s="10">
        <f>IF(DAY(TemPaz1)=1,TemPaz1+10,TemPaz1+17)</f>
        <v>42564</v>
      </c>
      <c r="F6" s="10">
        <f>IF(DAY(TemPaz1)=1,TemPaz1+11,TemPaz1+18)</f>
        <v>42565</v>
      </c>
      <c r="G6" s="10">
        <f>IF(DAY(TemPaz1)=1,TemPaz1+12,TemPaz1+19)</f>
        <v>42566</v>
      </c>
      <c r="H6" s="10">
        <f>IF(DAY(TemPaz1)=1,TemPaz1+13,TemPaz1+20)</f>
        <v>42567</v>
      </c>
      <c r="I6" s="10">
        <f>IF(DAY(TemPaz1)=1,TemPaz1+14,TemPaz1+21)</f>
        <v>42568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IF(DAY(TemPaz1)=1,TemPaz1+15,TemPaz1+22)</f>
        <v>42569</v>
      </c>
      <c r="D7" s="10">
        <f>IF(DAY(TemPaz1)=1,TemPaz1+16,TemPaz1+23)</f>
        <v>42570</v>
      </c>
      <c r="E7" s="10">
        <f>IF(DAY(TemPaz1)=1,TemPaz1+17,TemPaz1+24)</f>
        <v>42571</v>
      </c>
      <c r="F7" s="10">
        <f>IF(DAY(TemPaz1)=1,TemPaz1+18,TemPaz1+25)</f>
        <v>42572</v>
      </c>
      <c r="G7" s="10">
        <f>IF(DAY(TemPaz1)=1,TemPaz1+19,TemPaz1+26)</f>
        <v>42573</v>
      </c>
      <c r="H7" s="10">
        <f>IF(DAY(TemPaz1)=1,TemPaz1+20,TemPaz1+27)</f>
        <v>42574</v>
      </c>
      <c r="I7" s="10">
        <f>IF(DAY(TemPaz1)=1,TemPaz1+21,TemPaz1+28)</f>
        <v>42575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IF(DAY(TemPaz1)=1,TemPaz1+22,TemPaz1+29)</f>
        <v>42576</v>
      </c>
      <c r="D8" s="10">
        <f>IF(DAY(TemPaz1)=1,TemPaz1+23,TemPaz1+30)</f>
        <v>42577</v>
      </c>
      <c r="E8" s="10">
        <f>IF(DAY(TemPaz1)=1,TemPaz1+24,TemPaz1+31)</f>
        <v>42578</v>
      </c>
      <c r="F8" s="10">
        <f>IF(DAY(TemPaz1)=1,TemPaz1+25,TemPaz1+32)</f>
        <v>42579</v>
      </c>
      <c r="G8" s="10">
        <f>IF(DAY(TemPaz1)=1,TemPaz1+26,TemPaz1+33)</f>
        <v>42580</v>
      </c>
      <c r="H8" s="10">
        <f>IF(DAY(TemPaz1)=1,TemPaz1+27,TemPaz1+34)</f>
        <v>42581</v>
      </c>
      <c r="I8" s="10">
        <f>IF(DAY(TemPaz1)=1,TemPaz1+28,TemPaz1+35)</f>
        <v>42582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IF(DAY(TemPaz1)=1,TemPaz1+29,TemPaz1+36)</f>
        <v>42583</v>
      </c>
      <c r="D9" s="10">
        <f>IF(DAY(TemPaz1)=1,TemPaz1+30,TemPaz1+37)</f>
        <v>42584</v>
      </c>
      <c r="E9" s="10">
        <f>IF(DAY(TemPaz1)=1,TemPaz1+31,TemPaz1+38)</f>
        <v>42585</v>
      </c>
      <c r="F9" s="10">
        <f>IF(DAY(TemPaz1)=1,TemPaz1+32,TemPaz1+39)</f>
        <v>42586</v>
      </c>
      <c r="G9" s="10">
        <f>IF(DAY(TemPaz1)=1,TemPaz1+33,TemPaz1+40)</f>
        <v>42587</v>
      </c>
      <c r="H9" s="10">
        <f>IF(DAY(TemPaz1)=1,TemPaz1+34,TemPaz1+41)</f>
        <v>42588</v>
      </c>
      <c r="I9" s="10">
        <f>IF(DAY(TemPaz1)=1,TemPaz1+35,TemPaz1+42)</f>
        <v>42589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38</v>
      </c>
      <c r="C13" s="67" t="s">
        <v>7</v>
      </c>
      <c r="D13" s="69"/>
      <c r="E13" s="67" t="s">
        <v>11</v>
      </c>
      <c r="F13" s="69"/>
      <c r="G13" s="67" t="s">
        <v>12</v>
      </c>
      <c r="H13" s="69"/>
      <c r="I13" s="67" t="s">
        <v>13</v>
      </c>
      <c r="J13" s="68"/>
      <c r="K13" s="11"/>
      <c r="L13" s="17"/>
      <c r="M13" s="36"/>
      <c r="N13" s="37"/>
    </row>
    <row r="14" spans="1:14" ht="18" customHeight="1" x14ac:dyDescent="0.2">
      <c r="B14" s="8" t="s">
        <v>39</v>
      </c>
      <c r="C14" s="44"/>
      <c r="D14" s="45"/>
      <c r="E14" s="44" t="s">
        <v>39</v>
      </c>
      <c r="F14" s="45"/>
      <c r="G14" s="44"/>
      <c r="H14" s="45"/>
      <c r="I14" s="44" t="s">
        <v>39</v>
      </c>
      <c r="J14" s="59"/>
      <c r="K14" s="11"/>
      <c r="L14" s="17"/>
      <c r="M14" s="36"/>
      <c r="N14" s="37"/>
    </row>
    <row r="15" spans="1:14" ht="18" customHeight="1" x14ac:dyDescent="0.2">
      <c r="B15" s="6" t="s">
        <v>2</v>
      </c>
      <c r="C15" s="46"/>
      <c r="D15" s="47"/>
      <c r="E15" s="46" t="s">
        <v>2</v>
      </c>
      <c r="F15" s="47"/>
      <c r="G15" s="46"/>
      <c r="H15" s="47"/>
      <c r="I15" s="57" t="s">
        <v>2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40</v>
      </c>
      <c r="D16" s="45"/>
      <c r="E16" s="44"/>
      <c r="F16" s="45"/>
      <c r="G16" s="44" t="s">
        <v>40</v>
      </c>
      <c r="H16" s="45"/>
      <c r="I16" s="53"/>
      <c r="J16" s="54"/>
      <c r="K16" s="65" t="s">
        <v>11</v>
      </c>
      <c r="L16" s="16"/>
      <c r="M16" s="42"/>
      <c r="N16" s="43"/>
    </row>
    <row r="17" spans="2:14" ht="18" customHeight="1" x14ac:dyDescent="0.2">
      <c r="B17" s="6"/>
      <c r="C17" s="46" t="s">
        <v>8</v>
      </c>
      <c r="D17" s="47"/>
      <c r="E17" s="46"/>
      <c r="F17" s="47"/>
      <c r="G17" s="46" t="s">
        <v>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3</v>
      </c>
      <c r="C18" s="62"/>
      <c r="D18" s="63"/>
      <c r="E18" s="62" t="s">
        <v>3</v>
      </c>
      <c r="F18" s="63"/>
      <c r="G18" s="62"/>
      <c r="H18" s="63"/>
      <c r="I18" s="62" t="s">
        <v>3</v>
      </c>
      <c r="J18" s="64"/>
      <c r="K18" s="66"/>
      <c r="L18" s="17"/>
      <c r="M18" s="36"/>
      <c r="N18" s="37"/>
    </row>
    <row r="19" spans="2:14" ht="18" customHeight="1" x14ac:dyDescent="0.2">
      <c r="B19" s="6" t="s">
        <v>4</v>
      </c>
      <c r="C19" s="46"/>
      <c r="D19" s="47"/>
      <c r="E19" s="46" t="s">
        <v>4</v>
      </c>
      <c r="F19" s="47"/>
      <c r="G19" s="46"/>
      <c r="H19" s="47"/>
      <c r="I19" s="57" t="s">
        <v>4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5</v>
      </c>
      <c r="C26" s="44"/>
      <c r="D26" s="45"/>
      <c r="E26" s="44" t="s">
        <v>5</v>
      </c>
      <c r="F26" s="45"/>
      <c r="G26" s="44"/>
      <c r="H26" s="45"/>
      <c r="I26" s="44" t="s">
        <v>5</v>
      </c>
      <c r="J26" s="59"/>
      <c r="K26" s="11"/>
      <c r="L26" s="17"/>
      <c r="M26" s="36"/>
      <c r="N26" s="37"/>
    </row>
    <row r="27" spans="2:14" ht="18" customHeight="1" x14ac:dyDescent="0.2">
      <c r="B27" s="6" t="s">
        <v>6</v>
      </c>
      <c r="C27" s="46"/>
      <c r="D27" s="47"/>
      <c r="E27" s="46" t="s">
        <v>6</v>
      </c>
      <c r="F27" s="47"/>
      <c r="G27" s="46"/>
      <c r="H27" s="47"/>
      <c r="I27" s="57" t="s">
        <v>6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9</v>
      </c>
      <c r="D30" s="45"/>
      <c r="E30" s="44"/>
      <c r="F30" s="45"/>
      <c r="G30" s="44" t="s">
        <v>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10</v>
      </c>
      <c r="D31" s="47"/>
      <c r="E31" s="46"/>
      <c r="F31" s="47"/>
      <c r="G31" s="46" t="s">
        <v>10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VLOOKUP(DAY(C4),ÖdevGünleri,1,FALSE)=DAY(C4)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14</v>
      </c>
      <c r="L2" s="71">
        <v>2013</v>
      </c>
      <c r="M2" s="71"/>
      <c r="N2" s="79">
        <f>TakvimYılı</f>
        <v>2016</v>
      </c>
    </row>
    <row r="3" spans="1:14" ht="21" customHeight="1" x14ac:dyDescent="0.2">
      <c r="A3" s="4"/>
      <c r="B3" s="31" t="s">
        <v>29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IF(DAY(AğuPaz1)=1,AğuPaz1-6,AğuPaz1+1)</f>
        <v>42583</v>
      </c>
      <c r="D4" s="10">
        <f>IF(DAY(AğuPaz1)=1,AğuPaz1-5,AğuPaz1+2)</f>
        <v>42584</v>
      </c>
      <c r="E4" s="10">
        <f>IF(DAY(AğuPaz1)=1,AğuPaz1-4,AğuPaz1+3)</f>
        <v>42585</v>
      </c>
      <c r="F4" s="10">
        <f>IF(DAY(AğuPaz1)=1,AğuPaz1-3,AğuPaz1+4)</f>
        <v>42586</v>
      </c>
      <c r="G4" s="10">
        <f>IF(DAY(AğuPaz1)=1,AğuPaz1-2,AğuPaz1+5)</f>
        <v>42587</v>
      </c>
      <c r="H4" s="10">
        <f>IF(DAY(AğuPaz1)=1,AğuPaz1-1,AğuPaz1+6)</f>
        <v>42588</v>
      </c>
      <c r="I4" s="10">
        <f>IF(DAY(AğuPaz1)=1,AğuPaz1,AğuPaz1+7)</f>
        <v>42589</v>
      </c>
      <c r="J4" s="5"/>
      <c r="K4" s="74" t="s">
        <v>38</v>
      </c>
      <c r="L4" s="16"/>
      <c r="M4" s="75"/>
      <c r="N4" s="76"/>
    </row>
    <row r="5" spans="1:14" ht="18" customHeight="1" x14ac:dyDescent="0.2">
      <c r="A5" s="4"/>
      <c r="B5" s="28"/>
      <c r="C5" s="10">
        <f>IF(DAY(AğuPaz1)=1,AğuPaz1+1,AğuPaz1+8)</f>
        <v>42590</v>
      </c>
      <c r="D5" s="10">
        <f>IF(DAY(AğuPaz1)=1,AğuPaz1+2,AğuPaz1+9)</f>
        <v>42591</v>
      </c>
      <c r="E5" s="10">
        <f>IF(DAY(AğuPaz1)=1,AğuPaz1+3,AğuPaz1+10)</f>
        <v>42592</v>
      </c>
      <c r="F5" s="10">
        <f>IF(DAY(AğuPaz1)=1,AğuPaz1+4,AğuPaz1+11)</f>
        <v>42593</v>
      </c>
      <c r="G5" s="10">
        <f>IF(DAY(AğuPaz1)=1,AğuPaz1+5,AğuPaz1+12)</f>
        <v>42594</v>
      </c>
      <c r="H5" s="10">
        <f>IF(DAY(AğuPaz1)=1,AğuPaz1+6,AğuPaz1+13)</f>
        <v>42595</v>
      </c>
      <c r="I5" s="10">
        <f>IF(DAY(AğuPaz1)=1,AğuPaz1+7,AğuPaz1+14)</f>
        <v>42596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IF(DAY(AğuPaz1)=1,AğuPaz1+8,AğuPaz1+15)</f>
        <v>42597</v>
      </c>
      <c r="D6" s="10">
        <f>IF(DAY(AğuPaz1)=1,AğuPaz1+9,AğuPaz1+16)</f>
        <v>42598</v>
      </c>
      <c r="E6" s="10">
        <f>IF(DAY(AğuPaz1)=1,AğuPaz1+10,AğuPaz1+17)</f>
        <v>42599</v>
      </c>
      <c r="F6" s="10">
        <f>IF(DAY(AğuPaz1)=1,AğuPaz1+11,AğuPaz1+18)</f>
        <v>42600</v>
      </c>
      <c r="G6" s="10">
        <f>IF(DAY(AğuPaz1)=1,AğuPaz1+12,AğuPaz1+19)</f>
        <v>42601</v>
      </c>
      <c r="H6" s="10">
        <f>IF(DAY(AğuPaz1)=1,AğuPaz1+13,AğuPaz1+20)</f>
        <v>42602</v>
      </c>
      <c r="I6" s="10">
        <f>IF(DAY(AğuPaz1)=1,AğuPaz1+14,AğuPaz1+21)</f>
        <v>42603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IF(DAY(AğuPaz1)=1,AğuPaz1+15,AğuPaz1+22)</f>
        <v>42604</v>
      </c>
      <c r="D7" s="10">
        <f>IF(DAY(AğuPaz1)=1,AğuPaz1+16,AğuPaz1+23)</f>
        <v>42605</v>
      </c>
      <c r="E7" s="10">
        <f>IF(DAY(AğuPaz1)=1,AğuPaz1+17,AğuPaz1+24)</f>
        <v>42606</v>
      </c>
      <c r="F7" s="10">
        <f>IF(DAY(AğuPaz1)=1,AğuPaz1+18,AğuPaz1+25)</f>
        <v>42607</v>
      </c>
      <c r="G7" s="10">
        <f>IF(DAY(AğuPaz1)=1,AğuPaz1+19,AğuPaz1+26)</f>
        <v>42608</v>
      </c>
      <c r="H7" s="10">
        <f>IF(DAY(AğuPaz1)=1,AğuPaz1+20,AğuPaz1+27)</f>
        <v>42609</v>
      </c>
      <c r="I7" s="10">
        <f>IF(DAY(AğuPaz1)=1,AğuPaz1+21,AğuPaz1+28)</f>
        <v>42610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IF(DAY(AğuPaz1)=1,AğuPaz1+22,AğuPaz1+29)</f>
        <v>42611</v>
      </c>
      <c r="D8" s="10">
        <f>IF(DAY(AğuPaz1)=1,AğuPaz1+23,AğuPaz1+30)</f>
        <v>42612</v>
      </c>
      <c r="E8" s="10">
        <f>IF(DAY(AğuPaz1)=1,AğuPaz1+24,AğuPaz1+31)</f>
        <v>42613</v>
      </c>
      <c r="F8" s="10">
        <f>IF(DAY(AğuPaz1)=1,AğuPaz1+25,AğuPaz1+32)</f>
        <v>42614</v>
      </c>
      <c r="G8" s="10">
        <f>IF(DAY(AğuPaz1)=1,AğuPaz1+26,AğuPaz1+33)</f>
        <v>42615</v>
      </c>
      <c r="H8" s="10">
        <f>IF(DAY(AğuPaz1)=1,AğuPaz1+27,AğuPaz1+34)</f>
        <v>42616</v>
      </c>
      <c r="I8" s="10">
        <f>IF(DAY(AğuPaz1)=1,AğuPaz1+28,AğuPaz1+35)</f>
        <v>42617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IF(DAY(AğuPaz1)=1,AğuPaz1+29,AğuPaz1+36)</f>
        <v>42618</v>
      </c>
      <c r="D9" s="10">
        <f>IF(DAY(AğuPaz1)=1,AğuPaz1+30,AğuPaz1+37)</f>
        <v>42619</v>
      </c>
      <c r="E9" s="10">
        <f>IF(DAY(AğuPaz1)=1,AğuPaz1+31,AğuPaz1+38)</f>
        <v>42620</v>
      </c>
      <c r="F9" s="10">
        <f>IF(DAY(AğuPaz1)=1,AğuPaz1+32,AğuPaz1+39)</f>
        <v>42621</v>
      </c>
      <c r="G9" s="10">
        <f>IF(DAY(AğuPaz1)=1,AğuPaz1+33,AğuPaz1+40)</f>
        <v>42622</v>
      </c>
      <c r="H9" s="10">
        <f>IF(DAY(AğuPaz1)=1,AğuPaz1+34,AğuPaz1+41)</f>
        <v>42623</v>
      </c>
      <c r="I9" s="10">
        <f>IF(DAY(AğuPaz1)=1,AğuPaz1+35,AğuPaz1+42)</f>
        <v>42624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38</v>
      </c>
      <c r="C13" s="67" t="s">
        <v>7</v>
      </c>
      <c r="D13" s="69"/>
      <c r="E13" s="67" t="s">
        <v>11</v>
      </c>
      <c r="F13" s="69"/>
      <c r="G13" s="67" t="s">
        <v>12</v>
      </c>
      <c r="H13" s="69"/>
      <c r="I13" s="67" t="s">
        <v>13</v>
      </c>
      <c r="J13" s="68"/>
      <c r="K13" s="11"/>
      <c r="L13" s="17"/>
      <c r="M13" s="36"/>
      <c r="N13" s="37"/>
    </row>
    <row r="14" spans="1:14" ht="18" customHeight="1" x14ac:dyDescent="0.2">
      <c r="B14" s="8" t="s">
        <v>39</v>
      </c>
      <c r="C14" s="44"/>
      <c r="D14" s="45"/>
      <c r="E14" s="44" t="s">
        <v>39</v>
      </c>
      <c r="F14" s="45"/>
      <c r="G14" s="44"/>
      <c r="H14" s="45"/>
      <c r="I14" s="44" t="s">
        <v>39</v>
      </c>
      <c r="J14" s="59"/>
      <c r="K14" s="11"/>
      <c r="L14" s="17"/>
      <c r="M14" s="36"/>
      <c r="N14" s="37"/>
    </row>
    <row r="15" spans="1:14" ht="18" customHeight="1" x14ac:dyDescent="0.2">
      <c r="B15" s="6" t="s">
        <v>2</v>
      </c>
      <c r="C15" s="46"/>
      <c r="D15" s="47"/>
      <c r="E15" s="46" t="s">
        <v>2</v>
      </c>
      <c r="F15" s="47"/>
      <c r="G15" s="46"/>
      <c r="H15" s="47"/>
      <c r="I15" s="57" t="s">
        <v>2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40</v>
      </c>
      <c r="D16" s="45"/>
      <c r="E16" s="44"/>
      <c r="F16" s="45"/>
      <c r="G16" s="44" t="s">
        <v>40</v>
      </c>
      <c r="H16" s="45"/>
      <c r="I16" s="53"/>
      <c r="J16" s="54"/>
      <c r="K16" s="65" t="s">
        <v>11</v>
      </c>
      <c r="L16" s="16"/>
      <c r="M16" s="42"/>
      <c r="N16" s="43"/>
    </row>
    <row r="17" spans="2:14" ht="18" customHeight="1" x14ac:dyDescent="0.2">
      <c r="B17" s="6"/>
      <c r="C17" s="46" t="s">
        <v>8</v>
      </c>
      <c r="D17" s="47"/>
      <c r="E17" s="46"/>
      <c r="F17" s="47"/>
      <c r="G17" s="46" t="s">
        <v>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3</v>
      </c>
      <c r="C18" s="62"/>
      <c r="D18" s="63"/>
      <c r="E18" s="62" t="s">
        <v>3</v>
      </c>
      <c r="F18" s="63"/>
      <c r="G18" s="62"/>
      <c r="H18" s="63"/>
      <c r="I18" s="62" t="s">
        <v>3</v>
      </c>
      <c r="J18" s="64"/>
      <c r="K18" s="66"/>
      <c r="L18" s="17"/>
      <c r="M18" s="36"/>
      <c r="N18" s="37"/>
    </row>
    <row r="19" spans="2:14" ht="18" customHeight="1" x14ac:dyDescent="0.2">
      <c r="B19" s="6" t="s">
        <v>4</v>
      </c>
      <c r="C19" s="46"/>
      <c r="D19" s="47"/>
      <c r="E19" s="46" t="s">
        <v>4</v>
      </c>
      <c r="F19" s="47"/>
      <c r="G19" s="46"/>
      <c r="H19" s="47"/>
      <c r="I19" s="57" t="s">
        <v>4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5</v>
      </c>
      <c r="C26" s="44"/>
      <c r="D26" s="45"/>
      <c r="E26" s="44" t="s">
        <v>5</v>
      </c>
      <c r="F26" s="45"/>
      <c r="G26" s="44"/>
      <c r="H26" s="45"/>
      <c r="I26" s="44" t="s">
        <v>5</v>
      </c>
      <c r="J26" s="59"/>
      <c r="K26" s="11"/>
      <c r="L26" s="17"/>
      <c r="M26" s="36"/>
      <c r="N26" s="37"/>
    </row>
    <row r="27" spans="2:14" ht="18" customHeight="1" x14ac:dyDescent="0.2">
      <c r="B27" s="6" t="s">
        <v>6</v>
      </c>
      <c r="C27" s="46"/>
      <c r="D27" s="47"/>
      <c r="E27" s="46" t="s">
        <v>6</v>
      </c>
      <c r="F27" s="47"/>
      <c r="G27" s="46"/>
      <c r="H27" s="47"/>
      <c r="I27" s="57" t="s">
        <v>6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9</v>
      </c>
      <c r="D30" s="45"/>
      <c r="E30" s="44"/>
      <c r="F30" s="45"/>
      <c r="G30" s="44" t="s">
        <v>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10</v>
      </c>
      <c r="D31" s="47"/>
      <c r="E31" s="46"/>
      <c r="F31" s="47"/>
      <c r="G31" s="46" t="s">
        <v>10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VLOOKUP(DAY(C4),ÖdevGünleri,1,FALSE)=DAY(C4)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70" t="s">
        <v>14</v>
      </c>
      <c r="L2" s="71">
        <v>2013</v>
      </c>
      <c r="M2" s="71"/>
      <c r="N2" s="79">
        <f>TakvimYılı</f>
        <v>2016</v>
      </c>
    </row>
    <row r="3" spans="1:14" ht="21" customHeight="1" x14ac:dyDescent="0.2">
      <c r="A3" s="4"/>
      <c r="B3" s="31" t="s">
        <v>30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72"/>
      <c r="L3" s="73"/>
      <c r="M3" s="73"/>
      <c r="N3" s="80"/>
    </row>
    <row r="4" spans="1:14" ht="18" customHeight="1" x14ac:dyDescent="0.2">
      <c r="A4" s="4"/>
      <c r="B4" s="31"/>
      <c r="C4" s="10">
        <f>IF(DAY(EylPaz1)=1,EylPaz1-6,EylPaz1+1)</f>
        <v>42611</v>
      </c>
      <c r="D4" s="10">
        <f>IF(DAY(EylPaz1)=1,EylPaz1-5,EylPaz1+2)</f>
        <v>42612</v>
      </c>
      <c r="E4" s="10">
        <f>IF(DAY(EylPaz1)=1,EylPaz1-4,EylPaz1+3)</f>
        <v>42613</v>
      </c>
      <c r="F4" s="10">
        <f>IF(DAY(EylPaz1)=1,EylPaz1-3,EylPaz1+4)</f>
        <v>42614</v>
      </c>
      <c r="G4" s="10">
        <f>IF(DAY(EylPaz1)=1,EylPaz1-2,EylPaz1+5)</f>
        <v>42615</v>
      </c>
      <c r="H4" s="10">
        <f>IF(DAY(EylPaz1)=1,EylPaz1-1,EylPaz1+6)</f>
        <v>42616</v>
      </c>
      <c r="I4" s="10">
        <f>IF(DAY(EylPaz1)=1,EylPaz1,EylPaz1+7)</f>
        <v>42617</v>
      </c>
      <c r="J4" s="5"/>
      <c r="K4" s="74" t="s">
        <v>38</v>
      </c>
      <c r="L4" s="16"/>
      <c r="M4" s="75"/>
      <c r="N4" s="76"/>
    </row>
    <row r="5" spans="1:14" ht="18" customHeight="1" x14ac:dyDescent="0.2">
      <c r="A5" s="4"/>
      <c r="B5" s="28"/>
      <c r="C5" s="10">
        <f>IF(DAY(EylPaz1)=1,EylPaz1+1,EylPaz1+8)</f>
        <v>42618</v>
      </c>
      <c r="D5" s="10">
        <f>IF(DAY(EylPaz1)=1,EylPaz1+2,EylPaz1+9)</f>
        <v>42619</v>
      </c>
      <c r="E5" s="10">
        <f>IF(DAY(EylPaz1)=1,EylPaz1+3,EylPaz1+10)</f>
        <v>42620</v>
      </c>
      <c r="F5" s="10">
        <f>IF(DAY(EylPaz1)=1,EylPaz1+4,EylPaz1+11)</f>
        <v>42621</v>
      </c>
      <c r="G5" s="10">
        <f>IF(DAY(EylPaz1)=1,EylPaz1+5,EylPaz1+12)</f>
        <v>42622</v>
      </c>
      <c r="H5" s="10">
        <f>IF(DAY(EylPaz1)=1,EylPaz1+6,EylPaz1+13)</f>
        <v>42623</v>
      </c>
      <c r="I5" s="10">
        <f>IF(DAY(EylPaz1)=1,EylPaz1+7,EylPaz1+14)</f>
        <v>42624</v>
      </c>
      <c r="J5" s="5"/>
      <c r="K5" s="66"/>
      <c r="L5" s="17"/>
      <c r="M5" s="36"/>
      <c r="N5" s="37"/>
    </row>
    <row r="6" spans="1:14" ht="18" customHeight="1" x14ac:dyDescent="0.2">
      <c r="A6" s="4"/>
      <c r="B6" s="28"/>
      <c r="C6" s="10">
        <f>IF(DAY(EylPaz1)=1,EylPaz1+8,EylPaz1+15)</f>
        <v>42625</v>
      </c>
      <c r="D6" s="10">
        <f>IF(DAY(EylPaz1)=1,EylPaz1+9,EylPaz1+16)</f>
        <v>42626</v>
      </c>
      <c r="E6" s="10">
        <f>IF(DAY(EylPaz1)=1,EylPaz1+10,EylPaz1+17)</f>
        <v>42627</v>
      </c>
      <c r="F6" s="10">
        <f>IF(DAY(EylPaz1)=1,EylPaz1+11,EylPaz1+18)</f>
        <v>42628</v>
      </c>
      <c r="G6" s="10">
        <f>IF(DAY(EylPaz1)=1,EylPaz1+12,EylPaz1+19)</f>
        <v>42629</v>
      </c>
      <c r="H6" s="10">
        <f>IF(DAY(EylPaz1)=1,EylPaz1+13,EylPaz1+20)</f>
        <v>42630</v>
      </c>
      <c r="I6" s="10">
        <f>IF(DAY(EylPaz1)=1,EylPaz1+14,EylPaz1+21)</f>
        <v>42631</v>
      </c>
      <c r="J6" s="5"/>
      <c r="K6" s="66"/>
      <c r="L6" s="17"/>
      <c r="M6" s="36"/>
      <c r="N6" s="37"/>
    </row>
    <row r="7" spans="1:14" ht="18" customHeight="1" x14ac:dyDescent="0.2">
      <c r="A7" s="4"/>
      <c r="B7" s="28"/>
      <c r="C7" s="10">
        <f>IF(DAY(EylPaz1)=1,EylPaz1+15,EylPaz1+22)</f>
        <v>42632</v>
      </c>
      <c r="D7" s="10">
        <f>IF(DAY(EylPaz1)=1,EylPaz1+16,EylPaz1+23)</f>
        <v>42633</v>
      </c>
      <c r="E7" s="10">
        <f>IF(DAY(EylPaz1)=1,EylPaz1+17,EylPaz1+24)</f>
        <v>42634</v>
      </c>
      <c r="F7" s="10">
        <f>IF(DAY(EylPaz1)=1,EylPaz1+18,EylPaz1+25)</f>
        <v>42635</v>
      </c>
      <c r="G7" s="10">
        <f>IF(DAY(EylPaz1)=1,EylPaz1+19,EylPaz1+26)</f>
        <v>42636</v>
      </c>
      <c r="H7" s="10">
        <f>IF(DAY(EylPaz1)=1,EylPaz1+20,EylPaz1+27)</f>
        <v>42637</v>
      </c>
      <c r="I7" s="10">
        <f>IF(DAY(EylPaz1)=1,EylPaz1+21,EylPaz1+28)</f>
        <v>42638</v>
      </c>
      <c r="J7" s="5"/>
      <c r="K7" s="11"/>
      <c r="L7" s="17"/>
      <c r="M7" s="36"/>
      <c r="N7" s="37"/>
    </row>
    <row r="8" spans="1:14" ht="18.75" customHeight="1" x14ac:dyDescent="0.2">
      <c r="A8" s="4"/>
      <c r="B8" s="28"/>
      <c r="C8" s="10">
        <f>IF(DAY(EylPaz1)=1,EylPaz1+22,EylPaz1+29)</f>
        <v>42639</v>
      </c>
      <c r="D8" s="10">
        <f>IF(DAY(EylPaz1)=1,EylPaz1+23,EylPaz1+30)</f>
        <v>42640</v>
      </c>
      <c r="E8" s="10">
        <f>IF(DAY(EylPaz1)=1,EylPaz1+24,EylPaz1+31)</f>
        <v>42641</v>
      </c>
      <c r="F8" s="10">
        <f>IF(DAY(EylPaz1)=1,EylPaz1+25,EylPaz1+32)</f>
        <v>42642</v>
      </c>
      <c r="G8" s="10">
        <f>IF(DAY(EylPaz1)=1,EylPaz1+26,EylPaz1+33)</f>
        <v>42643</v>
      </c>
      <c r="H8" s="10">
        <f>IF(DAY(EylPaz1)=1,EylPaz1+27,EylPaz1+34)</f>
        <v>42644</v>
      </c>
      <c r="I8" s="10">
        <f>IF(DAY(EylPaz1)=1,EylPaz1+28,EylPaz1+35)</f>
        <v>42645</v>
      </c>
      <c r="J8" s="5"/>
      <c r="K8" s="11"/>
      <c r="L8" s="17"/>
      <c r="M8" s="36"/>
      <c r="N8" s="37"/>
    </row>
    <row r="9" spans="1:14" ht="18" customHeight="1" x14ac:dyDescent="0.2">
      <c r="A9" s="4"/>
      <c r="B9" s="28"/>
      <c r="C9" s="10">
        <f>IF(DAY(EylPaz1)=1,EylPaz1+29,EylPaz1+36)</f>
        <v>42646</v>
      </c>
      <c r="D9" s="10">
        <f>IF(DAY(EylPaz1)=1,EylPaz1+30,EylPaz1+37)</f>
        <v>42647</v>
      </c>
      <c r="E9" s="10">
        <f>IF(DAY(EylPaz1)=1,EylPaz1+31,EylPaz1+38)</f>
        <v>42648</v>
      </c>
      <c r="F9" s="10">
        <f>IF(DAY(EylPaz1)=1,EylPaz1+32,EylPaz1+39)</f>
        <v>42649</v>
      </c>
      <c r="G9" s="10">
        <f>IF(DAY(EylPaz1)=1,EylPaz1+33,EylPaz1+40)</f>
        <v>42650</v>
      </c>
      <c r="H9" s="10">
        <f>IF(DAY(EylPaz1)=1,EylPaz1+34,EylPaz1+41)</f>
        <v>42651</v>
      </c>
      <c r="I9" s="10">
        <f>IF(DAY(EylPaz1)=1,EylPaz1+35,EylPaz1+42)</f>
        <v>42652</v>
      </c>
      <c r="J9" s="5"/>
      <c r="K9" s="12"/>
      <c r="L9" s="18"/>
      <c r="M9" s="40"/>
      <c r="N9" s="41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65" t="s">
        <v>15</v>
      </c>
      <c r="L10" s="16"/>
      <c r="M10" s="42"/>
      <c r="N10" s="43"/>
    </row>
    <row r="11" spans="1:14" ht="18" customHeight="1" x14ac:dyDescent="0.2">
      <c r="A11" s="4"/>
      <c r="B11" s="33" t="s">
        <v>1</v>
      </c>
      <c r="C11" s="34"/>
      <c r="D11" s="34"/>
      <c r="E11" s="34"/>
      <c r="F11" s="34"/>
      <c r="G11" s="34"/>
      <c r="H11" s="34"/>
      <c r="I11" s="34"/>
      <c r="J11" s="35"/>
      <c r="K11" s="66"/>
      <c r="L11" s="17"/>
      <c r="M11" s="36"/>
      <c r="N11" s="37"/>
    </row>
    <row r="12" spans="1:14" ht="18" customHeight="1" x14ac:dyDescent="0.2">
      <c r="A12" s="4"/>
      <c r="B12" s="33"/>
      <c r="C12" s="34"/>
      <c r="D12" s="34"/>
      <c r="E12" s="34"/>
      <c r="F12" s="34"/>
      <c r="G12" s="34"/>
      <c r="H12" s="34"/>
      <c r="I12" s="34"/>
      <c r="J12" s="35"/>
      <c r="K12" s="66"/>
      <c r="L12" s="17"/>
      <c r="M12" s="36"/>
      <c r="N12" s="37"/>
    </row>
    <row r="13" spans="1:14" ht="18" customHeight="1" x14ac:dyDescent="0.2">
      <c r="B13" s="3" t="s">
        <v>38</v>
      </c>
      <c r="C13" s="67" t="s">
        <v>7</v>
      </c>
      <c r="D13" s="69"/>
      <c r="E13" s="67" t="s">
        <v>11</v>
      </c>
      <c r="F13" s="69"/>
      <c r="G13" s="67" t="s">
        <v>12</v>
      </c>
      <c r="H13" s="69"/>
      <c r="I13" s="67" t="s">
        <v>13</v>
      </c>
      <c r="J13" s="68"/>
      <c r="K13" s="11"/>
      <c r="L13" s="17"/>
      <c r="M13" s="36"/>
      <c r="N13" s="37"/>
    </row>
    <row r="14" spans="1:14" ht="18" customHeight="1" x14ac:dyDescent="0.2">
      <c r="B14" s="8" t="s">
        <v>39</v>
      </c>
      <c r="C14" s="44"/>
      <c r="D14" s="45"/>
      <c r="E14" s="44" t="s">
        <v>39</v>
      </c>
      <c r="F14" s="45"/>
      <c r="G14" s="44"/>
      <c r="H14" s="45"/>
      <c r="I14" s="44" t="s">
        <v>39</v>
      </c>
      <c r="J14" s="59"/>
      <c r="K14" s="11"/>
      <c r="L14" s="17"/>
      <c r="M14" s="36"/>
      <c r="N14" s="37"/>
    </row>
    <row r="15" spans="1:14" ht="18" customHeight="1" x14ac:dyDescent="0.2">
      <c r="B15" s="6" t="s">
        <v>2</v>
      </c>
      <c r="C15" s="46"/>
      <c r="D15" s="47"/>
      <c r="E15" s="46" t="s">
        <v>2</v>
      </c>
      <c r="F15" s="47"/>
      <c r="G15" s="46"/>
      <c r="H15" s="47"/>
      <c r="I15" s="57" t="s">
        <v>2</v>
      </c>
      <c r="J15" s="58"/>
      <c r="K15" s="13"/>
      <c r="L15" s="19"/>
      <c r="M15" s="40"/>
      <c r="N15" s="41"/>
    </row>
    <row r="16" spans="1:14" ht="18" customHeight="1" x14ac:dyDescent="0.2">
      <c r="B16" s="8"/>
      <c r="C16" s="44" t="s">
        <v>40</v>
      </c>
      <c r="D16" s="45"/>
      <c r="E16" s="44"/>
      <c r="F16" s="45"/>
      <c r="G16" s="44" t="s">
        <v>40</v>
      </c>
      <c r="H16" s="45"/>
      <c r="I16" s="53"/>
      <c r="J16" s="54"/>
      <c r="K16" s="65" t="s">
        <v>11</v>
      </c>
      <c r="L16" s="16"/>
      <c r="M16" s="42"/>
      <c r="N16" s="43"/>
    </row>
    <row r="17" spans="2:14" ht="18" customHeight="1" x14ac:dyDescent="0.2">
      <c r="B17" s="6"/>
      <c r="C17" s="46" t="s">
        <v>8</v>
      </c>
      <c r="D17" s="47"/>
      <c r="E17" s="46"/>
      <c r="F17" s="47"/>
      <c r="G17" s="46" t="s">
        <v>8</v>
      </c>
      <c r="H17" s="47"/>
      <c r="I17" s="57"/>
      <c r="J17" s="58"/>
      <c r="K17" s="66"/>
      <c r="L17" s="17"/>
      <c r="M17" s="36"/>
      <c r="N17" s="37"/>
    </row>
    <row r="18" spans="2:14" ht="18" customHeight="1" x14ac:dyDescent="0.2">
      <c r="B18" s="9" t="s">
        <v>3</v>
      </c>
      <c r="C18" s="62"/>
      <c r="D18" s="63"/>
      <c r="E18" s="62" t="s">
        <v>3</v>
      </c>
      <c r="F18" s="63"/>
      <c r="G18" s="62"/>
      <c r="H18" s="63"/>
      <c r="I18" s="62" t="s">
        <v>3</v>
      </c>
      <c r="J18" s="64"/>
      <c r="K18" s="66"/>
      <c r="L18" s="17"/>
      <c r="M18" s="36"/>
      <c r="N18" s="37"/>
    </row>
    <row r="19" spans="2:14" ht="18" customHeight="1" x14ac:dyDescent="0.2">
      <c r="B19" s="6" t="s">
        <v>4</v>
      </c>
      <c r="C19" s="46"/>
      <c r="D19" s="47"/>
      <c r="E19" s="46" t="s">
        <v>4</v>
      </c>
      <c r="F19" s="47"/>
      <c r="G19" s="46"/>
      <c r="H19" s="47"/>
      <c r="I19" s="57" t="s">
        <v>4</v>
      </c>
      <c r="J19" s="58"/>
      <c r="K19" s="11"/>
      <c r="L19" s="17"/>
      <c r="M19" s="36"/>
      <c r="N19" s="37"/>
    </row>
    <row r="20" spans="2:14" ht="18" customHeight="1" x14ac:dyDescent="0.2">
      <c r="B20" s="8"/>
      <c r="C20" s="44"/>
      <c r="D20" s="45"/>
      <c r="E20" s="44"/>
      <c r="F20" s="45"/>
      <c r="G20" s="44"/>
      <c r="H20" s="45"/>
      <c r="I20" s="44"/>
      <c r="J20" s="59"/>
      <c r="K20" s="11"/>
      <c r="L20" s="17"/>
      <c r="M20" s="36"/>
      <c r="N20" s="37"/>
    </row>
    <row r="21" spans="2:14" ht="18" customHeight="1" x14ac:dyDescent="0.2">
      <c r="B21" s="6"/>
      <c r="C21" s="46"/>
      <c r="D21" s="47"/>
      <c r="E21" s="46"/>
      <c r="F21" s="47"/>
      <c r="G21" s="46"/>
      <c r="H21" s="47"/>
      <c r="I21" s="60"/>
      <c r="J21" s="61"/>
      <c r="K21" s="13"/>
      <c r="L21" s="19"/>
      <c r="M21" s="40"/>
      <c r="N21" s="41"/>
    </row>
    <row r="22" spans="2:14" ht="18" customHeight="1" x14ac:dyDescent="0.2">
      <c r="B22" s="8"/>
      <c r="C22" s="44"/>
      <c r="D22" s="45"/>
      <c r="E22" s="44"/>
      <c r="F22" s="45"/>
      <c r="G22" s="44"/>
      <c r="H22" s="45"/>
      <c r="I22" s="44"/>
      <c r="J22" s="59"/>
      <c r="K22" s="65" t="s">
        <v>16</v>
      </c>
      <c r="L22" s="16"/>
      <c r="M22" s="42"/>
      <c r="N22" s="43"/>
    </row>
    <row r="23" spans="2:14" ht="18" customHeight="1" x14ac:dyDescent="0.2">
      <c r="B23" s="6"/>
      <c r="C23" s="46"/>
      <c r="D23" s="47"/>
      <c r="E23" s="46"/>
      <c r="F23" s="47"/>
      <c r="G23" s="46"/>
      <c r="H23" s="47"/>
      <c r="I23" s="57"/>
      <c r="J23" s="58"/>
      <c r="K23" s="66"/>
      <c r="L23" s="17"/>
      <c r="M23" s="36"/>
      <c r="N23" s="37"/>
    </row>
    <row r="24" spans="2:14" ht="18" customHeight="1" x14ac:dyDescent="0.2">
      <c r="B24" s="8"/>
      <c r="C24" s="44"/>
      <c r="D24" s="45"/>
      <c r="E24" s="44"/>
      <c r="F24" s="45"/>
      <c r="G24" s="44"/>
      <c r="H24" s="45"/>
      <c r="I24" s="44"/>
      <c r="J24" s="59"/>
      <c r="K24" s="66"/>
      <c r="L24" s="17"/>
      <c r="M24" s="36"/>
      <c r="N24" s="37"/>
    </row>
    <row r="25" spans="2:14" ht="18" customHeight="1" x14ac:dyDescent="0.2">
      <c r="B25" s="6"/>
      <c r="C25" s="46"/>
      <c r="D25" s="47"/>
      <c r="E25" s="46"/>
      <c r="F25" s="47"/>
      <c r="G25" s="46"/>
      <c r="H25" s="47"/>
      <c r="I25" s="57"/>
      <c r="J25" s="58"/>
      <c r="K25" s="66"/>
      <c r="L25" s="17"/>
      <c r="M25" s="36"/>
      <c r="N25" s="37"/>
    </row>
    <row r="26" spans="2:14" ht="18" customHeight="1" x14ac:dyDescent="0.2">
      <c r="B26" s="8" t="s">
        <v>5</v>
      </c>
      <c r="C26" s="44"/>
      <c r="D26" s="45"/>
      <c r="E26" s="44" t="s">
        <v>5</v>
      </c>
      <c r="F26" s="45"/>
      <c r="G26" s="44"/>
      <c r="H26" s="45"/>
      <c r="I26" s="44" t="s">
        <v>5</v>
      </c>
      <c r="J26" s="59"/>
      <c r="K26" s="11"/>
      <c r="L26" s="17"/>
      <c r="M26" s="36"/>
      <c r="N26" s="37"/>
    </row>
    <row r="27" spans="2:14" ht="18" customHeight="1" x14ac:dyDescent="0.2">
      <c r="B27" s="6" t="s">
        <v>6</v>
      </c>
      <c r="C27" s="46"/>
      <c r="D27" s="47"/>
      <c r="E27" s="46" t="s">
        <v>6</v>
      </c>
      <c r="F27" s="47"/>
      <c r="G27" s="46"/>
      <c r="H27" s="47"/>
      <c r="I27" s="57" t="s">
        <v>6</v>
      </c>
      <c r="J27" s="58"/>
      <c r="K27" s="13"/>
      <c r="L27" s="19"/>
      <c r="M27" s="40"/>
      <c r="N27" s="41"/>
    </row>
    <row r="28" spans="2:14" ht="18" customHeight="1" x14ac:dyDescent="0.2">
      <c r="B28" s="8"/>
      <c r="C28" s="44"/>
      <c r="D28" s="45"/>
      <c r="E28" s="44"/>
      <c r="F28" s="45"/>
      <c r="G28" s="44"/>
      <c r="H28" s="45"/>
      <c r="I28" s="44"/>
      <c r="J28" s="59"/>
      <c r="K28" s="65" t="s">
        <v>13</v>
      </c>
      <c r="L28" s="16"/>
      <c r="M28" s="42"/>
      <c r="N28" s="43"/>
    </row>
    <row r="29" spans="2:14" ht="18" customHeight="1" x14ac:dyDescent="0.2">
      <c r="B29" s="6"/>
      <c r="C29" s="46"/>
      <c r="D29" s="47"/>
      <c r="E29" s="46"/>
      <c r="F29" s="47"/>
      <c r="G29" s="46"/>
      <c r="H29" s="47"/>
      <c r="I29" s="46"/>
      <c r="J29" s="52"/>
      <c r="K29" s="66"/>
      <c r="L29" s="17"/>
      <c r="M29" s="36"/>
      <c r="N29" s="37"/>
    </row>
    <row r="30" spans="2:14" ht="18" customHeight="1" x14ac:dyDescent="0.2">
      <c r="B30" s="8"/>
      <c r="C30" s="44" t="s">
        <v>9</v>
      </c>
      <c r="D30" s="45"/>
      <c r="E30" s="44"/>
      <c r="F30" s="45"/>
      <c r="G30" s="44" t="s">
        <v>9</v>
      </c>
      <c r="H30" s="45"/>
      <c r="I30" s="50"/>
      <c r="J30" s="51"/>
      <c r="K30" s="66"/>
      <c r="L30" s="17"/>
      <c r="M30" s="36"/>
      <c r="N30" s="37"/>
    </row>
    <row r="31" spans="2:14" ht="18" customHeight="1" x14ac:dyDescent="0.2">
      <c r="B31" s="6"/>
      <c r="C31" s="46" t="s">
        <v>10</v>
      </c>
      <c r="D31" s="47"/>
      <c r="E31" s="46"/>
      <c r="F31" s="47"/>
      <c r="G31" s="46" t="s">
        <v>10</v>
      </c>
      <c r="H31" s="47"/>
      <c r="I31" s="46"/>
      <c r="J31" s="52"/>
      <c r="K31" s="14"/>
      <c r="L31" s="17"/>
      <c r="M31" s="36"/>
      <c r="N31" s="37"/>
    </row>
    <row r="32" spans="2:14" ht="18" customHeight="1" x14ac:dyDescent="0.2">
      <c r="B32" s="8"/>
      <c r="C32" s="44"/>
      <c r="D32" s="45"/>
      <c r="E32" s="44"/>
      <c r="F32" s="45"/>
      <c r="G32" s="44"/>
      <c r="H32" s="45"/>
      <c r="I32" s="53"/>
      <c r="J32" s="54"/>
      <c r="K32" s="14"/>
      <c r="L32" s="17"/>
      <c r="M32" s="36"/>
      <c r="N32" s="37"/>
    </row>
    <row r="33" spans="2:14" ht="18" customHeight="1" x14ac:dyDescent="0.2">
      <c r="B33" s="7"/>
      <c r="C33" s="48"/>
      <c r="D33" s="49"/>
      <c r="E33" s="48"/>
      <c r="F33" s="49"/>
      <c r="G33" s="48"/>
      <c r="H33" s="49"/>
      <c r="I33" s="55"/>
      <c r="J33" s="56"/>
      <c r="K33" s="15"/>
      <c r="L33" s="20"/>
      <c r="M33" s="38"/>
      <c r="N33" s="39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VLOOKUP(DAY(C4),ÖdevGünleri,1,FALSE)=DAY(C4)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Oca</vt:lpstr>
      <vt:lpstr>Şub</vt:lpstr>
      <vt:lpstr>Mar</vt:lpstr>
      <vt:lpstr>Nis</vt:lpstr>
      <vt:lpstr>May</vt:lpstr>
      <vt:lpstr>Haz</vt:lpstr>
      <vt:lpstr>Tem</vt:lpstr>
      <vt:lpstr>Ağu</vt:lpstr>
      <vt:lpstr>Eyl</vt:lpstr>
      <vt:lpstr>Eki</vt:lpstr>
      <vt:lpstr>Kas</vt:lpstr>
      <vt:lpstr>Ara</vt:lpstr>
      <vt:lpstr>Ağu!ÖdevGünleri</vt:lpstr>
      <vt:lpstr>Ara!ÖdevGünleri</vt:lpstr>
      <vt:lpstr>Eki!ÖdevGünleri</vt:lpstr>
      <vt:lpstr>Eyl!ÖdevGünleri</vt:lpstr>
      <vt:lpstr>Haz!ÖdevGünleri</vt:lpstr>
      <vt:lpstr>Kas!ÖdevGünleri</vt:lpstr>
      <vt:lpstr>Mar!ÖdevGünleri</vt:lpstr>
      <vt:lpstr>May!ÖdevGünleri</vt:lpstr>
      <vt:lpstr>Nis!ÖdevGünleri</vt:lpstr>
      <vt:lpstr>Şub!ÖdevGünleri</vt:lpstr>
      <vt:lpstr>Tem!ÖdevGünleri</vt:lpstr>
      <vt:lpstr>ÖdevGünleri</vt:lpstr>
      <vt:lpstr>Ağu!ÖnemliTarihlerTablosu</vt:lpstr>
      <vt:lpstr>Ara!ÖnemliTarihlerTablosu</vt:lpstr>
      <vt:lpstr>Eki!ÖnemliTarihlerTablosu</vt:lpstr>
      <vt:lpstr>Eyl!ÖnemliTarihlerTablosu</vt:lpstr>
      <vt:lpstr>Haz!ÖnemliTarihlerTablosu</vt:lpstr>
      <vt:lpstr>Kas!ÖnemliTarihlerTablosu</vt:lpstr>
      <vt:lpstr>Mar!ÖnemliTarihlerTablosu</vt:lpstr>
      <vt:lpstr>May!ÖnemliTarihlerTablosu</vt:lpstr>
      <vt:lpstr>Nis!ÖnemliTarihlerTablosu</vt:lpstr>
      <vt:lpstr>Şub!ÖnemliTarihlerTablosu</vt:lpstr>
      <vt:lpstr>Tem!ÖnemliTarihlerTablosu</vt:lpstr>
      <vt:lpstr>ÖnemliTarihlerTablosu</vt:lpstr>
      <vt:lpstr>Ağu!Print_Area</vt:lpstr>
      <vt:lpstr>Ara!Print_Area</vt:lpstr>
      <vt:lpstr>Eki!Print_Area</vt:lpstr>
      <vt:lpstr>Eyl!Print_Area</vt:lpstr>
      <vt:lpstr>Haz!Print_Area</vt:lpstr>
      <vt:lpstr>Kas!Print_Area</vt:lpstr>
      <vt:lpstr>Mar!Print_Area</vt:lpstr>
      <vt:lpstr>May!Print_Area</vt:lpstr>
      <vt:lpstr>Nis!Print_Area</vt:lpstr>
      <vt:lpstr>Oca!Print_Area</vt:lpstr>
      <vt:lpstr>Şub!Print_Area</vt:lpstr>
      <vt:lpstr>Tem!Print_Area</vt:lpstr>
      <vt:lpstr>TakvimYılı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2013-11-22T23:21:45Z</dcterms:created>
  <dcterms:modified xsi:type="dcterms:W3CDTF">2015-10-27T17:30:56Z</dcterms:modified>
</cp:coreProperties>
</file>