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autoCompressPictures="0"/>
  <xr:revisionPtr revIDLastSave="0" documentId="13_ncr:1_{78CF261C-9DF3-4BF2-B211-487B4DFFF4F5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Začetek" sheetId="2" r:id="rId1"/>
    <sheet name="Letni koledar" sheetId="1" r:id="rId2"/>
  </sheets>
  <definedNames>
    <definedName name="AprNed1">DATE(KoledarskoLeto,4,1)-WEEKDAY(DATE(KoledarskoLeto,4,1))+1</definedName>
    <definedName name="AvgNed1">DATE(KoledarskoLeto,8,1)-WEEKDAY(DATE(KoledarskoLeto,8,1))+1</definedName>
    <definedName name="DecNed1">DATE(KoledarskoLeto,12,1)-WEEKDAY(DATE(KoledarskoLeto,12,1))+1</definedName>
    <definedName name="FebNed1">DATE(KoledarskoLeto,2,1)-WEEKDAY(DATE(KoledarskoLeto,2,1))+1</definedName>
    <definedName name="JanNed1">DATE(KoledarskoLeto,1,1)-WEEKDAY(DATE(KoledarskoLeto,1,1))+1</definedName>
    <definedName name="JulNed1">DATE(KoledarskoLeto,7,1)-WEEKDAY(DATE(KoledarskoLeto,7,1))+1</definedName>
    <definedName name="JunNed1">DATE(KoledarskoLeto,6,1)-WEEKDAY(DATE(KoledarskoLeto,6,1))+1</definedName>
    <definedName name="KoledarskoLeto">'Letni koledar'!$C$1</definedName>
    <definedName name="MajNed1">DATE(KoledarskoLeto,5,1)-WEEKDAY(DATE(KoledarskoLeto,5,1))+1</definedName>
    <definedName name="MarNed1">DATE(KoledarskoLeto,3,1)-WEEKDAY(DATE(KoledarskoLeto,3,1))+1</definedName>
    <definedName name="NovNed1">DATE(KoledarskoLeto,11,1)-WEEKDAY(DATE(KoledarskoLeto,11,1))+1</definedName>
    <definedName name="OktNed1">DATE(KoledarskoLeto,10,1)-WEEKDAY(DATE(KoledarskoLeto,10,1))+1</definedName>
    <definedName name="_xlnm.Print_Area" localSheetId="1">'Letni koledar'!$B$1:$W$55</definedName>
    <definedName name="SepNed1">DATE(KoledarskoLeto,9,1)-WEEKDAY(DATE(KoledarskoLeto,9,1))+1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<sst xmlns="http://schemas.openxmlformats.org/spreadsheetml/2006/main" count="135" uniqueCount="58">
  <si>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O TEJ PREDLOGI</t>
  </si>
  <si>
    <t>S to predlogo lahko ustvarite osebni koledar za malo podjetje za poljubno leto.</t>
  </si>
  <si>
    <t>Vnesite ime podjetja in podatke za stik ter dodajte logotip podjetja.</t>
  </si>
  <si>
    <t>Izberite leto ter vnesite pomembne datume in dogodke.</t>
  </si>
  <si>
    <t>Opomba: </t>
  </si>
  <si>
    <t xml:space="preserve">Dodatna navodila so na voljo v stolpcu A na delovnem listu LETNI KOLEDAR. To besedilo je bilo namenoma skrito. Če želite besedilo premakniti, izberite stolpec A, nato izberite še IZBRIŠI. </t>
  </si>
  <si>
    <t>Če želite izvedeti več o tabelah, v tabeli pritisnite tipko SHIFT in nato F10, izberite možnost TABELA, nato pa izberite NADOMESTNO BESEDILO.</t>
  </si>
  <si>
    <t>Na tem delovnem listu lahko ustvarite koledar za malo podjetje za poljubno leto. Koristna navodila za uporabo tega delovnega lista najdete v celicah v tem stolpcu. Izberite vrtavko v celici na desni, če želite spremeniti leto v celici C1. Oznaka »Pomembni datumi« je v celici U1</t>
  </si>
  <si>
    <t>Namig je v celici na desni</t>
  </si>
  <si>
    <t>Koledar izbranega leta je v celicah od C3 do Q55, januarski koledar je v celicah od C4 do I10, februarski koledar pa v celicah od K4 do Q10. Januarska oznaka je v celici C3, februarska pa v celici K3. Pomembne datume in dogodke vnesite v celice od U3 do U42.</t>
  </si>
  <si>
    <t>Tabela januarskega koledarja je v celicah od C4 do I10, tabela februarskega koledarja pa v celicah od K4 do Q10. Naslednji korak je v celici A12.</t>
  </si>
  <si>
    <t>Marčevska oznaka je v celici C12, aprilska pa v celici K12.</t>
  </si>
  <si>
    <t>Tabela marčevskega koledarja je v celicah od C13 do I19, tabela aprilskega koledarja pa v celicah od K13 do Q19. Naslednji korak je v celici A21.</t>
  </si>
  <si>
    <t>Majska oznaka je v celici C21, junijska pa v celici K21.</t>
  </si>
  <si>
    <t>Tabela majskega koledarja je v celicah od C22 do I28, tabela junijskega koledarja pa v celicah od K22 do Q28. Naslednji korak je v celici A30.</t>
  </si>
  <si>
    <t>Junijska oznaka je v celici C30, avgustovska pa v celici K30.</t>
  </si>
  <si>
    <t>Tabela julijskega koledarja je v celicah od C31 do I37, tabela avgustovskega koledarja pa v celicah od K31 do Q37. Naslednje navodilo je v celici A39.</t>
  </si>
  <si>
    <t>Septembrska oznaka je v celici C39, oktobrska pa v celici K39.</t>
  </si>
  <si>
    <t>Tabela septembrskega koledarja je v celicah od C40 do I46, tabela oktobrskega koledarja pa v celicah od K40 do Q46. Naslednji korak je v celici A44.</t>
  </si>
  <si>
    <t>Vnesite naslov v celico U44.</t>
  </si>
  <si>
    <t>V celico U45 vnesite mesto, državo in poštno številko. Naslednje navodilo je v celici A47.</t>
  </si>
  <si>
    <t>V celico U47 vnesite telefonsko številko podjetja.</t>
  </si>
  <si>
    <t>Novembrska oznaka je v celici C48, decembrska pa v celici K48. V celico U48 vnesite e-poštni naslov.</t>
  </si>
  <si>
    <t>Tabela novembrskega koledarja je v celicah od C49 do I55, tabela decembrskega koledarja pa v celicah od K49 do Q55. Naslednji korak je v celici A51.</t>
  </si>
  <si>
    <t>V celico U51 dodajte logotip podjetja.</t>
  </si>
  <si>
    <t>JANUAR</t>
  </si>
  <si>
    <t>PON</t>
  </si>
  <si>
    <t>MAREC</t>
  </si>
  <si>
    <t>MAJ</t>
  </si>
  <si>
    <t>JULIJ</t>
  </si>
  <si>
    <t>SEPTEMBER</t>
  </si>
  <si>
    <t>NOVEMBER</t>
  </si>
  <si>
    <t>TOR</t>
  </si>
  <si>
    <t>SRE</t>
  </si>
  <si>
    <t>ČET</t>
  </si>
  <si>
    <t>PET</t>
  </si>
  <si>
    <t>SOB</t>
  </si>
  <si>
    <t>NED</t>
  </si>
  <si>
    <t>FEBRUAR</t>
  </si>
  <si>
    <t>APRIL</t>
  </si>
  <si>
    <t>JUNIJ</t>
  </si>
  <si>
    <t>AVGUST</t>
  </si>
  <si>
    <t>OKTOBER</t>
  </si>
  <si>
    <t>DECEMBER</t>
  </si>
  <si>
    <t>POMEMBNI DATUMI</t>
  </si>
  <si>
    <t>1. JANUAR</t>
  </si>
  <si>
    <t>NOVO LETO</t>
  </si>
  <si>
    <t>14. FEBRUAR</t>
  </si>
  <si>
    <t>VALENITNOVO</t>
  </si>
  <si>
    <t>22. FEBRUAR</t>
  </si>
  <si>
    <t>DAN ODPRTIH VRAT</t>
  </si>
  <si>
    <t>Naslov</t>
  </si>
  <si>
    <t>Poštna številka, mesto</t>
  </si>
  <si>
    <t>Telefon</t>
  </si>
  <si>
    <t>E-poštni naslov</t>
  </si>
  <si>
    <t>Spletno mesto</t>
  </si>
  <si>
    <t>Označba mesta za logotip je v tej celici.</t>
  </si>
  <si>
    <t>Če želite spremeniti koledarsko leto, uporabite pomikalnik.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</si>
</sst>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;;;"/>
    <numFmt numFmtId="167" formatCode="d"/>
  </numFmts>
  <fonts count="3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2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10" borderId="9" applyNumberFormat="0" applyFont="0" applyAlignment="0" applyProtection="0"/>
    <xf numFmtId="0" fontId="3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49" fontId="12" fillId="0" borderId="0" xfId="0" applyNumberFormat="1" applyFont="1"/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49" fontId="16" fillId="0" borderId="1" xfId="0" applyNumberFormat="1" applyFont="1" applyBorder="1"/>
    <xf numFmtId="49" fontId="16" fillId="0" borderId="0" xfId="0" applyNumberFormat="1" applyFont="1"/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1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2" borderId="0" xfId="0" applyFill="1"/>
    <xf numFmtId="167" fontId="0" fillId="0" borderId="0" xfId="0" applyNumberFormat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8" builtinId="16" customBuiltin="1"/>
    <cellStyle name="Heading 2" xfId="1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Listi" descr="Šest listov, prikazanih v paru in samostojno na različnih razdalja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Vrtavka" descr="Z gumbom vrtavke spremenite koledarsko leto ali pa vnesite leto v celico C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tip" descr="Označba mesta za logotip za dodajanje logotipa podjetj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September" displayName="September" ref="C40:I46" totalsRowShown="0" headerRowDxfId="107" dataDxfId="106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ON" dataDxfId="105"/>
    <tableColumn id="2" xr3:uid="{00000000-0010-0000-0000-000002000000}" name="TOR" dataDxfId="104"/>
    <tableColumn id="3" xr3:uid="{00000000-0010-0000-0000-000003000000}" name="SRE" dataDxfId="103"/>
    <tableColumn id="4" xr3:uid="{00000000-0010-0000-0000-000004000000}" name="ČET" dataDxfId="102"/>
    <tableColumn id="5" xr3:uid="{00000000-0010-0000-0000-000005000000}" name="PET" dataDxfId="101"/>
    <tableColumn id="6" xr3:uid="{00000000-0010-0000-0000-000006000000}" name="SOB" dataDxfId="100"/>
    <tableColumn id="7" xr3:uid="{00000000-0010-0000-0000-000007000000}" name="NED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september v tej tabeli je samodejno posodobljen z imeni dni v tednu in datumi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April" displayName="April" ref="K13:Q19" totalsRowShown="0" headerRowDxfId="26" dataDxfId="25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PON" dataDxfId="24"/>
    <tableColumn id="2" xr3:uid="{00000000-0010-0000-0900-000002000000}" name="TOR" dataDxfId="23"/>
    <tableColumn id="3" xr3:uid="{00000000-0010-0000-0900-000003000000}" name="SRE" dataDxfId="22"/>
    <tableColumn id="4" xr3:uid="{00000000-0010-0000-0900-000004000000}" name="ČET" dataDxfId="21"/>
    <tableColumn id="5" xr3:uid="{00000000-0010-0000-0900-000005000000}" name="PET" dataDxfId="20"/>
    <tableColumn id="6" xr3:uid="{00000000-0010-0000-0900-000006000000}" name="SOB" dataDxfId="19"/>
    <tableColumn id="7" xr3:uid="{00000000-0010-0000-0900-000007000000}" name="NED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april v tej tabeli je samodejno posodobljen z imeni dni v tednu in datumi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Februar" displayName="Februar" ref="K4:Q10" totalsRowShown="0" headerRowDxfId="17" dataDxfId="16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PON" dataDxfId="15"/>
    <tableColumn id="2" xr3:uid="{00000000-0010-0000-0A00-000002000000}" name="TOR" dataDxfId="14"/>
    <tableColumn id="3" xr3:uid="{00000000-0010-0000-0A00-000003000000}" name="SRE" dataDxfId="13"/>
    <tableColumn id="4" xr3:uid="{00000000-0010-0000-0A00-000004000000}" name="ČET" dataDxfId="12"/>
    <tableColumn id="5" xr3:uid="{00000000-0010-0000-0A00-000005000000}" name="PET" dataDxfId="11"/>
    <tableColumn id="6" xr3:uid="{00000000-0010-0000-0A00-000006000000}" name="SOB" dataDxfId="10"/>
    <tableColumn id="7" xr3:uid="{00000000-0010-0000-0A00-000007000000}" name="NED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februar v tej tabeli je samodejno posodobljen z imeni dni v tednu in datumi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Januar" displayName="Januar" ref="C4:I10" totalsRowShown="0" headerRowDxfId="8" dataDxfId="7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PON" dataDxfId="6"/>
    <tableColumn id="2" xr3:uid="{00000000-0010-0000-0B00-000002000000}" name="TOR" dataDxfId="5"/>
    <tableColumn id="3" xr3:uid="{00000000-0010-0000-0B00-000003000000}" name="SRE" dataDxfId="4"/>
    <tableColumn id="4" xr3:uid="{00000000-0010-0000-0B00-000004000000}" name="ČET" dataDxfId="3"/>
    <tableColumn id="5" xr3:uid="{00000000-0010-0000-0B00-000005000000}" name="PET" dataDxfId="2"/>
    <tableColumn id="6" xr3:uid="{00000000-0010-0000-0B00-000006000000}" name="SOB" dataDxfId="1"/>
    <tableColumn id="7" xr3:uid="{00000000-0010-0000-0B00-000007000000}" name="NED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januar v tej tabeli je samodejno posodobljen z imeni dni v tednu in datum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Oktober" displayName="Oktober" ref="K40:Q46" totalsRowShown="0" headerRowDxfId="98" dataDxfId="97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N" dataDxfId="96"/>
    <tableColumn id="2" xr3:uid="{00000000-0010-0000-0100-000002000000}" name="TOR" dataDxfId="95"/>
    <tableColumn id="3" xr3:uid="{00000000-0010-0000-0100-000003000000}" name="SRE" dataDxfId="94"/>
    <tableColumn id="4" xr3:uid="{00000000-0010-0000-0100-000004000000}" name="ČET" dataDxfId="93"/>
    <tableColumn id="5" xr3:uid="{00000000-0010-0000-0100-000005000000}" name="PET" dataDxfId="92"/>
    <tableColumn id="6" xr3:uid="{00000000-0010-0000-0100-000006000000}" name="SOB" dataDxfId="91"/>
    <tableColumn id="7" xr3:uid="{00000000-0010-0000-0100-000007000000}" name="NED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oktober v tej tabeli je samodejno posodobljen z imeni dni v tednu in datum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December" displayName="December" ref="K49:Q55" totalsRowShown="0" headerRowDxfId="89" dataDxfId="88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N" dataDxfId="87"/>
    <tableColumn id="2" xr3:uid="{00000000-0010-0000-0200-000002000000}" name="TOR" dataDxfId="86"/>
    <tableColumn id="3" xr3:uid="{00000000-0010-0000-0200-000003000000}" name="SRE" dataDxfId="85"/>
    <tableColumn id="4" xr3:uid="{00000000-0010-0000-0200-000004000000}" name="ČET" dataDxfId="84"/>
    <tableColumn id="5" xr3:uid="{00000000-0010-0000-0200-000005000000}" name="PET" dataDxfId="83"/>
    <tableColumn id="6" xr3:uid="{00000000-0010-0000-0200-000006000000}" name="SOB" dataDxfId="82"/>
    <tableColumn id="7" xr3:uid="{00000000-0010-0000-0200-000007000000}" name="NED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december v tej tabeli je samodejno posodobljen z imeni dni v tednu in datumi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November" displayName="November" ref="C49:I55" totalsRowShown="0" headerRowDxfId="80" dataDxfId="79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PON" dataDxfId="78"/>
    <tableColumn id="2" xr3:uid="{00000000-0010-0000-0300-000002000000}" name="TOR" dataDxfId="77"/>
    <tableColumn id="3" xr3:uid="{00000000-0010-0000-0300-000003000000}" name="SRE" dataDxfId="76"/>
    <tableColumn id="4" xr3:uid="{00000000-0010-0000-0300-000004000000}" name="ČET" dataDxfId="75"/>
    <tableColumn id="5" xr3:uid="{00000000-0010-0000-0300-000005000000}" name="PET" dataDxfId="74"/>
    <tableColumn id="6" xr3:uid="{00000000-0010-0000-0300-000006000000}" name="SOB" dataDxfId="73"/>
    <tableColumn id="7" xr3:uid="{00000000-0010-0000-0300-000007000000}" name="NED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november v tej tabeli je samodejno posodobljen z imeni dni v tednu in datumi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Avgust" displayName="Avgust" ref="K31:Q37" totalsRowShown="0" headerRowDxfId="71" dataDxfId="70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PON" dataDxfId="69"/>
    <tableColumn id="2" xr3:uid="{00000000-0010-0000-0400-000002000000}" name="TOR" dataDxfId="68"/>
    <tableColumn id="3" xr3:uid="{00000000-0010-0000-0400-000003000000}" name="SRE" dataDxfId="67"/>
    <tableColumn id="4" xr3:uid="{00000000-0010-0000-0400-000004000000}" name="ČET" dataDxfId="66"/>
    <tableColumn id="5" xr3:uid="{00000000-0010-0000-0400-000005000000}" name="PET" dataDxfId="65"/>
    <tableColumn id="6" xr3:uid="{00000000-0010-0000-0400-000006000000}" name="SOB" dataDxfId="64"/>
    <tableColumn id="7" xr3:uid="{00000000-0010-0000-0400-000007000000}" name="NED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avgust v tej tabeli je samodejno posodobljen z imeni dni v tednu in datumi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Julij" displayName="Julij" ref="C31:I37" totalsRowShown="0" headerRowDxfId="62" dataDxfId="61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PON" dataDxfId="60"/>
    <tableColumn id="2" xr3:uid="{00000000-0010-0000-0500-000002000000}" name="TOR" dataDxfId="59"/>
    <tableColumn id="3" xr3:uid="{00000000-0010-0000-0500-000003000000}" name="SRE" dataDxfId="58"/>
    <tableColumn id="4" xr3:uid="{00000000-0010-0000-0500-000004000000}" name="ČET" dataDxfId="57"/>
    <tableColumn id="5" xr3:uid="{00000000-0010-0000-0500-000005000000}" name="PET" dataDxfId="56"/>
    <tableColumn id="6" xr3:uid="{00000000-0010-0000-0500-000006000000}" name="SOB" dataDxfId="55"/>
    <tableColumn id="7" xr3:uid="{00000000-0010-0000-0500-000007000000}" name="NED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julij v tej tabeli je samodejno posodobljen z imeni dni v tednu in datumi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Junij" displayName="Junij" ref="K22:Q28" totalsRowShown="0" headerRowDxfId="53" dataDxfId="52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PON" dataDxfId="51"/>
    <tableColumn id="2" xr3:uid="{00000000-0010-0000-0600-000002000000}" name="TOR" dataDxfId="50"/>
    <tableColumn id="3" xr3:uid="{00000000-0010-0000-0600-000003000000}" name="SRE" dataDxfId="49"/>
    <tableColumn id="4" xr3:uid="{00000000-0010-0000-0600-000004000000}" name="ČET" dataDxfId="48"/>
    <tableColumn id="5" xr3:uid="{00000000-0010-0000-0600-000005000000}" name="PET" dataDxfId="47"/>
    <tableColumn id="6" xr3:uid="{00000000-0010-0000-0600-000006000000}" name="SOB" dataDxfId="46"/>
    <tableColumn id="7" xr3:uid="{00000000-0010-0000-0600-000007000000}" name="NED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junij v tej tabeli je samodejno posodobljen z imeni dni v tednu in datumi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Maj" displayName="Maj" ref="C22:I28" totalsRowShown="0" headerRowDxfId="44" dataDxfId="43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PON" dataDxfId="42"/>
    <tableColumn id="2" xr3:uid="{00000000-0010-0000-0700-000002000000}" name="TOR" dataDxfId="41"/>
    <tableColumn id="3" xr3:uid="{00000000-0010-0000-0700-000003000000}" name="SRE" dataDxfId="40"/>
    <tableColumn id="4" xr3:uid="{00000000-0010-0000-0700-000004000000}" name="ČET" dataDxfId="39"/>
    <tableColumn id="5" xr3:uid="{00000000-0010-0000-0700-000005000000}" name="PET" dataDxfId="38"/>
    <tableColumn id="6" xr3:uid="{00000000-0010-0000-0700-000006000000}" name="SOB" dataDxfId="37"/>
    <tableColumn id="7" xr3:uid="{00000000-0010-0000-0700-000007000000}" name="NED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maj v tej tabeli je samodejno posodobljen z imeni dni v tednu in datumi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Marec" displayName="Marec" ref="C13:I19" totalsRowShown="0" headerRowDxfId="35" dataDxfId="34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PON" dataDxfId="33"/>
    <tableColumn id="2" xr3:uid="{00000000-0010-0000-0800-000002000000}" name="TOR" dataDxfId="32"/>
    <tableColumn id="3" xr3:uid="{00000000-0010-0000-0800-000003000000}" name="SRE" dataDxfId="31"/>
    <tableColumn id="4" xr3:uid="{00000000-0010-0000-0800-000004000000}" name="ČET" dataDxfId="30"/>
    <tableColumn id="5" xr3:uid="{00000000-0010-0000-0800-000005000000}" name="PET" dataDxfId="29"/>
    <tableColumn id="6" xr3:uid="{00000000-0010-0000-0800-000006000000}" name="SOB" dataDxfId="28"/>
    <tableColumn id="7" xr3:uid="{00000000-0010-0000-0800-000007000000}" name="NED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oledar za marec v tej tabeli je samodejno posodobljen z imeni dni v tednu in datumi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workbookViewId="0"/>
  </sheetViews>
  <sheetFormatPr defaultRowHeight="11.25" x14ac:dyDescent="0.2"/>
  <cols>
    <col min="1" max="1" width="2.83203125" customWidth="1"/>
    <col min="2" max="2" width="92.83203125" style="16" customWidth="1"/>
    <col min="3" max="3" width="2.83203125" customWidth="1"/>
  </cols>
  <sheetData>
    <row r="1" spans="2:2" ht="30" customHeight="1" x14ac:dyDescent="0.2">
      <c r="B1" s="13" t="s">
        <v>0</v>
      </c>
    </row>
    <row r="2" spans="2:2" ht="30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5">
      <c r="B5" s="15" t="s">
        <v>4</v>
      </c>
    </row>
    <row r="6" spans="2:2" ht="65.25" customHeight="1" x14ac:dyDescent="0.2">
      <c r="B6" s="20" t="s">
        <v>5</v>
      </c>
    </row>
    <row r="7" spans="2:2" ht="30" x14ac:dyDescent="0.2">
      <c r="B7" s="14" t="s">
        <v>6</v>
      </c>
    </row>
    <row r="8" spans="2:2" ht="15" x14ac:dyDescent="0.2">
      <c r="B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tabSelected="1" zoomScaleNormal="100" workbookViewId="0"/>
  </sheetViews>
  <sheetFormatPr defaultColWidth="9.5" defaultRowHeight="11.25" x14ac:dyDescent="0.2"/>
  <cols>
    <col min="1" max="1" width="2.5" style="19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7" t="s">
        <v>7</v>
      </c>
      <c r="B1" s="4"/>
      <c r="C1" s="26">
        <v>2020</v>
      </c>
      <c r="D1" s="26"/>
      <c r="E1" s="26"/>
      <c r="F1" s="26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7" t="s">
        <v>44</v>
      </c>
      <c r="V1" s="4"/>
      <c r="W1" s="4"/>
    </row>
    <row r="2" spans="1:23" ht="15" customHeight="1" x14ac:dyDescent="0.2">
      <c r="A2" s="18" t="s">
        <v>8</v>
      </c>
      <c r="B2" s="29" t="s">
        <v>57</v>
      </c>
      <c r="C2" s="29"/>
      <c r="D2" s="29"/>
      <c r="E2" s="29"/>
      <c r="F2" s="29"/>
      <c r="G2" s="29"/>
      <c r="H2" s="29"/>
      <c r="I2" s="29"/>
      <c r="J2" s="29"/>
      <c r="K2" s="29"/>
      <c r="L2" s="29"/>
      <c r="S2" s="24"/>
    </row>
    <row r="3" spans="1:23" ht="15" customHeight="1" x14ac:dyDescent="0.25">
      <c r="A3" s="19" t="s">
        <v>9</v>
      </c>
      <c r="C3" s="27" t="s">
        <v>25</v>
      </c>
      <c r="D3" s="27"/>
      <c r="E3" s="27"/>
      <c r="F3" s="27"/>
      <c r="G3" s="27"/>
      <c r="H3" s="27"/>
      <c r="I3" s="27"/>
      <c r="J3" s="21"/>
      <c r="K3" s="27" t="s">
        <v>38</v>
      </c>
      <c r="L3" s="27"/>
      <c r="M3" s="27"/>
      <c r="N3" s="27"/>
      <c r="O3" s="27"/>
      <c r="P3" s="27"/>
      <c r="Q3" s="27"/>
      <c r="S3" s="24"/>
      <c r="U3" s="10" t="s">
        <v>45</v>
      </c>
      <c r="V3" s="30"/>
      <c r="W3" s="30"/>
    </row>
    <row r="4" spans="1:23" ht="15" customHeight="1" x14ac:dyDescent="0.2">
      <c r="A4" s="18" t="s">
        <v>10</v>
      </c>
      <c r="C4" s="11" t="s">
        <v>26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37</v>
      </c>
      <c r="J4" s="22"/>
      <c r="K4" s="11" t="s">
        <v>26</v>
      </c>
      <c r="L4" s="11" t="s">
        <v>32</v>
      </c>
      <c r="M4" s="11" t="s">
        <v>33</v>
      </c>
      <c r="N4" s="11" t="s">
        <v>34</v>
      </c>
      <c r="O4" s="11" t="s">
        <v>35</v>
      </c>
      <c r="P4" s="11" t="s">
        <v>36</v>
      </c>
      <c r="Q4" s="11" t="s">
        <v>37</v>
      </c>
      <c r="S4" s="24"/>
      <c r="U4" s="3" t="s">
        <v>46</v>
      </c>
      <c r="V4" s="30"/>
      <c r="W4" s="30"/>
    </row>
    <row r="5" spans="1:23" ht="15" customHeight="1" x14ac:dyDescent="0.2">
      <c r="A5" s="18"/>
      <c r="C5" s="25" t="str">
        <f>IF(DAY(JanNed1)=1,"",IF(AND(YEAR(JanNed1+1)=KoledarskoLeto,MONTH(JanNed1+1)=1),JanNed1+1,""))</f>
        <v/>
      </c>
      <c r="D5" s="25" t="str">
        <f>IF(DAY(JanNed1)=1,"",IF(AND(YEAR(JanNed1+2)=KoledarskoLeto,MONTH(JanNed1+2)=1),JanNed1+2,""))</f>
        <v/>
      </c>
      <c r="E5" s="25">
        <f>IF(DAY(JanNed1)=1,"",IF(AND(YEAR(JanNed1+3)=KoledarskoLeto,MONTH(JanNed1+3)=1),JanNed1+3,""))</f>
        <v>43831</v>
      </c>
      <c r="F5" s="25">
        <f>IF(DAY(JanNed1)=1,"",IF(AND(YEAR(JanNed1+4)=KoledarskoLeto,MONTH(JanNed1+4)=1),JanNed1+4,""))</f>
        <v>43832</v>
      </c>
      <c r="G5" s="25">
        <f>IF(DAY(JanNed1)=1,"",IF(AND(YEAR(JanNed1+5)=KoledarskoLeto,MONTH(JanNed1+5)=1),JanNed1+5,""))</f>
        <v>43833</v>
      </c>
      <c r="H5" s="25">
        <f>IF(DAY(JanNed1)=1,"",IF(AND(YEAR(JanNed1+6)=KoledarskoLeto,MONTH(JanNed1+6)=1),JanNed1+6,""))</f>
        <v>43834</v>
      </c>
      <c r="I5" s="25">
        <f>IF(DAY(JanNed1)=1,IF(AND(YEAR(JanNed1)=KoledarskoLeto,MONTH(JanNed1)=1),JanNed1,""),IF(AND(YEAR(JanNed1+7)=KoledarskoLeto,MONTH(JanNed1+7)=1),JanNed1+7,""))</f>
        <v>43835</v>
      </c>
      <c r="J5" s="22"/>
      <c r="K5" s="25" t="str">
        <f>IF(DAY(FebNed1)=1,"",IF(AND(YEAR(FebNed1+1)=KoledarskoLeto,MONTH(FebNed1+1)=2),FebNed1+1,""))</f>
        <v/>
      </c>
      <c r="L5" s="25" t="str">
        <f>IF(DAY(FebNed1)=1,"",IF(AND(YEAR(FebNed1+2)=KoledarskoLeto,MONTH(FebNed1+2)=2),FebNed1+2,""))</f>
        <v/>
      </c>
      <c r="M5" s="25" t="str">
        <f>IF(DAY(FebNed1)=1,"",IF(AND(YEAR(FebNed1+3)=KoledarskoLeto,MONTH(FebNed1+3)=2),FebNed1+3,""))</f>
        <v/>
      </c>
      <c r="N5" s="25" t="str">
        <f>IF(DAY(FebNed1)=1,"",IF(AND(YEAR(FebNed1+4)=KoledarskoLeto,MONTH(FebNed1+4)=2),FebNed1+4,""))</f>
        <v/>
      </c>
      <c r="O5" s="25" t="str">
        <f>IF(DAY(FebNed1)=1,"",IF(AND(YEAR(FebNed1+5)=KoledarskoLeto,MONTH(FebNed1+5)=2),FebNed1+5,""))</f>
        <v/>
      </c>
      <c r="P5" s="25">
        <f>IF(DAY(FebNed1)=1,"",IF(AND(YEAR(FebNed1+6)=KoledarskoLeto,MONTH(FebNed1+6)=2),FebNed1+6,""))</f>
        <v>43862</v>
      </c>
      <c r="Q5" s="25">
        <f>IF(DAY(FebNed1)=1,IF(AND(YEAR(FebNed1)=KoledarskoLeto,MONTH(FebNed1)=2),FebNed1,""),IF(AND(YEAR(FebNed1+7)=KoledarskoLeto,MONTH(FebNed1+7)=2),FebNed1+7,""))</f>
        <v>43863</v>
      </c>
      <c r="S5" s="24"/>
      <c r="U5" s="2"/>
      <c r="V5" s="30"/>
      <c r="W5" s="30"/>
    </row>
    <row r="6" spans="1:23" ht="15" customHeight="1" x14ac:dyDescent="0.2">
      <c r="A6" s="18"/>
      <c r="C6" s="25">
        <f>IF(DAY(JanNed1)=1,IF(AND(YEAR(JanNed1+1)=KoledarskoLeto,MONTH(JanNed1+1)=1),JanNed1+1,""),IF(AND(YEAR(JanNed1+8)=KoledarskoLeto,MONTH(JanNed1+8)=1),JanNed1+8,""))</f>
        <v>43836</v>
      </c>
      <c r="D6" s="25">
        <f>IF(DAY(JanNed1)=1,IF(AND(YEAR(JanNed1+2)=KoledarskoLeto,MONTH(JanNed1+2)=1),JanNed1+2,""),IF(AND(YEAR(JanNed1+9)=KoledarskoLeto,MONTH(JanNed1+9)=1),JanNed1+9,""))</f>
        <v>43837</v>
      </c>
      <c r="E6" s="25">
        <f>IF(DAY(JanNed1)=1,IF(AND(YEAR(JanNed1+3)=KoledarskoLeto,MONTH(JanNed1+3)=1),JanNed1+3,""),IF(AND(YEAR(JanNed1+10)=KoledarskoLeto,MONTH(JanNed1+10)=1),JanNed1+10,""))</f>
        <v>43838</v>
      </c>
      <c r="F6" s="25">
        <f>IF(DAY(JanNed1)=1,IF(AND(YEAR(JanNed1+4)=KoledarskoLeto,MONTH(JanNed1+4)=1),JanNed1+4,""),IF(AND(YEAR(JanNed1+11)=KoledarskoLeto,MONTH(JanNed1+11)=1),JanNed1+11,""))</f>
        <v>43839</v>
      </c>
      <c r="G6" s="25">
        <f>IF(DAY(JanNed1)=1,IF(AND(YEAR(JanNed1+5)=KoledarskoLeto,MONTH(JanNed1+5)=1),JanNed1+5,""),IF(AND(YEAR(JanNed1+12)=KoledarskoLeto,MONTH(JanNed1+12)=1),JanNed1+12,""))</f>
        <v>43840</v>
      </c>
      <c r="H6" s="25">
        <f>IF(DAY(JanNed1)=1,IF(AND(YEAR(JanNed1+6)=KoledarskoLeto,MONTH(JanNed1+6)=1),JanNed1+6,""),IF(AND(YEAR(JanNed1+13)=KoledarskoLeto,MONTH(JanNed1+13)=1),JanNed1+13,""))</f>
        <v>43841</v>
      </c>
      <c r="I6" s="25">
        <f>IF(DAY(JanNed1)=1,IF(AND(YEAR(JanNed1+7)=KoledarskoLeto,MONTH(JanNed1+7)=1),JanNed1+7,""),IF(AND(YEAR(JanNed1+14)=KoledarskoLeto,MONTH(JanNed1+14)=1),JanNed1+14,""))</f>
        <v>43842</v>
      </c>
      <c r="J6" s="22"/>
      <c r="K6" s="25">
        <f>IF(DAY(FebNed1)=1,IF(AND(YEAR(FebNed1+1)=KoledarskoLeto,MONTH(FebNed1+1)=2),FebNed1+1,""),IF(AND(YEAR(FebNed1+8)=KoledarskoLeto,MONTH(FebNed1+8)=2),FebNed1+8,""))</f>
        <v>43864</v>
      </c>
      <c r="L6" s="25">
        <f>IF(DAY(FebNed1)=1,IF(AND(YEAR(FebNed1+2)=KoledarskoLeto,MONTH(FebNed1+2)=2),FebNed1+2,""),IF(AND(YEAR(FebNed1+9)=KoledarskoLeto,MONTH(FebNed1+9)=2),FebNed1+9,""))</f>
        <v>43865</v>
      </c>
      <c r="M6" s="25">
        <f>IF(DAY(FebNed1)=1,IF(AND(YEAR(FebNed1+3)=KoledarskoLeto,MONTH(FebNed1+3)=2),FebNed1+3,""),IF(AND(YEAR(FebNed1+10)=KoledarskoLeto,MONTH(FebNed1+10)=2),FebNed1+10,""))</f>
        <v>43866</v>
      </c>
      <c r="N6" s="25">
        <f>IF(DAY(FebNed1)=1,IF(AND(YEAR(FebNed1+4)=KoledarskoLeto,MONTH(FebNed1+4)=2),FebNed1+4,""),IF(AND(YEAR(FebNed1+11)=KoledarskoLeto,MONTH(FebNed1+11)=2),FebNed1+11,""))</f>
        <v>43867</v>
      </c>
      <c r="O6" s="25">
        <f>IF(DAY(FebNed1)=1,IF(AND(YEAR(FebNed1+5)=KoledarskoLeto,MONTH(FebNed1+5)=2),FebNed1+5,""),IF(AND(YEAR(FebNed1+12)=KoledarskoLeto,MONTH(FebNed1+12)=2),FebNed1+12,""))</f>
        <v>43868</v>
      </c>
      <c r="P6" s="25">
        <f>IF(DAY(FebNed1)=1,IF(AND(YEAR(FebNed1+6)=KoledarskoLeto,MONTH(FebNed1+6)=2),FebNed1+6,""),IF(AND(YEAR(FebNed1+13)=KoledarskoLeto,MONTH(FebNed1+13)=2),FebNed1+13,""))</f>
        <v>43869</v>
      </c>
      <c r="Q6" s="25">
        <f>IF(DAY(FebNed1)=1,IF(AND(YEAR(FebNed1+7)=KoledarskoLeto,MONTH(FebNed1+7)=2),FebNed1+7,""),IF(AND(YEAR(FebNed1+14)=KoledarskoLeto,MONTH(FebNed1+14)=2),FebNed1+14,""))</f>
        <v>43870</v>
      </c>
      <c r="S6" s="24"/>
      <c r="U6" s="10" t="s">
        <v>47</v>
      </c>
      <c r="V6" s="30"/>
      <c r="W6" s="30"/>
    </row>
    <row r="7" spans="1:23" ht="15" customHeight="1" x14ac:dyDescent="0.2">
      <c r="C7" s="25">
        <f>IF(DAY(JanNed1)=1,IF(AND(YEAR(JanNed1+8)=KoledarskoLeto,MONTH(JanNed1+8)=1),JanNed1+8,""),IF(AND(YEAR(JanNed1+15)=KoledarskoLeto,MONTH(JanNed1+15)=1),JanNed1+15,""))</f>
        <v>43843</v>
      </c>
      <c r="D7" s="25">
        <f>IF(DAY(JanNed1)=1,IF(AND(YEAR(JanNed1+9)=KoledarskoLeto,MONTH(JanNed1+9)=1),JanNed1+9,""),IF(AND(YEAR(JanNed1+16)=KoledarskoLeto,MONTH(JanNed1+16)=1),JanNed1+16,""))</f>
        <v>43844</v>
      </c>
      <c r="E7" s="25">
        <f>IF(DAY(JanNed1)=1,IF(AND(YEAR(JanNed1+10)=KoledarskoLeto,MONTH(JanNed1+10)=1),JanNed1+10,""),IF(AND(YEAR(JanNed1+17)=KoledarskoLeto,MONTH(JanNed1+17)=1),JanNed1+17,""))</f>
        <v>43845</v>
      </c>
      <c r="F7" s="25">
        <f>IF(DAY(JanNed1)=1,IF(AND(YEAR(JanNed1+11)=KoledarskoLeto,MONTH(JanNed1+11)=1),JanNed1+11,""),IF(AND(YEAR(JanNed1+18)=KoledarskoLeto,MONTH(JanNed1+18)=1),JanNed1+18,""))</f>
        <v>43846</v>
      </c>
      <c r="G7" s="25">
        <f>IF(DAY(JanNed1)=1,IF(AND(YEAR(JanNed1+12)=KoledarskoLeto,MONTH(JanNed1+12)=1),JanNed1+12,""),IF(AND(YEAR(JanNed1+19)=KoledarskoLeto,MONTH(JanNed1+19)=1),JanNed1+19,""))</f>
        <v>43847</v>
      </c>
      <c r="H7" s="25">
        <f>IF(DAY(JanNed1)=1,IF(AND(YEAR(JanNed1+13)=KoledarskoLeto,MONTH(JanNed1+13)=1),JanNed1+13,""),IF(AND(YEAR(JanNed1+20)=KoledarskoLeto,MONTH(JanNed1+20)=1),JanNed1+20,""))</f>
        <v>43848</v>
      </c>
      <c r="I7" s="25">
        <f>IF(DAY(JanNed1)=1,IF(AND(YEAR(JanNed1+14)=KoledarskoLeto,MONTH(JanNed1+14)=1),JanNed1+14,""),IF(AND(YEAR(JanNed1+21)=KoledarskoLeto,MONTH(JanNed1+21)=1),JanNed1+21,""))</f>
        <v>43849</v>
      </c>
      <c r="J7" s="22"/>
      <c r="K7" s="25">
        <f>IF(DAY(FebNed1)=1,IF(AND(YEAR(FebNed1+8)=KoledarskoLeto,MONTH(FebNed1+8)=2),FebNed1+8,""),IF(AND(YEAR(FebNed1+15)=KoledarskoLeto,MONTH(FebNed1+15)=2),FebNed1+15,""))</f>
        <v>43871</v>
      </c>
      <c r="L7" s="25">
        <f>IF(DAY(FebNed1)=1,IF(AND(YEAR(FebNed1+9)=KoledarskoLeto,MONTH(FebNed1+9)=2),FebNed1+9,""),IF(AND(YEAR(FebNed1+16)=KoledarskoLeto,MONTH(FebNed1+16)=2),FebNed1+16,""))</f>
        <v>43872</v>
      </c>
      <c r="M7" s="25">
        <f>IF(DAY(FebNed1)=1,IF(AND(YEAR(FebNed1+10)=KoledarskoLeto,MONTH(FebNed1+10)=2),FebNed1+10,""),IF(AND(YEAR(FebNed1+17)=KoledarskoLeto,MONTH(FebNed1+17)=2),FebNed1+17,""))</f>
        <v>43873</v>
      </c>
      <c r="N7" s="25">
        <f>IF(DAY(FebNed1)=1,IF(AND(YEAR(FebNed1+11)=KoledarskoLeto,MONTH(FebNed1+11)=2),FebNed1+11,""),IF(AND(YEAR(FebNed1+18)=KoledarskoLeto,MONTH(FebNed1+18)=2),FebNed1+18,""))</f>
        <v>43874</v>
      </c>
      <c r="O7" s="25">
        <f>IF(DAY(FebNed1)=1,IF(AND(YEAR(FebNed1+12)=KoledarskoLeto,MONTH(FebNed1+12)=2),FebNed1+12,""),IF(AND(YEAR(FebNed1+19)=KoledarskoLeto,MONTH(FebNed1+19)=2),FebNed1+19,""))</f>
        <v>43875</v>
      </c>
      <c r="P7" s="25">
        <f>IF(DAY(FebNed1)=1,IF(AND(YEAR(FebNed1+13)=KoledarskoLeto,MONTH(FebNed1+13)=2),FebNed1+13,""),IF(AND(YEAR(FebNed1+20)=KoledarskoLeto,MONTH(FebNed1+20)=2),FebNed1+20,""))</f>
        <v>43876</v>
      </c>
      <c r="Q7" s="25">
        <f>IF(DAY(FebNed1)=1,IF(AND(YEAR(FebNed1+14)=KoledarskoLeto,MONTH(FebNed1+14)=2),FebNed1+14,""),IF(AND(YEAR(FebNed1+21)=KoledarskoLeto,MONTH(FebNed1+21)=2),FebNed1+21,""))</f>
        <v>43877</v>
      </c>
      <c r="S7" s="24"/>
      <c r="U7" s="3" t="s">
        <v>48</v>
      </c>
      <c r="V7" s="30"/>
      <c r="W7" s="30"/>
    </row>
    <row r="8" spans="1:23" ht="15" customHeight="1" x14ac:dyDescent="0.2">
      <c r="C8" s="25">
        <f>IF(DAY(JanNed1)=1,IF(AND(YEAR(JanNed1+15)=KoledarskoLeto,MONTH(JanNed1+15)=1),JanNed1+15,""),IF(AND(YEAR(JanNed1+22)=KoledarskoLeto,MONTH(JanNed1+22)=1),JanNed1+22,""))</f>
        <v>43850</v>
      </c>
      <c r="D8" s="25">
        <f>IF(DAY(JanNed1)=1,IF(AND(YEAR(JanNed1+16)=KoledarskoLeto,MONTH(JanNed1+16)=1),JanNed1+16,""),IF(AND(YEAR(JanNed1+23)=KoledarskoLeto,MONTH(JanNed1+23)=1),JanNed1+23,""))</f>
        <v>43851</v>
      </c>
      <c r="E8" s="25">
        <f>IF(DAY(JanNed1)=1,IF(AND(YEAR(JanNed1+17)=KoledarskoLeto,MONTH(JanNed1+17)=1),JanNed1+17,""),IF(AND(YEAR(JanNed1+24)=KoledarskoLeto,MONTH(JanNed1+24)=1),JanNed1+24,""))</f>
        <v>43852</v>
      </c>
      <c r="F8" s="25">
        <f>IF(DAY(JanNed1)=1,IF(AND(YEAR(JanNed1+18)=KoledarskoLeto,MONTH(JanNed1+18)=1),JanNed1+18,""),IF(AND(YEAR(JanNed1+25)=KoledarskoLeto,MONTH(JanNed1+25)=1),JanNed1+25,""))</f>
        <v>43853</v>
      </c>
      <c r="G8" s="25">
        <f>IF(DAY(JanNed1)=1,IF(AND(YEAR(JanNed1+19)=KoledarskoLeto,MONTH(JanNed1+19)=1),JanNed1+19,""),IF(AND(YEAR(JanNed1+26)=KoledarskoLeto,MONTH(JanNed1+26)=1),JanNed1+26,""))</f>
        <v>43854</v>
      </c>
      <c r="H8" s="25">
        <f>IF(DAY(JanNed1)=1,IF(AND(YEAR(JanNed1+20)=KoledarskoLeto,MONTH(JanNed1+20)=1),JanNed1+20,""),IF(AND(YEAR(JanNed1+27)=KoledarskoLeto,MONTH(JanNed1+27)=1),JanNed1+27,""))</f>
        <v>43855</v>
      </c>
      <c r="I8" s="25">
        <f>IF(DAY(JanNed1)=1,IF(AND(YEAR(JanNed1+21)=KoledarskoLeto,MONTH(JanNed1+21)=1),JanNed1+21,""),IF(AND(YEAR(JanNed1+28)=KoledarskoLeto,MONTH(JanNed1+28)=1),JanNed1+28,""))</f>
        <v>43856</v>
      </c>
      <c r="J8" s="22"/>
      <c r="K8" s="25">
        <f>IF(DAY(FebNed1)=1,IF(AND(YEAR(FebNed1+15)=KoledarskoLeto,MONTH(FebNed1+15)=2),FebNed1+15,""),IF(AND(YEAR(FebNed1+22)=KoledarskoLeto,MONTH(FebNed1+22)=2),FebNed1+22,""))</f>
        <v>43878</v>
      </c>
      <c r="L8" s="25">
        <f>IF(DAY(FebNed1)=1,IF(AND(YEAR(FebNed1+16)=KoledarskoLeto,MONTH(FebNed1+16)=2),FebNed1+16,""),IF(AND(YEAR(FebNed1+23)=KoledarskoLeto,MONTH(FebNed1+23)=2),FebNed1+23,""))</f>
        <v>43879</v>
      </c>
      <c r="M8" s="25">
        <f>IF(DAY(FebNed1)=1,IF(AND(YEAR(FebNed1+17)=KoledarskoLeto,MONTH(FebNed1+17)=2),FebNed1+17,""),IF(AND(YEAR(FebNed1+24)=KoledarskoLeto,MONTH(FebNed1+24)=2),FebNed1+24,""))</f>
        <v>43880</v>
      </c>
      <c r="N8" s="25">
        <f>IF(DAY(FebNed1)=1,IF(AND(YEAR(FebNed1+18)=KoledarskoLeto,MONTH(FebNed1+18)=2),FebNed1+18,""),IF(AND(YEAR(FebNed1+25)=KoledarskoLeto,MONTH(FebNed1+25)=2),FebNed1+25,""))</f>
        <v>43881</v>
      </c>
      <c r="O8" s="25">
        <f>IF(DAY(FebNed1)=1,IF(AND(YEAR(FebNed1+19)=KoledarskoLeto,MONTH(FebNed1+19)=2),FebNed1+19,""),IF(AND(YEAR(FebNed1+26)=KoledarskoLeto,MONTH(FebNed1+26)=2),FebNed1+26,""))</f>
        <v>43882</v>
      </c>
      <c r="P8" s="25">
        <f>IF(DAY(FebNed1)=1,IF(AND(YEAR(FebNed1+20)=KoledarskoLeto,MONTH(FebNed1+20)=2),FebNed1+20,""),IF(AND(YEAR(FebNed1+27)=KoledarskoLeto,MONTH(FebNed1+27)=2),FebNed1+27,""))</f>
        <v>43883</v>
      </c>
      <c r="Q8" s="25">
        <f>IF(DAY(FebNed1)=1,IF(AND(YEAR(FebNed1+21)=KoledarskoLeto,MONTH(FebNed1+21)=2),FebNed1+21,""),IF(AND(YEAR(FebNed1+28)=KoledarskoLeto,MONTH(FebNed1+28)=2),FebNed1+28,""))</f>
        <v>43884</v>
      </c>
      <c r="S8" s="24"/>
      <c r="U8" s="2"/>
      <c r="V8" s="30"/>
      <c r="W8" s="30"/>
    </row>
    <row r="9" spans="1:23" ht="15" customHeight="1" x14ac:dyDescent="0.2">
      <c r="C9" s="25">
        <f>IF(DAY(JanNed1)=1,IF(AND(YEAR(JanNed1+22)=KoledarskoLeto,MONTH(JanNed1+22)=1),JanNed1+22,""),IF(AND(YEAR(JanNed1+29)=KoledarskoLeto,MONTH(JanNed1+29)=1),JanNed1+29,""))</f>
        <v>43857</v>
      </c>
      <c r="D9" s="25">
        <f>IF(DAY(JanNed1)=1,IF(AND(YEAR(JanNed1+23)=KoledarskoLeto,MONTH(JanNed1+23)=1),JanNed1+23,""),IF(AND(YEAR(JanNed1+30)=KoledarskoLeto,MONTH(JanNed1+30)=1),JanNed1+30,""))</f>
        <v>43858</v>
      </c>
      <c r="E9" s="25">
        <f>IF(DAY(JanNed1)=1,IF(AND(YEAR(JanNed1+24)=KoledarskoLeto,MONTH(JanNed1+24)=1),JanNed1+24,""),IF(AND(YEAR(JanNed1+31)=KoledarskoLeto,MONTH(JanNed1+31)=1),JanNed1+31,""))</f>
        <v>43859</v>
      </c>
      <c r="F9" s="25">
        <f>IF(DAY(JanNed1)=1,IF(AND(YEAR(JanNed1+25)=KoledarskoLeto,MONTH(JanNed1+25)=1),JanNed1+25,""),IF(AND(YEAR(JanNed1+32)=KoledarskoLeto,MONTH(JanNed1+32)=1),JanNed1+32,""))</f>
        <v>43860</v>
      </c>
      <c r="G9" s="25">
        <f>IF(DAY(JanNed1)=1,IF(AND(YEAR(JanNed1+26)=KoledarskoLeto,MONTH(JanNed1+26)=1),JanNed1+26,""),IF(AND(YEAR(JanNed1+33)=KoledarskoLeto,MONTH(JanNed1+33)=1),JanNed1+33,""))</f>
        <v>43861</v>
      </c>
      <c r="H9" s="25" t="str">
        <f>IF(DAY(JanNed1)=1,IF(AND(YEAR(JanNed1+27)=KoledarskoLeto,MONTH(JanNed1+27)=1),JanNed1+27,""),IF(AND(YEAR(JanNed1+34)=KoledarskoLeto,MONTH(JanNed1+34)=1),JanNed1+34,""))</f>
        <v/>
      </c>
      <c r="I9" s="25" t="str">
        <f>IF(DAY(JanNed1)=1,IF(AND(YEAR(JanNed1+28)=KoledarskoLeto,MONTH(JanNed1+28)=1),JanNed1+28,""),IF(AND(YEAR(JanNed1+35)=KoledarskoLeto,MONTH(JanNed1+35)=1),JanNed1+35,""))</f>
        <v/>
      </c>
      <c r="J9" s="22"/>
      <c r="K9" s="25">
        <f>IF(DAY(FebNed1)=1,IF(AND(YEAR(FebNed1+22)=KoledarskoLeto,MONTH(FebNed1+22)=2),FebNed1+22,""),IF(AND(YEAR(FebNed1+29)=KoledarskoLeto,MONTH(FebNed1+29)=2),FebNed1+29,""))</f>
        <v>43885</v>
      </c>
      <c r="L9" s="25">
        <f>IF(DAY(FebNed1)=1,IF(AND(YEAR(FebNed1+23)=KoledarskoLeto,MONTH(FebNed1+23)=2),FebNed1+23,""),IF(AND(YEAR(FebNed1+30)=KoledarskoLeto,MONTH(FebNed1+30)=2),FebNed1+30,""))</f>
        <v>43886</v>
      </c>
      <c r="M9" s="25">
        <f>IF(DAY(FebNed1)=1,IF(AND(YEAR(FebNed1+24)=KoledarskoLeto,MONTH(FebNed1+24)=2),FebNed1+24,""),IF(AND(YEAR(FebNed1+31)=KoledarskoLeto,MONTH(FebNed1+31)=2),FebNed1+31,""))</f>
        <v>43887</v>
      </c>
      <c r="N9" s="25">
        <f>IF(DAY(FebNed1)=1,IF(AND(YEAR(FebNed1+25)=KoledarskoLeto,MONTH(FebNed1+25)=2),FebNed1+25,""),IF(AND(YEAR(FebNed1+32)=KoledarskoLeto,MONTH(FebNed1+32)=2),FebNed1+32,""))</f>
        <v>43888</v>
      </c>
      <c r="O9" s="25">
        <f>IF(DAY(FebNed1)=1,IF(AND(YEAR(FebNed1+26)=KoledarskoLeto,MONTH(FebNed1+26)=2),FebNed1+26,""),IF(AND(YEAR(FebNed1+33)=KoledarskoLeto,MONTH(FebNed1+33)=2),FebNed1+33,""))</f>
        <v>43889</v>
      </c>
      <c r="P9" s="25">
        <f>IF(DAY(FebNed1)=1,IF(AND(YEAR(FebNed1+27)=KoledarskoLeto,MONTH(FebNed1+27)=2),FebNed1+27,""),IF(AND(YEAR(FebNed1+34)=KoledarskoLeto,MONTH(FebNed1+34)=2),FebNed1+34,""))</f>
        <v>43890</v>
      </c>
      <c r="Q9" s="25" t="str">
        <f>IF(DAY(FebNed1)=1,IF(AND(YEAR(FebNed1+28)=KoledarskoLeto,MONTH(FebNed1+28)=2),FebNed1+28,""),IF(AND(YEAR(FebNed1+35)=KoledarskoLeto,MONTH(FebNed1+35)=2),FebNed1+35,""))</f>
        <v/>
      </c>
      <c r="S9" s="24"/>
      <c r="U9" s="10" t="s">
        <v>49</v>
      </c>
      <c r="V9" s="30"/>
      <c r="W9" s="30"/>
    </row>
    <row r="10" spans="1:23" ht="15" customHeight="1" x14ac:dyDescent="0.2">
      <c r="C10" s="25" t="str">
        <f>IF(DAY(JanNed1)=1,IF(AND(YEAR(JanNed1+29)=KoledarskoLeto,MONTH(JanNed1+29)=1),JanNed1+29,""),IF(AND(YEAR(JanNed1+36)=KoledarskoLeto,MONTH(JanNed1+36)=1),JanNed1+36,""))</f>
        <v/>
      </c>
      <c r="D10" s="25" t="str">
        <f>IF(DAY(JanNed1)=1,IF(AND(YEAR(JanNed1+30)=KoledarskoLeto,MONTH(JanNed1+30)=1),JanNed1+30,""),IF(AND(YEAR(JanNed1+37)=KoledarskoLeto,MONTH(JanNed1+37)=1),JanNed1+37,""))</f>
        <v/>
      </c>
      <c r="E10" s="25" t="str">
        <f>IF(DAY(JanNed1)=1,IF(AND(YEAR(JanNed1+31)=KoledarskoLeto,MONTH(JanNed1+31)=1),JanNed1+31,""),IF(AND(YEAR(JanNed1+38)=KoledarskoLeto,MONTH(JanNed1+38)=1),JanNed1+38,""))</f>
        <v/>
      </c>
      <c r="F10" s="25" t="str">
        <f>IF(DAY(JanNed1)=1,IF(AND(YEAR(JanNed1+32)=KoledarskoLeto,MONTH(JanNed1+32)=1),JanNed1+32,""),IF(AND(YEAR(JanNed1+39)=KoledarskoLeto,MONTH(JanNed1+39)=1),JanNed1+39,""))</f>
        <v/>
      </c>
      <c r="G10" s="25" t="str">
        <f>IF(DAY(JanNed1)=1,IF(AND(YEAR(JanNed1+33)=KoledarskoLeto,MONTH(JanNed1+33)=1),JanNed1+33,""),IF(AND(YEAR(JanNed1+40)=KoledarskoLeto,MONTH(JanNed1+40)=1),JanNed1+40,""))</f>
        <v/>
      </c>
      <c r="H10" s="25" t="str">
        <f>IF(DAY(JanNed1)=1,IF(AND(YEAR(JanNed1+34)=KoledarskoLeto,MONTH(JanNed1+34)=1),JanNed1+34,""),IF(AND(YEAR(JanNed1+41)=KoledarskoLeto,MONTH(JanNed1+41)=1),JanNed1+41,""))</f>
        <v/>
      </c>
      <c r="I10" s="25" t="str">
        <f>IF(DAY(JanNed1)=1,IF(AND(YEAR(JanNed1+35)=KoledarskoLeto,MONTH(JanNed1+35)=1),JanNed1+35,""),IF(AND(YEAR(JanNed1+42)=KoledarskoLeto,MONTH(JanNed1+42)=1),JanNed1+42,""))</f>
        <v/>
      </c>
      <c r="J10" s="22"/>
      <c r="K10" s="25" t="str">
        <f>IF(DAY(FebNed1)=1,IF(AND(YEAR(FebNed1+29)=KoledarskoLeto,MONTH(FebNed1+29)=2),FebNed1+29,""),IF(AND(YEAR(FebNed1+36)=KoledarskoLeto,MONTH(FebNed1+36)=2),FebNed1+36,""))</f>
        <v/>
      </c>
      <c r="L10" s="25" t="str">
        <f>IF(DAY(FebNed1)=1,IF(AND(YEAR(FebNed1+30)=KoledarskoLeto,MONTH(FebNed1+30)=2),FebNed1+30,""),IF(AND(YEAR(FebNed1+37)=KoledarskoLeto,MONTH(FebNed1+37)=2),FebNed1+37,""))</f>
        <v/>
      </c>
      <c r="M10" s="25" t="str">
        <f>IF(DAY(FebNed1)=1,IF(AND(YEAR(FebNed1+31)=KoledarskoLeto,MONTH(FebNed1+31)=2),FebNed1+31,""),IF(AND(YEAR(FebNed1+38)=KoledarskoLeto,MONTH(FebNed1+38)=2),FebNed1+38,""))</f>
        <v/>
      </c>
      <c r="N10" s="25" t="str">
        <f>IF(DAY(FebNed1)=1,IF(AND(YEAR(FebNed1+32)=KoledarskoLeto,MONTH(FebNed1+32)=2),FebNed1+32,""),IF(AND(YEAR(FebNed1+39)=KoledarskoLeto,MONTH(FebNed1+39)=2),FebNed1+39,""))</f>
        <v/>
      </c>
      <c r="O10" s="25" t="str">
        <f>IF(DAY(FebNed1)=1,IF(AND(YEAR(FebNed1+33)=KoledarskoLeto,MONTH(FebNed1+33)=2),FebNed1+33,""),IF(AND(YEAR(FebNed1+40)=KoledarskoLeto,MONTH(FebNed1+40)=2),FebNed1+40,""))</f>
        <v/>
      </c>
      <c r="P10" s="25" t="str">
        <f>IF(DAY(FebNed1)=1,IF(AND(YEAR(FebNed1+34)=KoledarskoLeto,MONTH(FebNed1+34)=2),FebNed1+34,""),IF(AND(YEAR(FebNed1+41)=KoledarskoLeto,MONTH(FebNed1+41)=2),FebNed1+41,""))</f>
        <v/>
      </c>
      <c r="Q10" s="25" t="str">
        <f>IF(DAY(FebNed1)=1,IF(AND(YEAR(FebNed1+35)=KoledarskoLeto,MONTH(FebNed1+35)=2),FebNed1+35,""),IF(AND(YEAR(FebNed1+42)=KoledarskoLeto,MONTH(FebNed1+42)=2),FebNed1+42,""))</f>
        <v/>
      </c>
      <c r="S10" s="24"/>
      <c r="U10" s="3" t="s">
        <v>50</v>
      </c>
      <c r="V10" s="30"/>
      <c r="W10" s="30"/>
    </row>
    <row r="11" spans="1:23" ht="15" customHeight="1" x14ac:dyDescent="0.2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S11" s="24"/>
      <c r="U11" s="2"/>
      <c r="V11" s="30"/>
      <c r="W11" s="30"/>
    </row>
    <row r="12" spans="1:23" ht="15" customHeight="1" x14ac:dyDescent="0.2">
      <c r="A12" s="18" t="s">
        <v>11</v>
      </c>
      <c r="C12" s="27" t="s">
        <v>27</v>
      </c>
      <c r="D12" s="27"/>
      <c r="E12" s="27"/>
      <c r="F12" s="27"/>
      <c r="G12" s="27"/>
      <c r="H12" s="27"/>
      <c r="I12" s="27"/>
      <c r="K12" s="27" t="s">
        <v>39</v>
      </c>
      <c r="L12" s="27"/>
      <c r="M12" s="27"/>
      <c r="N12" s="27"/>
      <c r="O12" s="27"/>
      <c r="P12" s="27"/>
      <c r="Q12" s="27"/>
      <c r="S12" s="24"/>
      <c r="U12" s="10"/>
      <c r="V12" s="30"/>
      <c r="W12" s="30"/>
    </row>
    <row r="13" spans="1:23" ht="15" customHeight="1" x14ac:dyDescent="0.25">
      <c r="A13" s="18" t="s">
        <v>12</v>
      </c>
      <c r="C13" s="11" t="s">
        <v>26</v>
      </c>
      <c r="D13" s="11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21"/>
      <c r="K13" s="11" t="s">
        <v>26</v>
      </c>
      <c r="L13" s="11" t="s">
        <v>32</v>
      </c>
      <c r="M13" s="11" t="s">
        <v>33</v>
      </c>
      <c r="N13" s="11" t="s">
        <v>34</v>
      </c>
      <c r="O13" s="11" t="s">
        <v>35</v>
      </c>
      <c r="P13" s="11" t="s">
        <v>36</v>
      </c>
      <c r="Q13" s="11" t="s">
        <v>37</v>
      </c>
      <c r="S13" s="24"/>
      <c r="U13" s="3"/>
      <c r="V13" s="30"/>
      <c r="W13" s="30"/>
    </row>
    <row r="14" spans="1:23" ht="15" customHeight="1" x14ac:dyDescent="0.2">
      <c r="C14" s="25" t="str">
        <f>IF(DAY(MarNed1)=1,"",IF(AND(YEAR(MarNed1+1)=KoledarskoLeto,MONTH(MarNed1+1)=3),MarNed1+1,""))</f>
        <v/>
      </c>
      <c r="D14" s="25" t="str">
        <f>IF(DAY(MarNed1)=1,"",IF(AND(YEAR(MarNed1+2)=KoledarskoLeto,MONTH(MarNed1+2)=3),MarNed1+2,""))</f>
        <v/>
      </c>
      <c r="E14" s="25" t="str">
        <f>IF(DAY(MarNed1)=1,"",IF(AND(YEAR(MarNed1+3)=KoledarskoLeto,MONTH(MarNed1+3)=3),MarNed1+3,""))</f>
        <v/>
      </c>
      <c r="F14" s="25" t="str">
        <f>IF(DAY(MarNed1)=1,"",IF(AND(YEAR(MarNed1+4)=KoledarskoLeto,MONTH(MarNed1+4)=3),MarNed1+4,""))</f>
        <v/>
      </c>
      <c r="G14" s="25" t="str">
        <f>IF(DAY(MarNed1)=1,"",IF(AND(YEAR(MarNed1+5)=KoledarskoLeto,MONTH(MarNed1+5)=3),MarNed1+5,""))</f>
        <v/>
      </c>
      <c r="H14" s="25" t="str">
        <f>IF(DAY(MarNed1)=1,"",IF(AND(YEAR(MarNed1+6)=KoledarskoLeto,MONTH(MarNed1+6)=3),MarNed1+6,""))</f>
        <v/>
      </c>
      <c r="I14" s="25">
        <f>IF(DAY(MarNed1)=1,IF(AND(YEAR(MarNed1)=KoledarskoLeto,MONTH(MarNed1)=3),MarNed1,""),IF(AND(YEAR(MarNed1+7)=KoledarskoLeto,MONTH(MarNed1+7)=3),MarNed1+7,""))</f>
        <v>43891</v>
      </c>
      <c r="J14" s="22"/>
      <c r="K14" s="25" t="str">
        <f>IF(DAY(AprNed1)=1,"",IF(AND(YEAR(AprNed1+1)=KoledarskoLeto,MONTH(AprNed1+1)=4),AprNed1+1,""))</f>
        <v/>
      </c>
      <c r="L14" s="25" t="str">
        <f>IF(DAY(AprNed1)=1,"",IF(AND(YEAR(AprNed1+2)=KoledarskoLeto,MONTH(AprNed1+2)=4),AprNed1+2,""))</f>
        <v/>
      </c>
      <c r="M14" s="25">
        <f>IF(DAY(AprNed1)=1,"",IF(AND(YEAR(AprNed1+3)=KoledarskoLeto,MONTH(AprNed1+3)=4),AprNed1+3,""))</f>
        <v>43922</v>
      </c>
      <c r="N14" s="25">
        <f>IF(DAY(AprNed1)=1,"",IF(AND(YEAR(AprNed1+4)=KoledarskoLeto,MONTH(AprNed1+4)=4),AprNed1+4,""))</f>
        <v>43923</v>
      </c>
      <c r="O14" s="25">
        <f>IF(DAY(AprNed1)=1,"",IF(AND(YEAR(AprNed1+5)=KoledarskoLeto,MONTH(AprNed1+5)=4),AprNed1+5,""))</f>
        <v>43924</v>
      </c>
      <c r="P14" s="25">
        <f>IF(DAY(AprNed1)=1,"",IF(AND(YEAR(AprNed1+6)=KoledarskoLeto,MONTH(AprNed1+6)=4),AprNed1+6,""))</f>
        <v>43925</v>
      </c>
      <c r="Q14" s="25">
        <f>IF(DAY(AprNed1)=1,IF(AND(YEAR(AprNed1)=KoledarskoLeto,MONTH(AprNed1)=4),AprNed1,""),IF(AND(YEAR(AprNed1+7)=KoledarskoLeto,MONTH(AprNed1+7)=4),AprNed1+7,""))</f>
        <v>43926</v>
      </c>
      <c r="S14" s="24"/>
      <c r="U14" s="2"/>
      <c r="V14" s="30"/>
      <c r="W14" s="30"/>
    </row>
    <row r="15" spans="1:23" ht="15" customHeight="1" x14ac:dyDescent="0.2">
      <c r="A15" s="18"/>
      <c r="C15" s="25">
        <f>IF(DAY(MarNed1)=1,IF(AND(YEAR(MarNed1+1)=KoledarskoLeto,MONTH(MarNed1+1)=3),MarNed1+1,""),IF(AND(YEAR(MarNed1+8)=KoledarskoLeto,MONTH(MarNed1+8)=3),MarNed1+8,""))</f>
        <v>43892</v>
      </c>
      <c r="D15" s="25">
        <f>IF(DAY(MarNed1)=1,IF(AND(YEAR(MarNed1+2)=KoledarskoLeto,MONTH(MarNed1+2)=3),MarNed1+2,""),IF(AND(YEAR(MarNed1+9)=KoledarskoLeto,MONTH(MarNed1+9)=3),MarNed1+9,""))</f>
        <v>43893</v>
      </c>
      <c r="E15" s="25">
        <f>IF(DAY(MarNed1)=1,IF(AND(YEAR(MarNed1+3)=KoledarskoLeto,MONTH(MarNed1+3)=3),MarNed1+3,""),IF(AND(YEAR(MarNed1+10)=KoledarskoLeto,MONTH(MarNed1+10)=3),MarNed1+10,""))</f>
        <v>43894</v>
      </c>
      <c r="F15" s="25">
        <f>IF(DAY(MarNed1)=1,IF(AND(YEAR(MarNed1+4)=KoledarskoLeto,MONTH(MarNed1+4)=3),MarNed1+4,""),IF(AND(YEAR(MarNed1+11)=KoledarskoLeto,MONTH(MarNed1+11)=3),MarNed1+11,""))</f>
        <v>43895</v>
      </c>
      <c r="G15" s="25">
        <f>IF(DAY(MarNed1)=1,IF(AND(YEAR(MarNed1+5)=KoledarskoLeto,MONTH(MarNed1+5)=3),MarNed1+5,""),IF(AND(YEAR(MarNed1+12)=KoledarskoLeto,MONTH(MarNed1+12)=3),MarNed1+12,""))</f>
        <v>43896</v>
      </c>
      <c r="H15" s="25">
        <f>IF(DAY(MarNed1)=1,IF(AND(YEAR(MarNed1+6)=KoledarskoLeto,MONTH(MarNed1+6)=3),MarNed1+6,""),IF(AND(YEAR(MarNed1+13)=KoledarskoLeto,MONTH(MarNed1+13)=3),MarNed1+13,""))</f>
        <v>43897</v>
      </c>
      <c r="I15" s="25">
        <f>IF(DAY(MarNed1)=1,IF(AND(YEAR(MarNed1+7)=KoledarskoLeto,MONTH(MarNed1+7)=3),MarNed1+7,""),IF(AND(YEAR(MarNed1+14)=KoledarskoLeto,MONTH(MarNed1+14)=3),MarNed1+14,""))</f>
        <v>43898</v>
      </c>
      <c r="J15" s="22"/>
      <c r="K15" s="25">
        <f>IF(DAY(AprNed1)=1,IF(AND(YEAR(AprNed1+1)=KoledarskoLeto,MONTH(AprNed1+1)=4),AprNed1+1,""),IF(AND(YEAR(AprNed1+8)=KoledarskoLeto,MONTH(AprNed1+8)=4),AprNed1+8,""))</f>
        <v>43927</v>
      </c>
      <c r="L15" s="25">
        <f>IF(DAY(AprNed1)=1,IF(AND(YEAR(AprNed1+2)=KoledarskoLeto,MONTH(AprNed1+2)=4),AprNed1+2,""),IF(AND(YEAR(AprNed1+9)=KoledarskoLeto,MONTH(AprNed1+9)=4),AprNed1+9,""))</f>
        <v>43928</v>
      </c>
      <c r="M15" s="25">
        <f>IF(DAY(AprNed1)=1,IF(AND(YEAR(AprNed1+3)=KoledarskoLeto,MONTH(AprNed1+3)=4),AprNed1+3,""),IF(AND(YEAR(AprNed1+10)=KoledarskoLeto,MONTH(AprNed1+10)=4),AprNed1+10,""))</f>
        <v>43929</v>
      </c>
      <c r="N15" s="25">
        <f>IF(DAY(AprNed1)=1,IF(AND(YEAR(AprNed1+4)=KoledarskoLeto,MONTH(AprNed1+4)=4),AprNed1+4,""),IF(AND(YEAR(AprNed1+11)=KoledarskoLeto,MONTH(AprNed1+11)=4),AprNed1+11,""))</f>
        <v>43930</v>
      </c>
      <c r="O15" s="25">
        <f>IF(DAY(AprNed1)=1,IF(AND(YEAR(AprNed1+5)=KoledarskoLeto,MONTH(AprNed1+5)=4),AprNed1+5,""),IF(AND(YEAR(AprNed1+12)=KoledarskoLeto,MONTH(AprNed1+12)=4),AprNed1+12,""))</f>
        <v>43931</v>
      </c>
      <c r="P15" s="25">
        <f>IF(DAY(AprNed1)=1,IF(AND(YEAR(AprNed1+6)=KoledarskoLeto,MONTH(AprNed1+6)=4),AprNed1+6,""),IF(AND(YEAR(AprNed1+13)=KoledarskoLeto,MONTH(AprNed1+13)=4),AprNed1+13,""))</f>
        <v>43932</v>
      </c>
      <c r="Q15" s="25">
        <f>IF(DAY(AprNed1)=1,IF(AND(YEAR(AprNed1+7)=KoledarskoLeto,MONTH(AprNed1+7)=4),AprNed1+7,""),IF(AND(YEAR(AprNed1+14)=KoledarskoLeto,MONTH(AprNed1+14)=4),AprNed1+14,""))</f>
        <v>43933</v>
      </c>
      <c r="S15" s="24"/>
      <c r="U15" s="10"/>
      <c r="V15" s="30"/>
      <c r="W15" s="30"/>
    </row>
    <row r="16" spans="1:23" ht="15" customHeight="1" x14ac:dyDescent="0.2">
      <c r="C16" s="25">
        <f>IF(DAY(MarNed1)=1,IF(AND(YEAR(MarNed1+8)=KoledarskoLeto,MONTH(MarNed1+8)=3),MarNed1+8,""),IF(AND(YEAR(MarNed1+15)=KoledarskoLeto,MONTH(MarNed1+15)=3),MarNed1+15,""))</f>
        <v>43899</v>
      </c>
      <c r="D16" s="25">
        <f>IF(DAY(MarNed1)=1,IF(AND(YEAR(MarNed1+9)=KoledarskoLeto,MONTH(MarNed1+9)=3),MarNed1+9,""),IF(AND(YEAR(MarNed1+16)=KoledarskoLeto,MONTH(MarNed1+16)=3),MarNed1+16,""))</f>
        <v>43900</v>
      </c>
      <c r="E16" s="25">
        <f>IF(DAY(MarNed1)=1,IF(AND(YEAR(MarNed1+10)=KoledarskoLeto,MONTH(MarNed1+10)=3),MarNed1+10,""),IF(AND(YEAR(MarNed1+17)=KoledarskoLeto,MONTH(MarNed1+17)=3),MarNed1+17,""))</f>
        <v>43901</v>
      </c>
      <c r="F16" s="25">
        <f>IF(DAY(MarNed1)=1,IF(AND(YEAR(MarNed1+11)=KoledarskoLeto,MONTH(MarNed1+11)=3),MarNed1+11,""),IF(AND(YEAR(MarNed1+18)=KoledarskoLeto,MONTH(MarNed1+18)=3),MarNed1+18,""))</f>
        <v>43902</v>
      </c>
      <c r="G16" s="25">
        <f>IF(DAY(MarNed1)=1,IF(AND(YEAR(MarNed1+12)=KoledarskoLeto,MONTH(MarNed1+12)=3),MarNed1+12,""),IF(AND(YEAR(MarNed1+19)=KoledarskoLeto,MONTH(MarNed1+19)=3),MarNed1+19,""))</f>
        <v>43903</v>
      </c>
      <c r="H16" s="25">
        <f>IF(DAY(MarNed1)=1,IF(AND(YEAR(MarNed1+13)=KoledarskoLeto,MONTH(MarNed1+13)=3),MarNed1+13,""),IF(AND(YEAR(MarNed1+20)=KoledarskoLeto,MONTH(MarNed1+20)=3),MarNed1+20,""))</f>
        <v>43904</v>
      </c>
      <c r="I16" s="25">
        <f>IF(DAY(MarNed1)=1,IF(AND(YEAR(MarNed1+14)=KoledarskoLeto,MONTH(MarNed1+14)=3),MarNed1+14,""),IF(AND(YEAR(MarNed1+21)=KoledarskoLeto,MONTH(MarNed1+21)=3),MarNed1+21,""))</f>
        <v>43905</v>
      </c>
      <c r="J16" s="22"/>
      <c r="K16" s="25">
        <f>IF(DAY(AprNed1)=1,IF(AND(YEAR(AprNed1+8)=KoledarskoLeto,MONTH(AprNed1+8)=4),AprNed1+8,""),IF(AND(YEAR(AprNed1+15)=KoledarskoLeto,MONTH(AprNed1+15)=4),AprNed1+15,""))</f>
        <v>43934</v>
      </c>
      <c r="L16" s="25">
        <f>IF(DAY(AprNed1)=1,IF(AND(YEAR(AprNed1+9)=KoledarskoLeto,MONTH(AprNed1+9)=4),AprNed1+9,""),IF(AND(YEAR(AprNed1+16)=KoledarskoLeto,MONTH(AprNed1+16)=4),AprNed1+16,""))</f>
        <v>43935</v>
      </c>
      <c r="M16" s="25">
        <f>IF(DAY(AprNed1)=1,IF(AND(YEAR(AprNed1+10)=KoledarskoLeto,MONTH(AprNed1+10)=4),AprNed1+10,""),IF(AND(YEAR(AprNed1+17)=KoledarskoLeto,MONTH(AprNed1+17)=4),AprNed1+17,""))</f>
        <v>43936</v>
      </c>
      <c r="N16" s="25">
        <f>IF(DAY(AprNed1)=1,IF(AND(YEAR(AprNed1+11)=KoledarskoLeto,MONTH(AprNed1+11)=4),AprNed1+11,""),IF(AND(YEAR(AprNed1+18)=KoledarskoLeto,MONTH(AprNed1+18)=4),AprNed1+18,""))</f>
        <v>43937</v>
      </c>
      <c r="O16" s="25">
        <f>IF(DAY(AprNed1)=1,IF(AND(YEAR(AprNed1+12)=KoledarskoLeto,MONTH(AprNed1+12)=4),AprNed1+12,""),IF(AND(YEAR(AprNed1+19)=KoledarskoLeto,MONTH(AprNed1+19)=4),AprNed1+19,""))</f>
        <v>43938</v>
      </c>
      <c r="P16" s="25">
        <f>IF(DAY(AprNed1)=1,IF(AND(YEAR(AprNed1+13)=KoledarskoLeto,MONTH(AprNed1+13)=4),AprNed1+13,""),IF(AND(YEAR(AprNed1+20)=KoledarskoLeto,MONTH(AprNed1+20)=4),AprNed1+20,""))</f>
        <v>43939</v>
      </c>
      <c r="Q16" s="25">
        <f>IF(DAY(AprNed1)=1,IF(AND(YEAR(AprNed1+14)=KoledarskoLeto,MONTH(AprNed1+14)=4),AprNed1+14,""),IF(AND(YEAR(AprNed1+21)=KoledarskoLeto,MONTH(AprNed1+21)=4),AprNed1+21,""))</f>
        <v>43940</v>
      </c>
      <c r="S16" s="24"/>
      <c r="U16" s="3"/>
      <c r="V16" s="30"/>
      <c r="W16" s="30"/>
    </row>
    <row r="17" spans="1:23" ht="15" customHeight="1" x14ac:dyDescent="0.2">
      <c r="C17" s="25">
        <f>IF(DAY(MarNed1)=1,IF(AND(YEAR(MarNed1+15)=KoledarskoLeto,MONTH(MarNed1+15)=3),MarNed1+15,""),IF(AND(YEAR(MarNed1+22)=KoledarskoLeto,MONTH(MarNed1+22)=3),MarNed1+22,""))</f>
        <v>43906</v>
      </c>
      <c r="D17" s="25">
        <f>IF(DAY(MarNed1)=1,IF(AND(YEAR(MarNed1+16)=KoledarskoLeto,MONTH(MarNed1+16)=3),MarNed1+16,""),IF(AND(YEAR(MarNed1+23)=KoledarskoLeto,MONTH(MarNed1+23)=3),MarNed1+23,""))</f>
        <v>43907</v>
      </c>
      <c r="E17" s="25">
        <f>IF(DAY(MarNed1)=1,IF(AND(YEAR(MarNed1+17)=KoledarskoLeto,MONTH(MarNed1+17)=3),MarNed1+17,""),IF(AND(YEAR(MarNed1+24)=KoledarskoLeto,MONTH(MarNed1+24)=3),MarNed1+24,""))</f>
        <v>43908</v>
      </c>
      <c r="F17" s="25">
        <f>IF(DAY(MarNed1)=1,IF(AND(YEAR(MarNed1+18)=KoledarskoLeto,MONTH(MarNed1+18)=3),MarNed1+18,""),IF(AND(YEAR(MarNed1+25)=KoledarskoLeto,MONTH(MarNed1+25)=3),MarNed1+25,""))</f>
        <v>43909</v>
      </c>
      <c r="G17" s="25">
        <f>IF(DAY(MarNed1)=1,IF(AND(YEAR(MarNed1+19)=KoledarskoLeto,MONTH(MarNed1+19)=3),MarNed1+19,""),IF(AND(YEAR(MarNed1+26)=KoledarskoLeto,MONTH(MarNed1+26)=3),MarNed1+26,""))</f>
        <v>43910</v>
      </c>
      <c r="H17" s="25">
        <f>IF(DAY(MarNed1)=1,IF(AND(YEAR(MarNed1+20)=KoledarskoLeto,MONTH(MarNed1+20)=3),MarNed1+20,""),IF(AND(YEAR(MarNed1+27)=KoledarskoLeto,MONTH(MarNed1+27)=3),MarNed1+27,""))</f>
        <v>43911</v>
      </c>
      <c r="I17" s="25">
        <f>IF(DAY(MarNed1)=1,IF(AND(YEAR(MarNed1+21)=KoledarskoLeto,MONTH(MarNed1+21)=3),MarNed1+21,""),IF(AND(YEAR(MarNed1+28)=KoledarskoLeto,MONTH(MarNed1+28)=3),MarNed1+28,""))</f>
        <v>43912</v>
      </c>
      <c r="J17" s="22"/>
      <c r="K17" s="25">
        <f>IF(DAY(AprNed1)=1,IF(AND(YEAR(AprNed1+15)=KoledarskoLeto,MONTH(AprNed1+15)=4),AprNed1+15,""),IF(AND(YEAR(AprNed1+22)=KoledarskoLeto,MONTH(AprNed1+22)=4),AprNed1+22,""))</f>
        <v>43941</v>
      </c>
      <c r="L17" s="25">
        <f>IF(DAY(AprNed1)=1,IF(AND(YEAR(AprNed1+16)=KoledarskoLeto,MONTH(AprNed1+16)=4),AprNed1+16,""),IF(AND(YEAR(AprNed1+23)=KoledarskoLeto,MONTH(AprNed1+23)=4),AprNed1+23,""))</f>
        <v>43942</v>
      </c>
      <c r="M17" s="25">
        <f>IF(DAY(AprNed1)=1,IF(AND(YEAR(AprNed1+17)=KoledarskoLeto,MONTH(AprNed1+17)=4),AprNed1+17,""),IF(AND(YEAR(AprNed1+24)=KoledarskoLeto,MONTH(AprNed1+24)=4),AprNed1+24,""))</f>
        <v>43943</v>
      </c>
      <c r="N17" s="25">
        <f>IF(DAY(AprNed1)=1,IF(AND(YEAR(AprNed1+18)=KoledarskoLeto,MONTH(AprNed1+18)=4),AprNed1+18,""),IF(AND(YEAR(AprNed1+25)=KoledarskoLeto,MONTH(AprNed1+25)=4),AprNed1+25,""))</f>
        <v>43944</v>
      </c>
      <c r="O17" s="25">
        <f>IF(DAY(AprNed1)=1,IF(AND(YEAR(AprNed1+19)=KoledarskoLeto,MONTH(AprNed1+19)=4),AprNed1+19,""),IF(AND(YEAR(AprNed1+26)=KoledarskoLeto,MONTH(AprNed1+26)=4),AprNed1+26,""))</f>
        <v>43945</v>
      </c>
      <c r="P17" s="25">
        <f>IF(DAY(AprNed1)=1,IF(AND(YEAR(AprNed1+20)=KoledarskoLeto,MONTH(AprNed1+20)=4),AprNed1+20,""),IF(AND(YEAR(AprNed1+27)=KoledarskoLeto,MONTH(AprNed1+27)=4),AprNed1+27,""))</f>
        <v>43946</v>
      </c>
      <c r="Q17" s="25">
        <f>IF(DAY(AprNed1)=1,IF(AND(YEAR(AprNed1+21)=KoledarskoLeto,MONTH(AprNed1+21)=4),AprNed1+21,""),IF(AND(YEAR(AprNed1+28)=KoledarskoLeto,MONTH(AprNed1+28)=4),AprNed1+28,""))</f>
        <v>43947</v>
      </c>
      <c r="S17" s="24"/>
      <c r="U17" s="2"/>
      <c r="V17" s="30"/>
      <c r="W17" s="30"/>
    </row>
    <row r="18" spans="1:23" ht="15" customHeight="1" x14ac:dyDescent="0.2">
      <c r="C18" s="25">
        <f>IF(DAY(MarNed1)=1,IF(AND(YEAR(MarNed1+22)=KoledarskoLeto,MONTH(MarNed1+22)=3),MarNed1+22,""),IF(AND(YEAR(MarNed1+29)=KoledarskoLeto,MONTH(MarNed1+29)=3),MarNed1+29,""))</f>
        <v>43913</v>
      </c>
      <c r="D18" s="25">
        <f>IF(DAY(MarNed1)=1,IF(AND(YEAR(MarNed1+23)=KoledarskoLeto,MONTH(MarNed1+23)=3),MarNed1+23,""),IF(AND(YEAR(MarNed1+30)=KoledarskoLeto,MONTH(MarNed1+30)=3),MarNed1+30,""))</f>
        <v>43914</v>
      </c>
      <c r="E18" s="25">
        <f>IF(DAY(MarNed1)=1,IF(AND(YEAR(MarNed1+24)=KoledarskoLeto,MONTH(MarNed1+24)=3),MarNed1+24,""),IF(AND(YEAR(MarNed1+31)=KoledarskoLeto,MONTH(MarNed1+31)=3),MarNed1+31,""))</f>
        <v>43915</v>
      </c>
      <c r="F18" s="25">
        <f>IF(DAY(MarNed1)=1,IF(AND(YEAR(MarNed1+25)=KoledarskoLeto,MONTH(MarNed1+25)=3),MarNed1+25,""),IF(AND(YEAR(MarNed1+32)=KoledarskoLeto,MONTH(MarNed1+32)=3),MarNed1+32,""))</f>
        <v>43916</v>
      </c>
      <c r="G18" s="25">
        <f>IF(DAY(MarNed1)=1,IF(AND(YEAR(MarNed1+26)=KoledarskoLeto,MONTH(MarNed1+26)=3),MarNed1+26,""),IF(AND(YEAR(MarNed1+33)=KoledarskoLeto,MONTH(MarNed1+33)=3),MarNed1+33,""))</f>
        <v>43917</v>
      </c>
      <c r="H18" s="25">
        <f>IF(DAY(MarNed1)=1,IF(AND(YEAR(MarNed1+27)=KoledarskoLeto,MONTH(MarNed1+27)=3),MarNed1+27,""),IF(AND(YEAR(MarNed1+34)=KoledarskoLeto,MONTH(MarNed1+34)=3),MarNed1+34,""))</f>
        <v>43918</v>
      </c>
      <c r="I18" s="25">
        <f>IF(DAY(MarNed1)=1,IF(AND(YEAR(MarNed1+28)=KoledarskoLeto,MONTH(MarNed1+28)=3),MarNed1+28,""),IF(AND(YEAR(MarNed1+35)=KoledarskoLeto,MONTH(MarNed1+35)=3),MarNed1+35,""))</f>
        <v>43919</v>
      </c>
      <c r="J18" s="22"/>
      <c r="K18" s="25">
        <f>IF(DAY(AprNed1)=1,IF(AND(YEAR(AprNed1+22)=KoledarskoLeto,MONTH(AprNed1+22)=4),AprNed1+22,""),IF(AND(YEAR(AprNed1+29)=KoledarskoLeto,MONTH(AprNed1+29)=4),AprNed1+29,""))</f>
        <v>43948</v>
      </c>
      <c r="L18" s="25">
        <f>IF(DAY(AprNed1)=1,IF(AND(YEAR(AprNed1+23)=KoledarskoLeto,MONTH(AprNed1+23)=4),AprNed1+23,""),IF(AND(YEAR(AprNed1+30)=KoledarskoLeto,MONTH(AprNed1+30)=4),AprNed1+30,""))</f>
        <v>43949</v>
      </c>
      <c r="M18" s="25">
        <f>IF(DAY(AprNed1)=1,IF(AND(YEAR(AprNed1+24)=KoledarskoLeto,MONTH(AprNed1+24)=4),AprNed1+24,""),IF(AND(YEAR(AprNed1+31)=KoledarskoLeto,MONTH(AprNed1+31)=4),AprNed1+31,""))</f>
        <v>43950</v>
      </c>
      <c r="N18" s="25">
        <f>IF(DAY(AprNed1)=1,IF(AND(YEAR(AprNed1+25)=KoledarskoLeto,MONTH(AprNed1+25)=4),AprNed1+25,""),IF(AND(YEAR(AprNed1+32)=KoledarskoLeto,MONTH(AprNed1+32)=4),AprNed1+32,""))</f>
        <v>43951</v>
      </c>
      <c r="O18" s="25" t="str">
        <f>IF(DAY(AprNed1)=1,IF(AND(YEAR(AprNed1+26)=KoledarskoLeto,MONTH(AprNed1+26)=4),AprNed1+26,""),IF(AND(YEAR(AprNed1+33)=KoledarskoLeto,MONTH(AprNed1+33)=4),AprNed1+33,""))</f>
        <v/>
      </c>
      <c r="P18" s="25" t="str">
        <f>IF(DAY(AprNed1)=1,IF(AND(YEAR(AprNed1+27)=KoledarskoLeto,MONTH(AprNed1+27)=4),AprNed1+27,""),IF(AND(YEAR(AprNed1+34)=KoledarskoLeto,MONTH(AprNed1+34)=4),AprNed1+34,""))</f>
        <v/>
      </c>
      <c r="Q18" s="25" t="str">
        <f>IF(DAY(AprNed1)=1,IF(AND(YEAR(AprNed1+28)=KoledarskoLeto,MONTH(AprNed1+28)=4),AprNed1+28,""),IF(AND(YEAR(AprNed1+35)=KoledarskoLeto,MONTH(AprNed1+35)=4),AprNed1+35,""))</f>
        <v/>
      </c>
      <c r="S18" s="24"/>
      <c r="U18" s="10"/>
      <c r="V18" s="30"/>
      <c r="W18" s="30"/>
    </row>
    <row r="19" spans="1:23" ht="15" customHeight="1" x14ac:dyDescent="0.2">
      <c r="C19" s="25">
        <f>IF(DAY(MarNed1)=1,IF(AND(YEAR(MarNed1+29)=KoledarskoLeto,MONTH(MarNed1+29)=3),MarNed1+29,""),IF(AND(YEAR(MarNed1+36)=KoledarskoLeto,MONTH(MarNed1+36)=3),MarNed1+36,""))</f>
        <v>43920</v>
      </c>
      <c r="D19" s="25">
        <f>IF(DAY(MarNed1)=1,IF(AND(YEAR(MarNed1+30)=KoledarskoLeto,MONTH(MarNed1+30)=3),MarNed1+30,""),IF(AND(YEAR(MarNed1+37)=KoledarskoLeto,MONTH(MarNed1+37)=3),MarNed1+37,""))</f>
        <v>43921</v>
      </c>
      <c r="E19" s="25" t="str">
        <f>IF(DAY(MarNed1)=1,IF(AND(YEAR(MarNed1+31)=KoledarskoLeto,MONTH(MarNed1+31)=3),MarNed1+31,""),IF(AND(YEAR(MarNed1+38)=KoledarskoLeto,MONTH(MarNed1+38)=3),MarNed1+38,""))</f>
        <v/>
      </c>
      <c r="F19" s="25" t="str">
        <f>IF(DAY(MarNed1)=1,IF(AND(YEAR(MarNed1+32)=KoledarskoLeto,MONTH(MarNed1+32)=3),MarNed1+32,""),IF(AND(YEAR(MarNed1+39)=KoledarskoLeto,MONTH(MarNed1+39)=3),MarNed1+39,""))</f>
        <v/>
      </c>
      <c r="G19" s="25" t="str">
        <f>IF(DAY(MarNed1)=1,IF(AND(YEAR(MarNed1+33)=KoledarskoLeto,MONTH(MarNed1+33)=3),MarNed1+33,""),IF(AND(YEAR(MarNed1+40)=KoledarskoLeto,MONTH(MarNed1+40)=3),MarNed1+40,""))</f>
        <v/>
      </c>
      <c r="H19" s="25" t="str">
        <f>IF(DAY(MarNed1)=1,IF(AND(YEAR(MarNed1+34)=KoledarskoLeto,MONTH(MarNed1+34)=3),MarNed1+34,""),IF(AND(YEAR(MarNed1+41)=KoledarskoLeto,MONTH(MarNed1+41)=3),MarNed1+41,""))</f>
        <v/>
      </c>
      <c r="I19" s="25" t="str">
        <f>IF(DAY(MarNed1)=1,IF(AND(YEAR(MarNed1+35)=KoledarskoLeto,MONTH(MarNed1+35)=3),MarNed1+35,""),IF(AND(YEAR(MarNed1+42)=KoledarskoLeto,MONTH(MarNed1+42)=3),MarNed1+42,""))</f>
        <v/>
      </c>
      <c r="J19" s="22"/>
      <c r="K19" s="25" t="str">
        <f>IF(DAY(AprNed1)=1,IF(AND(YEAR(AprNed1+29)=KoledarskoLeto,MONTH(AprNed1+29)=4),AprNed1+29,""),IF(AND(YEAR(AprNed1+36)=KoledarskoLeto,MONTH(AprNed1+36)=4),AprNed1+36,""))</f>
        <v/>
      </c>
      <c r="L19" s="25" t="str">
        <f>IF(DAY(AprNed1)=1,IF(AND(YEAR(AprNed1+30)=KoledarskoLeto,MONTH(AprNed1+30)=4),AprNed1+30,""),IF(AND(YEAR(AprNed1+37)=KoledarskoLeto,MONTH(AprNed1+37)=4),AprNed1+37,""))</f>
        <v/>
      </c>
      <c r="M19" s="25" t="str">
        <f>IF(DAY(AprNed1)=1,IF(AND(YEAR(AprNed1+31)=KoledarskoLeto,MONTH(AprNed1+31)=4),AprNed1+31,""),IF(AND(YEAR(AprNed1+38)=KoledarskoLeto,MONTH(AprNed1+38)=4),AprNed1+38,""))</f>
        <v/>
      </c>
      <c r="N19" s="25" t="str">
        <f>IF(DAY(AprNed1)=1,IF(AND(YEAR(AprNed1+32)=KoledarskoLeto,MONTH(AprNed1+32)=4),AprNed1+32,""),IF(AND(YEAR(AprNed1+39)=KoledarskoLeto,MONTH(AprNed1+39)=4),AprNed1+39,""))</f>
        <v/>
      </c>
      <c r="O19" s="25" t="str">
        <f>IF(DAY(AprNed1)=1,IF(AND(YEAR(AprNed1+33)=KoledarskoLeto,MONTH(AprNed1+33)=4),AprNed1+33,""),IF(AND(YEAR(AprNed1+40)=KoledarskoLeto,MONTH(AprNed1+40)=4),AprNed1+40,""))</f>
        <v/>
      </c>
      <c r="P19" s="25" t="str">
        <f>IF(DAY(AprNed1)=1,IF(AND(YEAR(AprNed1+34)=KoledarskoLeto,MONTH(AprNed1+34)=4),AprNed1+34,""),IF(AND(YEAR(AprNed1+41)=KoledarskoLeto,MONTH(AprNed1+41)=4),AprNed1+41,""))</f>
        <v/>
      </c>
      <c r="Q19" s="25" t="str">
        <f>IF(DAY(AprNed1)=1,IF(AND(YEAR(AprNed1+35)=KoledarskoLeto,MONTH(AprNed1+35)=4),AprNed1+35,""),IF(AND(YEAR(AprNed1+42)=KoledarskoLeto,MONTH(AprNed1+42)=4),AprNed1+42,""))</f>
        <v/>
      </c>
      <c r="S19" s="24"/>
      <c r="U19" s="3"/>
      <c r="V19" s="30"/>
      <c r="W19" s="30"/>
    </row>
    <row r="20" spans="1:23" ht="15" customHeight="1" x14ac:dyDescent="0.2">
      <c r="J20" s="22"/>
      <c r="S20" s="24"/>
      <c r="U20" s="2"/>
      <c r="V20" s="30"/>
      <c r="W20" s="30"/>
    </row>
    <row r="21" spans="1:23" ht="15" customHeight="1" x14ac:dyDescent="0.2">
      <c r="A21" s="18" t="s">
        <v>13</v>
      </c>
      <c r="C21" s="27" t="s">
        <v>28</v>
      </c>
      <c r="D21" s="27"/>
      <c r="E21" s="27"/>
      <c r="F21" s="27"/>
      <c r="G21" s="27"/>
      <c r="H21" s="27"/>
      <c r="I21" s="27"/>
      <c r="J21" s="22"/>
      <c r="K21" s="27" t="s">
        <v>40</v>
      </c>
      <c r="L21" s="27"/>
      <c r="M21" s="27"/>
      <c r="N21" s="27"/>
      <c r="O21" s="27"/>
      <c r="P21" s="27"/>
      <c r="Q21" s="27"/>
      <c r="S21" s="24"/>
      <c r="U21" s="10"/>
      <c r="V21" s="30"/>
      <c r="W21" s="30"/>
    </row>
    <row r="22" spans="1:23" ht="15" customHeight="1" x14ac:dyDescent="0.2">
      <c r="A22" s="18" t="s">
        <v>14</v>
      </c>
      <c r="C22" s="11" t="s">
        <v>26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K22" s="11" t="s">
        <v>26</v>
      </c>
      <c r="L22" s="11" t="s">
        <v>32</v>
      </c>
      <c r="M22" s="11" t="s">
        <v>33</v>
      </c>
      <c r="N22" s="11" t="s">
        <v>34</v>
      </c>
      <c r="O22" s="11" t="s">
        <v>35</v>
      </c>
      <c r="P22" s="11" t="s">
        <v>36</v>
      </c>
      <c r="Q22" s="11" t="s">
        <v>37</v>
      </c>
      <c r="S22" s="24"/>
      <c r="U22" s="3"/>
      <c r="V22" s="30"/>
      <c r="W22" s="30"/>
    </row>
    <row r="23" spans="1:23" ht="15" customHeight="1" x14ac:dyDescent="0.25">
      <c r="A23" s="18"/>
      <c r="C23" s="25" t="str">
        <f>IF(DAY(MajNed1)=1,"",IF(AND(YEAR(MajNed1+1)=KoledarskoLeto,MONTH(MajNed1+1)=5),MajNed1+1,""))</f>
        <v/>
      </c>
      <c r="D23" s="25" t="str">
        <f>IF(DAY(MajNed1)=1,"",IF(AND(YEAR(MajNed1+2)=KoledarskoLeto,MONTH(MajNed1+2)=5),MajNed1+2,""))</f>
        <v/>
      </c>
      <c r="E23" s="25" t="str">
        <f>IF(DAY(MajNed1)=1,"",IF(AND(YEAR(MajNed1+3)=KoledarskoLeto,MONTH(MajNed1+3)=5),MajNed1+3,""))</f>
        <v/>
      </c>
      <c r="F23" s="25" t="str">
        <f>IF(DAY(MajNed1)=1,"",IF(AND(YEAR(MajNed1+4)=KoledarskoLeto,MONTH(MajNed1+4)=5),MajNed1+4,""))</f>
        <v/>
      </c>
      <c r="G23" s="25">
        <f>IF(DAY(MajNed1)=1,"",IF(AND(YEAR(MajNed1+5)=KoledarskoLeto,MONTH(MajNed1+5)=5),MajNed1+5,""))</f>
        <v>43952</v>
      </c>
      <c r="H23" s="25">
        <f>IF(DAY(MajNed1)=1,"",IF(AND(YEAR(MajNed1+6)=KoledarskoLeto,MONTH(MajNed1+6)=5),MajNed1+6,""))</f>
        <v>43953</v>
      </c>
      <c r="I23" s="25">
        <f>IF(DAY(MajNed1)=1,IF(AND(YEAR(MajNed1)=KoledarskoLeto,MONTH(MajNed1)=5),MajNed1,""),IF(AND(YEAR(MajNed1+7)=KoledarskoLeto,MONTH(MajNed1+7)=5),MajNed1+7,""))</f>
        <v>43954</v>
      </c>
      <c r="J23" s="21"/>
      <c r="K23" s="25">
        <f>IF(DAY(JunNed1)=1,"",IF(AND(YEAR(JunNed1+1)=KoledarskoLeto,MONTH(JunNed1+1)=6),JunNed1+1,""))</f>
        <v>43983</v>
      </c>
      <c r="L23" s="25">
        <f>IF(DAY(JunNed1)=1,"",IF(AND(YEAR(JunNed1+2)=KoledarskoLeto,MONTH(JunNed1+2)=6),JunNed1+2,""))</f>
        <v>43984</v>
      </c>
      <c r="M23" s="25">
        <f>IF(DAY(JunNed1)=1,"",IF(AND(YEAR(JunNed1+3)=KoledarskoLeto,MONTH(JunNed1+3)=6),JunNed1+3,""))</f>
        <v>43985</v>
      </c>
      <c r="N23" s="25">
        <f>IF(DAY(JunNed1)=1,"",IF(AND(YEAR(JunNed1+4)=KoledarskoLeto,MONTH(JunNed1+4)=6),JunNed1+4,""))</f>
        <v>43986</v>
      </c>
      <c r="O23" s="25">
        <f>IF(DAY(JunNed1)=1,"",IF(AND(YEAR(JunNed1+5)=KoledarskoLeto,MONTH(JunNed1+5)=6),JunNed1+5,""))</f>
        <v>43987</v>
      </c>
      <c r="P23" s="25">
        <f>IF(DAY(JunNed1)=1,"",IF(AND(YEAR(JunNed1+6)=KoledarskoLeto,MONTH(JunNed1+6)=6),JunNed1+6,""))</f>
        <v>43988</v>
      </c>
      <c r="Q23" s="25">
        <f>IF(DAY(JunNed1)=1,IF(AND(YEAR(JunNed1)=KoledarskoLeto,MONTH(JunNed1)=6),JunNed1,""),IF(AND(YEAR(JunNed1+7)=KoledarskoLeto,MONTH(JunNed1+7)=6),JunNed1+7,""))</f>
        <v>43989</v>
      </c>
      <c r="S23" s="24"/>
      <c r="U23" s="2"/>
      <c r="V23" s="30"/>
      <c r="W23" s="30"/>
    </row>
    <row r="24" spans="1:23" ht="15" customHeight="1" x14ac:dyDescent="0.2">
      <c r="C24" s="25">
        <f>IF(DAY(MajNed1)=1,IF(AND(YEAR(MajNed1+1)=KoledarskoLeto,MONTH(MajNed1+1)=5),MajNed1+1,""),IF(AND(YEAR(MajNed1+8)=KoledarskoLeto,MONTH(MajNed1+8)=5),MajNed1+8,""))</f>
        <v>43955</v>
      </c>
      <c r="D24" s="25">
        <f>IF(DAY(MajNed1)=1,IF(AND(YEAR(MajNed1+2)=KoledarskoLeto,MONTH(MajNed1+2)=5),MajNed1+2,""),IF(AND(YEAR(MajNed1+9)=KoledarskoLeto,MONTH(MajNed1+9)=5),MajNed1+9,""))</f>
        <v>43956</v>
      </c>
      <c r="E24" s="25">
        <f>IF(DAY(MajNed1)=1,IF(AND(YEAR(MajNed1+3)=KoledarskoLeto,MONTH(MajNed1+3)=5),MajNed1+3,""),IF(AND(YEAR(MajNed1+10)=KoledarskoLeto,MONTH(MajNed1+10)=5),MajNed1+10,""))</f>
        <v>43957</v>
      </c>
      <c r="F24" s="25">
        <f>IF(DAY(MajNed1)=1,IF(AND(YEAR(MajNed1+4)=KoledarskoLeto,MONTH(MajNed1+4)=5),MajNed1+4,""),IF(AND(YEAR(MajNed1+11)=KoledarskoLeto,MONTH(MajNed1+11)=5),MajNed1+11,""))</f>
        <v>43958</v>
      </c>
      <c r="G24" s="25">
        <f>IF(DAY(MajNed1)=1,IF(AND(YEAR(MajNed1+5)=KoledarskoLeto,MONTH(MajNed1+5)=5),MajNed1+5,""),IF(AND(YEAR(MajNed1+12)=KoledarskoLeto,MONTH(MajNed1+12)=5),MajNed1+12,""))</f>
        <v>43959</v>
      </c>
      <c r="H24" s="25">
        <f>IF(DAY(MajNed1)=1,IF(AND(YEAR(MajNed1+6)=KoledarskoLeto,MONTH(MajNed1+6)=5),MajNed1+6,""),IF(AND(YEAR(MajNed1+13)=KoledarskoLeto,MONTH(MajNed1+13)=5),MajNed1+13,""))</f>
        <v>43960</v>
      </c>
      <c r="I24" s="25">
        <f>IF(DAY(MajNed1)=1,IF(AND(YEAR(MajNed1+7)=KoledarskoLeto,MONTH(MajNed1+7)=5),MajNed1+7,""),IF(AND(YEAR(MajNed1+14)=KoledarskoLeto,MONTH(MajNed1+14)=5),MajNed1+14,""))</f>
        <v>43961</v>
      </c>
      <c r="J24" s="22"/>
      <c r="K24" s="25">
        <f>IF(DAY(JunNed1)=1,IF(AND(YEAR(JunNed1+1)=KoledarskoLeto,MONTH(JunNed1+1)=6),JunNed1+1,""),IF(AND(YEAR(JunNed1+8)=KoledarskoLeto,MONTH(JunNed1+8)=6),JunNed1+8,""))</f>
        <v>43990</v>
      </c>
      <c r="L24" s="25">
        <f>IF(DAY(JunNed1)=1,IF(AND(YEAR(JunNed1+2)=KoledarskoLeto,MONTH(JunNed1+2)=6),JunNed1+2,""),IF(AND(YEAR(JunNed1+9)=KoledarskoLeto,MONTH(JunNed1+9)=6),JunNed1+9,""))</f>
        <v>43991</v>
      </c>
      <c r="M24" s="25">
        <f>IF(DAY(JunNed1)=1,IF(AND(YEAR(JunNed1+3)=KoledarskoLeto,MONTH(JunNed1+3)=6),JunNed1+3,""),IF(AND(YEAR(JunNed1+10)=KoledarskoLeto,MONTH(JunNed1+10)=6),JunNed1+10,""))</f>
        <v>43992</v>
      </c>
      <c r="N24" s="25">
        <f>IF(DAY(JunNed1)=1,IF(AND(YEAR(JunNed1+4)=KoledarskoLeto,MONTH(JunNed1+4)=6),JunNed1+4,""),IF(AND(YEAR(JunNed1+11)=KoledarskoLeto,MONTH(JunNed1+11)=6),JunNed1+11,""))</f>
        <v>43993</v>
      </c>
      <c r="O24" s="25">
        <f>IF(DAY(JunNed1)=1,IF(AND(YEAR(JunNed1+5)=KoledarskoLeto,MONTH(JunNed1+5)=6),JunNed1+5,""),IF(AND(YEAR(JunNed1+12)=KoledarskoLeto,MONTH(JunNed1+12)=6),JunNed1+12,""))</f>
        <v>43994</v>
      </c>
      <c r="P24" s="25">
        <f>IF(DAY(JunNed1)=1,IF(AND(YEAR(JunNed1+6)=KoledarskoLeto,MONTH(JunNed1+6)=6),JunNed1+6,""),IF(AND(YEAR(JunNed1+13)=KoledarskoLeto,MONTH(JunNed1+13)=6),JunNed1+13,""))</f>
        <v>43995</v>
      </c>
      <c r="Q24" s="25">
        <f>IF(DAY(JunNed1)=1,IF(AND(YEAR(JunNed1+7)=KoledarskoLeto,MONTH(JunNed1+7)=6),JunNed1+7,""),IF(AND(YEAR(JunNed1+14)=KoledarskoLeto,MONTH(JunNed1+14)=6),JunNed1+14,""))</f>
        <v>43996</v>
      </c>
      <c r="S24" s="24"/>
      <c r="U24" s="10"/>
      <c r="V24" s="30"/>
      <c r="W24" s="30"/>
    </row>
    <row r="25" spans="1:23" ht="15" customHeight="1" x14ac:dyDescent="0.2">
      <c r="C25" s="25">
        <f>IF(DAY(MajNed1)=1,IF(AND(YEAR(MajNed1+8)=KoledarskoLeto,MONTH(MajNed1+8)=5),MajNed1+8,""),IF(AND(YEAR(MajNed1+15)=KoledarskoLeto,MONTH(MajNed1+15)=5),MajNed1+15,""))</f>
        <v>43962</v>
      </c>
      <c r="D25" s="25">
        <f>IF(DAY(MajNed1)=1,IF(AND(YEAR(MajNed1+9)=KoledarskoLeto,MONTH(MajNed1+9)=5),MajNed1+9,""),IF(AND(YEAR(MajNed1+16)=KoledarskoLeto,MONTH(MajNed1+16)=5),MajNed1+16,""))</f>
        <v>43963</v>
      </c>
      <c r="E25" s="25">
        <f>IF(DAY(MajNed1)=1,IF(AND(YEAR(MajNed1+10)=KoledarskoLeto,MONTH(MajNed1+10)=5),MajNed1+10,""),IF(AND(YEAR(MajNed1+17)=KoledarskoLeto,MONTH(MajNed1+17)=5),MajNed1+17,""))</f>
        <v>43964</v>
      </c>
      <c r="F25" s="25">
        <f>IF(DAY(MajNed1)=1,IF(AND(YEAR(MajNed1+11)=KoledarskoLeto,MONTH(MajNed1+11)=5),MajNed1+11,""),IF(AND(YEAR(MajNed1+18)=KoledarskoLeto,MONTH(MajNed1+18)=5),MajNed1+18,""))</f>
        <v>43965</v>
      </c>
      <c r="G25" s="25">
        <f>IF(DAY(MajNed1)=1,IF(AND(YEAR(MajNed1+12)=KoledarskoLeto,MONTH(MajNed1+12)=5),MajNed1+12,""),IF(AND(YEAR(MajNed1+19)=KoledarskoLeto,MONTH(MajNed1+19)=5),MajNed1+19,""))</f>
        <v>43966</v>
      </c>
      <c r="H25" s="25">
        <f>IF(DAY(MajNed1)=1,IF(AND(YEAR(MajNed1+13)=KoledarskoLeto,MONTH(MajNed1+13)=5),MajNed1+13,""),IF(AND(YEAR(MajNed1+20)=KoledarskoLeto,MONTH(MajNed1+20)=5),MajNed1+20,""))</f>
        <v>43967</v>
      </c>
      <c r="I25" s="25">
        <f>IF(DAY(MajNed1)=1,IF(AND(YEAR(MajNed1+14)=KoledarskoLeto,MONTH(MajNed1+14)=5),MajNed1+14,""),IF(AND(YEAR(MajNed1+21)=KoledarskoLeto,MONTH(MajNed1+21)=5),MajNed1+21,""))</f>
        <v>43968</v>
      </c>
      <c r="J25" s="22"/>
      <c r="K25" s="25">
        <f>IF(DAY(JunNed1)=1,IF(AND(YEAR(JunNed1+8)=KoledarskoLeto,MONTH(JunNed1+8)=6),JunNed1+8,""),IF(AND(YEAR(JunNed1+15)=KoledarskoLeto,MONTH(JunNed1+15)=6),JunNed1+15,""))</f>
        <v>43997</v>
      </c>
      <c r="L25" s="25">
        <f>IF(DAY(JunNed1)=1,IF(AND(YEAR(JunNed1+9)=KoledarskoLeto,MONTH(JunNed1+9)=6),JunNed1+9,""),IF(AND(YEAR(JunNed1+16)=KoledarskoLeto,MONTH(JunNed1+16)=6),JunNed1+16,""))</f>
        <v>43998</v>
      </c>
      <c r="M25" s="25">
        <f>IF(DAY(JunNed1)=1,IF(AND(YEAR(JunNed1+10)=KoledarskoLeto,MONTH(JunNed1+10)=6),JunNed1+10,""),IF(AND(YEAR(JunNed1+17)=KoledarskoLeto,MONTH(JunNed1+17)=6),JunNed1+17,""))</f>
        <v>43999</v>
      </c>
      <c r="N25" s="25">
        <f>IF(DAY(JunNed1)=1,IF(AND(YEAR(JunNed1+11)=KoledarskoLeto,MONTH(JunNed1+11)=6),JunNed1+11,""),IF(AND(YEAR(JunNed1+18)=KoledarskoLeto,MONTH(JunNed1+18)=6),JunNed1+18,""))</f>
        <v>44000</v>
      </c>
      <c r="O25" s="25">
        <f>IF(DAY(JunNed1)=1,IF(AND(YEAR(JunNed1+12)=KoledarskoLeto,MONTH(JunNed1+12)=6),JunNed1+12,""),IF(AND(YEAR(JunNed1+19)=KoledarskoLeto,MONTH(JunNed1+19)=6),JunNed1+19,""))</f>
        <v>44001</v>
      </c>
      <c r="P25" s="25">
        <f>IF(DAY(JunNed1)=1,IF(AND(YEAR(JunNed1+13)=KoledarskoLeto,MONTH(JunNed1+13)=6),JunNed1+13,""),IF(AND(YEAR(JunNed1+20)=KoledarskoLeto,MONTH(JunNed1+20)=6),JunNed1+20,""))</f>
        <v>44002</v>
      </c>
      <c r="Q25" s="25">
        <f>IF(DAY(JunNed1)=1,IF(AND(YEAR(JunNed1+14)=KoledarskoLeto,MONTH(JunNed1+14)=6),JunNed1+14,""),IF(AND(YEAR(JunNed1+21)=KoledarskoLeto,MONTH(JunNed1+21)=6),JunNed1+21,""))</f>
        <v>44003</v>
      </c>
      <c r="S25" s="24"/>
      <c r="U25" s="3"/>
      <c r="V25" s="30"/>
      <c r="W25" s="30"/>
    </row>
    <row r="26" spans="1:23" ht="15" customHeight="1" x14ac:dyDescent="0.2">
      <c r="C26" s="25">
        <f>IF(DAY(MajNed1)=1,IF(AND(YEAR(MajNed1+15)=KoledarskoLeto,MONTH(MajNed1+15)=5),MajNed1+15,""),IF(AND(YEAR(MajNed1+22)=KoledarskoLeto,MONTH(MajNed1+22)=5),MajNed1+22,""))</f>
        <v>43969</v>
      </c>
      <c r="D26" s="25">
        <f>IF(DAY(MajNed1)=1,IF(AND(YEAR(MajNed1+16)=KoledarskoLeto,MONTH(MajNed1+16)=5),MajNed1+16,""),IF(AND(YEAR(MajNed1+23)=KoledarskoLeto,MONTH(MajNed1+23)=5),MajNed1+23,""))</f>
        <v>43970</v>
      </c>
      <c r="E26" s="25">
        <f>IF(DAY(MajNed1)=1,IF(AND(YEAR(MajNed1+17)=KoledarskoLeto,MONTH(MajNed1+17)=5),MajNed1+17,""),IF(AND(YEAR(MajNed1+24)=KoledarskoLeto,MONTH(MajNed1+24)=5),MajNed1+24,""))</f>
        <v>43971</v>
      </c>
      <c r="F26" s="25">
        <f>IF(DAY(MajNed1)=1,IF(AND(YEAR(MajNed1+18)=KoledarskoLeto,MONTH(MajNed1+18)=5),MajNed1+18,""),IF(AND(YEAR(MajNed1+25)=KoledarskoLeto,MONTH(MajNed1+25)=5),MajNed1+25,""))</f>
        <v>43972</v>
      </c>
      <c r="G26" s="25">
        <f>IF(DAY(MajNed1)=1,IF(AND(YEAR(MajNed1+19)=KoledarskoLeto,MONTH(MajNed1+19)=5),MajNed1+19,""),IF(AND(YEAR(MajNed1+26)=KoledarskoLeto,MONTH(MajNed1+26)=5),MajNed1+26,""))</f>
        <v>43973</v>
      </c>
      <c r="H26" s="25">
        <f>IF(DAY(MajNed1)=1,IF(AND(YEAR(MajNed1+20)=KoledarskoLeto,MONTH(MajNed1+20)=5),MajNed1+20,""),IF(AND(YEAR(MajNed1+27)=KoledarskoLeto,MONTH(MajNed1+27)=5),MajNed1+27,""))</f>
        <v>43974</v>
      </c>
      <c r="I26" s="25">
        <f>IF(DAY(MajNed1)=1,IF(AND(YEAR(MajNed1+21)=KoledarskoLeto,MONTH(MajNed1+21)=5),MajNed1+21,""),IF(AND(YEAR(MajNed1+28)=KoledarskoLeto,MONTH(MajNed1+28)=5),MajNed1+28,""))</f>
        <v>43975</v>
      </c>
      <c r="J26" s="22"/>
      <c r="K26" s="25">
        <f>IF(DAY(JunNed1)=1,IF(AND(YEAR(JunNed1+15)=KoledarskoLeto,MONTH(JunNed1+15)=6),JunNed1+15,""),IF(AND(YEAR(JunNed1+22)=KoledarskoLeto,MONTH(JunNed1+22)=6),JunNed1+22,""))</f>
        <v>44004</v>
      </c>
      <c r="L26" s="25">
        <f>IF(DAY(JunNed1)=1,IF(AND(YEAR(JunNed1+16)=KoledarskoLeto,MONTH(JunNed1+16)=6),JunNed1+16,""),IF(AND(YEAR(JunNed1+23)=KoledarskoLeto,MONTH(JunNed1+23)=6),JunNed1+23,""))</f>
        <v>44005</v>
      </c>
      <c r="M26" s="25">
        <f>IF(DAY(JunNed1)=1,IF(AND(YEAR(JunNed1+17)=KoledarskoLeto,MONTH(JunNed1+17)=6),JunNed1+17,""),IF(AND(YEAR(JunNed1+24)=KoledarskoLeto,MONTH(JunNed1+24)=6),JunNed1+24,""))</f>
        <v>44006</v>
      </c>
      <c r="N26" s="25">
        <f>IF(DAY(JunNed1)=1,IF(AND(YEAR(JunNed1+18)=KoledarskoLeto,MONTH(JunNed1+18)=6),JunNed1+18,""),IF(AND(YEAR(JunNed1+25)=KoledarskoLeto,MONTH(JunNed1+25)=6),JunNed1+25,""))</f>
        <v>44007</v>
      </c>
      <c r="O26" s="25">
        <f>IF(DAY(JunNed1)=1,IF(AND(YEAR(JunNed1+19)=KoledarskoLeto,MONTH(JunNed1+19)=6),JunNed1+19,""),IF(AND(YEAR(JunNed1+26)=KoledarskoLeto,MONTH(JunNed1+26)=6),JunNed1+26,""))</f>
        <v>44008</v>
      </c>
      <c r="P26" s="25">
        <f>IF(DAY(JunNed1)=1,IF(AND(YEAR(JunNed1+20)=KoledarskoLeto,MONTH(JunNed1+20)=6),JunNed1+20,""),IF(AND(YEAR(JunNed1+27)=KoledarskoLeto,MONTH(JunNed1+27)=6),JunNed1+27,""))</f>
        <v>44009</v>
      </c>
      <c r="Q26" s="25">
        <f>IF(DAY(JunNed1)=1,IF(AND(YEAR(JunNed1+21)=KoledarskoLeto,MONTH(JunNed1+21)=6),JunNed1+21,""),IF(AND(YEAR(JunNed1+28)=KoledarskoLeto,MONTH(JunNed1+28)=6),JunNed1+28,""))</f>
        <v>44010</v>
      </c>
      <c r="S26" s="24"/>
      <c r="U26" s="2"/>
      <c r="V26" s="30"/>
      <c r="W26" s="30"/>
    </row>
    <row r="27" spans="1:23" ht="15" customHeight="1" x14ac:dyDescent="0.2">
      <c r="C27" s="25">
        <f>IF(DAY(MajNed1)=1,IF(AND(YEAR(MajNed1+22)=KoledarskoLeto,MONTH(MajNed1+22)=5),MajNed1+22,""),IF(AND(YEAR(MajNed1+29)=KoledarskoLeto,MONTH(MajNed1+29)=5),MajNed1+29,""))</f>
        <v>43976</v>
      </c>
      <c r="D27" s="25">
        <f>IF(DAY(MajNed1)=1,IF(AND(YEAR(MajNed1+23)=KoledarskoLeto,MONTH(MajNed1+23)=5),MajNed1+23,""),IF(AND(YEAR(MajNed1+30)=KoledarskoLeto,MONTH(MajNed1+30)=5),MajNed1+30,""))</f>
        <v>43977</v>
      </c>
      <c r="E27" s="25">
        <f>IF(DAY(MajNed1)=1,IF(AND(YEAR(MajNed1+24)=KoledarskoLeto,MONTH(MajNed1+24)=5),MajNed1+24,""),IF(AND(YEAR(MajNed1+31)=KoledarskoLeto,MONTH(MajNed1+31)=5),MajNed1+31,""))</f>
        <v>43978</v>
      </c>
      <c r="F27" s="25">
        <f>IF(DAY(MajNed1)=1,IF(AND(YEAR(MajNed1+25)=KoledarskoLeto,MONTH(MajNed1+25)=5),MajNed1+25,""),IF(AND(YEAR(MajNed1+32)=KoledarskoLeto,MONTH(MajNed1+32)=5),MajNed1+32,""))</f>
        <v>43979</v>
      </c>
      <c r="G27" s="25">
        <f>IF(DAY(MajNed1)=1,IF(AND(YEAR(MajNed1+26)=KoledarskoLeto,MONTH(MajNed1+26)=5),MajNed1+26,""),IF(AND(YEAR(MajNed1+33)=KoledarskoLeto,MONTH(MajNed1+33)=5),MajNed1+33,""))</f>
        <v>43980</v>
      </c>
      <c r="H27" s="25">
        <f>IF(DAY(MajNed1)=1,IF(AND(YEAR(MajNed1+27)=KoledarskoLeto,MONTH(MajNed1+27)=5),MajNed1+27,""),IF(AND(YEAR(MajNed1+34)=KoledarskoLeto,MONTH(MajNed1+34)=5),MajNed1+34,""))</f>
        <v>43981</v>
      </c>
      <c r="I27" s="25">
        <f>IF(DAY(MajNed1)=1,IF(AND(YEAR(MajNed1+28)=KoledarskoLeto,MONTH(MajNed1+28)=5),MajNed1+28,""),IF(AND(YEAR(MajNed1+35)=KoledarskoLeto,MONTH(MajNed1+35)=5),MajNed1+35,""))</f>
        <v>43982</v>
      </c>
      <c r="J27" s="22"/>
      <c r="K27" s="25">
        <f>IF(DAY(JunNed1)=1,IF(AND(YEAR(JunNed1+22)=KoledarskoLeto,MONTH(JunNed1+22)=6),JunNed1+22,""),IF(AND(YEAR(JunNed1+29)=KoledarskoLeto,MONTH(JunNed1+29)=6),JunNed1+29,""))</f>
        <v>44011</v>
      </c>
      <c r="L27" s="25">
        <f>IF(DAY(JunNed1)=1,IF(AND(YEAR(JunNed1+23)=KoledarskoLeto,MONTH(JunNed1+23)=6),JunNed1+23,""),IF(AND(YEAR(JunNed1+30)=KoledarskoLeto,MONTH(JunNed1+30)=6),JunNed1+30,""))</f>
        <v>44012</v>
      </c>
      <c r="M27" s="25" t="str">
        <f>IF(DAY(JunNed1)=1,IF(AND(YEAR(JunNed1+24)=KoledarskoLeto,MONTH(JunNed1+24)=6),JunNed1+24,""),IF(AND(YEAR(JunNed1+31)=KoledarskoLeto,MONTH(JunNed1+31)=6),JunNed1+31,""))</f>
        <v/>
      </c>
      <c r="N27" s="25" t="str">
        <f>IF(DAY(JunNed1)=1,IF(AND(YEAR(JunNed1+25)=KoledarskoLeto,MONTH(JunNed1+25)=6),JunNed1+25,""),IF(AND(YEAR(JunNed1+32)=KoledarskoLeto,MONTH(JunNed1+32)=6),JunNed1+32,""))</f>
        <v/>
      </c>
      <c r="O27" s="25" t="str">
        <f>IF(DAY(JunNed1)=1,IF(AND(YEAR(JunNed1+26)=KoledarskoLeto,MONTH(JunNed1+26)=6),JunNed1+26,""),IF(AND(YEAR(JunNed1+33)=KoledarskoLeto,MONTH(JunNed1+33)=6),JunNed1+33,""))</f>
        <v/>
      </c>
      <c r="P27" s="25" t="str">
        <f>IF(DAY(JunNed1)=1,IF(AND(YEAR(JunNed1+27)=KoledarskoLeto,MONTH(JunNed1+27)=6),JunNed1+27,""),IF(AND(YEAR(JunNed1+34)=KoledarskoLeto,MONTH(JunNed1+34)=6),JunNed1+34,""))</f>
        <v/>
      </c>
      <c r="Q27" s="25" t="str">
        <f>IF(DAY(JunNed1)=1,IF(AND(YEAR(JunNed1+28)=KoledarskoLeto,MONTH(JunNed1+28)=6),JunNed1+28,""),IF(AND(YEAR(JunNed1+35)=KoledarskoLeto,MONTH(JunNed1+35)=6),JunNed1+35,""))</f>
        <v/>
      </c>
      <c r="S27" s="24"/>
      <c r="U27" s="10"/>
      <c r="V27" s="30"/>
      <c r="W27" s="30"/>
    </row>
    <row r="28" spans="1:23" ht="15" customHeight="1" x14ac:dyDescent="0.2">
      <c r="C28" s="25" t="str">
        <f>IF(DAY(MajNed1)=1,IF(AND(YEAR(MajNed1+29)=KoledarskoLeto,MONTH(MajNed1+29)=5),MajNed1+29,""),IF(AND(YEAR(MajNed1+36)=KoledarskoLeto,MONTH(MajNed1+36)=5),MajNed1+36,""))</f>
        <v/>
      </c>
      <c r="D28" s="25" t="str">
        <f>IF(DAY(MajNed1)=1,IF(AND(YEAR(MajNed1+30)=KoledarskoLeto,MONTH(MajNed1+30)=5),MajNed1+30,""),IF(AND(YEAR(MajNed1+37)=KoledarskoLeto,MONTH(MajNed1+37)=5),MajNed1+37,""))</f>
        <v/>
      </c>
      <c r="E28" s="25" t="str">
        <f>IF(DAY(MajNed1)=1,IF(AND(YEAR(MajNed1+31)=KoledarskoLeto,MONTH(MajNed1+31)=5),MajNed1+31,""),IF(AND(YEAR(MajNed1+38)=KoledarskoLeto,MONTH(MajNed1+38)=5),MajNed1+38,""))</f>
        <v/>
      </c>
      <c r="F28" s="25" t="str">
        <f>IF(DAY(MajNed1)=1,IF(AND(YEAR(MajNed1+32)=KoledarskoLeto,MONTH(MajNed1+32)=5),MajNed1+32,""),IF(AND(YEAR(MajNed1+39)=KoledarskoLeto,MONTH(MajNed1+39)=5),MajNed1+39,""))</f>
        <v/>
      </c>
      <c r="G28" s="25" t="str">
        <f>IF(DAY(MajNed1)=1,IF(AND(YEAR(MajNed1+33)=KoledarskoLeto,MONTH(MajNed1+33)=5),MajNed1+33,""),IF(AND(YEAR(MajNed1+40)=KoledarskoLeto,MONTH(MajNed1+40)=5),MajNed1+40,""))</f>
        <v/>
      </c>
      <c r="H28" s="25" t="str">
        <f>IF(DAY(MajNed1)=1,IF(AND(YEAR(MajNed1+34)=KoledarskoLeto,MONTH(MajNed1+34)=5),MajNed1+34,""),IF(AND(YEAR(MajNed1+41)=KoledarskoLeto,MONTH(MajNed1+41)=5),MajNed1+41,""))</f>
        <v/>
      </c>
      <c r="I28" s="25" t="str">
        <f>IF(DAY(MajNed1)=1,IF(AND(YEAR(MajNed1+35)=KoledarskoLeto,MONTH(MajNed1+35)=5),MajNed1+35,""),IF(AND(YEAR(MajNed1+42)=KoledarskoLeto,MONTH(MajNed1+42)=5),MajNed1+42,""))</f>
        <v/>
      </c>
      <c r="J28" s="22"/>
      <c r="K28" s="25" t="str">
        <f>IF(DAY(JunNed1)=1,IF(AND(YEAR(JunNed1+29)=KoledarskoLeto,MONTH(JunNed1+29)=6),JunNed1+29,""),IF(AND(YEAR(JunNed1+36)=KoledarskoLeto,MONTH(JunNed1+36)=6),JunNed1+36,""))</f>
        <v/>
      </c>
      <c r="L28" s="25" t="str">
        <f>IF(DAY(JunNed1)=1,IF(AND(YEAR(JunNed1+30)=KoledarskoLeto,MONTH(JunNed1+30)=6),JunNed1+30,""),IF(AND(YEAR(JunNed1+37)=KoledarskoLeto,MONTH(JunNed1+37)=6),JunNed1+37,""))</f>
        <v/>
      </c>
      <c r="M28" s="25" t="str">
        <f>IF(DAY(JunNed1)=1,IF(AND(YEAR(JunNed1+31)=KoledarskoLeto,MONTH(JunNed1+31)=6),JunNed1+31,""),IF(AND(YEAR(JunNed1+38)=KoledarskoLeto,MONTH(JunNed1+38)=6),JunNed1+38,""))</f>
        <v/>
      </c>
      <c r="N28" s="25" t="str">
        <f>IF(DAY(JunNed1)=1,IF(AND(YEAR(JunNed1+32)=KoledarskoLeto,MONTH(JunNed1+32)=6),JunNed1+32,""),IF(AND(YEAR(JunNed1+39)=KoledarskoLeto,MONTH(JunNed1+39)=6),JunNed1+39,""))</f>
        <v/>
      </c>
      <c r="O28" s="25" t="str">
        <f>IF(DAY(JunNed1)=1,IF(AND(YEAR(JunNed1+33)=KoledarskoLeto,MONTH(JunNed1+33)=6),JunNed1+33,""),IF(AND(YEAR(JunNed1+40)=KoledarskoLeto,MONTH(JunNed1+40)=6),JunNed1+40,""))</f>
        <v/>
      </c>
      <c r="P28" s="25" t="str">
        <f>IF(DAY(JunNed1)=1,IF(AND(YEAR(JunNed1+34)=KoledarskoLeto,MONTH(JunNed1+34)=6),JunNed1+34,""),IF(AND(YEAR(JunNed1+41)=KoledarskoLeto,MONTH(JunNed1+41)=6),JunNed1+41,""))</f>
        <v/>
      </c>
      <c r="Q28" s="25" t="str">
        <f>IF(DAY(JunNed1)=1,IF(AND(YEAR(JunNed1+35)=KoledarskoLeto,MONTH(JunNed1+35)=6),JunNed1+35,""),IF(AND(YEAR(JunNed1+42)=KoledarskoLeto,MONTH(JunNed1+42)=6),JunNed1+42,""))</f>
        <v/>
      </c>
      <c r="S28" s="24"/>
      <c r="U28" s="3"/>
      <c r="V28" s="30"/>
      <c r="W28" s="30"/>
    </row>
    <row r="29" spans="1:23" ht="15" customHeight="1" x14ac:dyDescent="0.2">
      <c r="J29" s="22"/>
      <c r="S29" s="24"/>
      <c r="U29" s="2"/>
      <c r="V29" s="30"/>
      <c r="W29" s="30"/>
    </row>
    <row r="30" spans="1:23" ht="15" customHeight="1" x14ac:dyDescent="0.2">
      <c r="A30" s="18" t="s">
        <v>15</v>
      </c>
      <c r="C30" s="27" t="s">
        <v>29</v>
      </c>
      <c r="D30" s="27"/>
      <c r="E30" s="27"/>
      <c r="F30" s="27"/>
      <c r="G30" s="27"/>
      <c r="H30" s="27"/>
      <c r="I30" s="27"/>
      <c r="J30" s="22"/>
      <c r="K30" s="27" t="s">
        <v>41</v>
      </c>
      <c r="L30" s="27"/>
      <c r="M30" s="27"/>
      <c r="N30" s="27"/>
      <c r="O30" s="27"/>
      <c r="P30" s="27"/>
      <c r="Q30" s="27"/>
      <c r="S30" s="24"/>
      <c r="U30" s="10"/>
      <c r="V30" s="30"/>
      <c r="W30" s="30"/>
    </row>
    <row r="31" spans="1:23" ht="15" customHeight="1" x14ac:dyDescent="0.2">
      <c r="A31" s="18" t="s">
        <v>16</v>
      </c>
      <c r="C31" s="11" t="s">
        <v>26</v>
      </c>
      <c r="D31" s="11" t="s">
        <v>32</v>
      </c>
      <c r="E31" s="11" t="s">
        <v>33</v>
      </c>
      <c r="F31" s="11" t="s">
        <v>34</v>
      </c>
      <c r="G31" s="11" t="s">
        <v>35</v>
      </c>
      <c r="H31" s="11" t="s">
        <v>36</v>
      </c>
      <c r="I31" s="11" t="s">
        <v>37</v>
      </c>
      <c r="J31" s="22"/>
      <c r="K31" s="11" t="s">
        <v>26</v>
      </c>
      <c r="L31" s="11" t="s">
        <v>32</v>
      </c>
      <c r="M31" s="11" t="s">
        <v>33</v>
      </c>
      <c r="N31" s="11" t="s">
        <v>34</v>
      </c>
      <c r="O31" s="11" t="s">
        <v>35</v>
      </c>
      <c r="P31" s="11" t="s">
        <v>36</v>
      </c>
      <c r="Q31" s="11" t="s">
        <v>37</v>
      </c>
      <c r="S31" s="24"/>
      <c r="U31" s="3"/>
      <c r="V31" s="30"/>
      <c r="W31" s="30"/>
    </row>
    <row r="32" spans="1:23" ht="15" customHeight="1" x14ac:dyDescent="0.2">
      <c r="A32" s="18"/>
      <c r="C32" s="25" t="str">
        <f>IF(DAY(JulNed1)=1,"",IF(AND(YEAR(JulNed1+1)=KoledarskoLeto,MONTH(JulNed1+1)=7),JulNed1+1,""))</f>
        <v/>
      </c>
      <c r="D32" s="25" t="str">
        <f>IF(DAY(JulNed1)=1,"",IF(AND(YEAR(JulNed1+2)=KoledarskoLeto,MONTH(JulNed1+2)=7),JulNed1+2,""))</f>
        <v/>
      </c>
      <c r="E32" s="25">
        <f>IF(DAY(JulNed1)=1,"",IF(AND(YEAR(JulNed1+3)=KoledarskoLeto,MONTH(JulNed1+3)=7),JulNed1+3,""))</f>
        <v>44013</v>
      </c>
      <c r="F32" s="25">
        <f>IF(DAY(JulNed1)=1,"",IF(AND(YEAR(JulNed1+4)=KoledarskoLeto,MONTH(JulNed1+4)=7),JulNed1+4,""))</f>
        <v>44014</v>
      </c>
      <c r="G32" s="25">
        <f>IF(DAY(JulNed1)=1,"",IF(AND(YEAR(JulNed1+5)=KoledarskoLeto,MONTH(JulNed1+5)=7),JulNed1+5,""))</f>
        <v>44015</v>
      </c>
      <c r="H32" s="25">
        <f>IF(DAY(JulNed1)=1,"",IF(AND(YEAR(JulNed1+6)=KoledarskoLeto,MONTH(JulNed1+6)=7),JulNed1+6,""))</f>
        <v>44016</v>
      </c>
      <c r="I32" s="25">
        <f>IF(DAY(JulNed1)=1,IF(AND(YEAR(JulNed1)=KoledarskoLeto,MONTH(JulNed1)=7),JulNed1,""),IF(AND(YEAR(JulNed1+7)=KoledarskoLeto,MONTH(JulNed1+7)=7),JulNed1+7,""))</f>
        <v>44017</v>
      </c>
      <c r="K32" s="25" t="str">
        <f>IF(DAY(AvgNed1)=1,"",IF(AND(YEAR(AvgNed1+1)=KoledarskoLeto,MONTH(AvgNed1+1)=8),AvgNed1+1,""))</f>
        <v/>
      </c>
      <c r="L32" s="25" t="str">
        <f>IF(DAY(AvgNed1)=1,"",IF(AND(YEAR(AvgNed1+2)=KoledarskoLeto,MONTH(AvgNed1+2)=8),AvgNed1+2,""))</f>
        <v/>
      </c>
      <c r="M32" s="25" t="str">
        <f>IF(DAY(AvgNed1)=1,"",IF(AND(YEAR(AvgNed1+3)=KoledarskoLeto,MONTH(AvgNed1+3)=8),AvgNed1+3,""))</f>
        <v/>
      </c>
      <c r="N32" s="25" t="str">
        <f>IF(DAY(AvgNed1)=1,"",IF(AND(YEAR(AvgNed1+4)=KoledarskoLeto,MONTH(AvgNed1+4)=8),AvgNed1+4,""))</f>
        <v/>
      </c>
      <c r="O32" s="25" t="str">
        <f>IF(DAY(AvgNed1)=1,"",IF(AND(YEAR(AvgNed1+5)=KoledarskoLeto,MONTH(AvgNed1+5)=8),AvgNed1+5,""))</f>
        <v/>
      </c>
      <c r="P32" s="25">
        <f>IF(DAY(AvgNed1)=1,"",IF(AND(YEAR(AvgNed1+6)=KoledarskoLeto,MONTH(AvgNed1+6)=8),AvgNed1+6,""))</f>
        <v>44044</v>
      </c>
      <c r="Q32" s="25">
        <f>IF(DAY(AvgNed1)=1,IF(AND(YEAR(AvgNed1)=KoledarskoLeto,MONTH(AvgNed1)=8),AvgNed1,""),IF(AND(YEAR(AvgNed1+7)=KoledarskoLeto,MONTH(AvgNed1+7)=8),AvgNed1+7,""))</f>
        <v>44045</v>
      </c>
      <c r="S32" s="24"/>
      <c r="U32" s="2"/>
      <c r="V32" s="30"/>
      <c r="W32" s="30"/>
    </row>
    <row r="33" spans="1:23" ht="15" customHeight="1" x14ac:dyDescent="0.2">
      <c r="A33" s="18"/>
      <c r="C33" s="25">
        <f>IF(DAY(JulNed1)=1,IF(AND(YEAR(JulNed1+1)=KoledarskoLeto,MONTH(JulNed1+1)=7),JulNed1+1,""),IF(AND(YEAR(JulNed1+8)=KoledarskoLeto,MONTH(JulNed1+8)=7),JulNed1+8,""))</f>
        <v>44018</v>
      </c>
      <c r="D33" s="25">
        <f>IF(DAY(JulNed1)=1,IF(AND(YEAR(JulNed1+2)=KoledarskoLeto,MONTH(JulNed1+2)=7),JulNed1+2,""),IF(AND(YEAR(JulNed1+9)=KoledarskoLeto,MONTH(JulNed1+9)=7),JulNed1+9,""))</f>
        <v>44019</v>
      </c>
      <c r="E33" s="25">
        <f>IF(DAY(JulNed1)=1,IF(AND(YEAR(JulNed1+3)=KoledarskoLeto,MONTH(JulNed1+3)=7),JulNed1+3,""),IF(AND(YEAR(JulNed1+10)=KoledarskoLeto,MONTH(JulNed1+10)=7),JulNed1+10,""))</f>
        <v>44020</v>
      </c>
      <c r="F33" s="25">
        <f>IF(DAY(JulNed1)=1,IF(AND(YEAR(JulNed1+4)=KoledarskoLeto,MONTH(JulNed1+4)=7),JulNed1+4,""),IF(AND(YEAR(JulNed1+11)=KoledarskoLeto,MONTH(JulNed1+11)=7),JulNed1+11,""))</f>
        <v>44021</v>
      </c>
      <c r="G33" s="25">
        <f>IF(DAY(JulNed1)=1,IF(AND(YEAR(JulNed1+5)=KoledarskoLeto,MONTH(JulNed1+5)=7),JulNed1+5,""),IF(AND(YEAR(JulNed1+12)=KoledarskoLeto,MONTH(JulNed1+12)=7),JulNed1+12,""))</f>
        <v>44022</v>
      </c>
      <c r="H33" s="25">
        <f>IF(DAY(JulNed1)=1,IF(AND(YEAR(JulNed1+6)=KoledarskoLeto,MONTH(JulNed1+6)=7),JulNed1+6,""),IF(AND(YEAR(JulNed1+13)=KoledarskoLeto,MONTH(JulNed1+13)=7),JulNed1+13,""))</f>
        <v>44023</v>
      </c>
      <c r="I33" s="25">
        <f>IF(DAY(JulNed1)=1,IF(AND(YEAR(JulNed1+7)=KoledarskoLeto,MONTH(JulNed1+7)=7),JulNed1+7,""),IF(AND(YEAR(JulNed1+14)=KoledarskoLeto,MONTH(JulNed1+14)=7),JulNed1+14,""))</f>
        <v>44024</v>
      </c>
      <c r="K33" s="25">
        <f>IF(DAY(AvgNed1)=1,IF(AND(YEAR(AvgNed1+1)=KoledarskoLeto,MONTH(AvgNed1+1)=8),AvgNed1+1,""),IF(AND(YEAR(AvgNed1+8)=KoledarskoLeto,MONTH(AvgNed1+8)=8),AvgNed1+8,""))</f>
        <v>44046</v>
      </c>
      <c r="L33" s="25">
        <f>IF(DAY(AvgNed1)=1,IF(AND(YEAR(AvgNed1+2)=KoledarskoLeto,MONTH(AvgNed1+2)=8),AvgNed1+2,""),IF(AND(YEAR(AvgNed1+9)=KoledarskoLeto,MONTH(AvgNed1+9)=8),AvgNed1+9,""))</f>
        <v>44047</v>
      </c>
      <c r="M33" s="25">
        <f>IF(DAY(AvgNed1)=1,IF(AND(YEAR(AvgNed1+3)=KoledarskoLeto,MONTH(AvgNed1+3)=8),AvgNed1+3,""),IF(AND(YEAR(AvgNed1+10)=KoledarskoLeto,MONTH(AvgNed1+10)=8),AvgNed1+10,""))</f>
        <v>44048</v>
      </c>
      <c r="N33" s="25">
        <f>IF(DAY(AvgNed1)=1,IF(AND(YEAR(AvgNed1+4)=KoledarskoLeto,MONTH(AvgNed1+4)=8),AvgNed1+4,""),IF(AND(YEAR(AvgNed1+11)=KoledarskoLeto,MONTH(AvgNed1+11)=8),AvgNed1+11,""))</f>
        <v>44049</v>
      </c>
      <c r="O33" s="25">
        <f>IF(DAY(AvgNed1)=1,IF(AND(YEAR(AvgNed1+5)=KoledarskoLeto,MONTH(AvgNed1+5)=8),AvgNed1+5,""),IF(AND(YEAR(AvgNed1+12)=KoledarskoLeto,MONTH(AvgNed1+12)=8),AvgNed1+12,""))</f>
        <v>44050</v>
      </c>
      <c r="P33" s="25">
        <f>IF(DAY(AvgNed1)=1,IF(AND(YEAR(AvgNed1+6)=KoledarskoLeto,MONTH(AvgNed1+6)=8),AvgNed1+6,""),IF(AND(YEAR(AvgNed1+13)=KoledarskoLeto,MONTH(AvgNed1+13)=8),AvgNed1+13,""))</f>
        <v>44051</v>
      </c>
      <c r="Q33" s="25">
        <f>IF(DAY(AvgNed1)=1,IF(AND(YEAR(AvgNed1+7)=KoledarskoLeto,MONTH(AvgNed1+7)=8),AvgNed1+7,""),IF(AND(YEAR(AvgNed1+14)=KoledarskoLeto,MONTH(AvgNed1+14)=8),AvgNed1+14,""))</f>
        <v>44052</v>
      </c>
      <c r="S33" s="24"/>
      <c r="U33" s="10"/>
      <c r="V33" s="30"/>
      <c r="W33" s="30"/>
    </row>
    <row r="34" spans="1:23" ht="15" customHeight="1" x14ac:dyDescent="0.2">
      <c r="C34" s="25">
        <f>IF(DAY(JulNed1)=1,IF(AND(YEAR(JulNed1+8)=KoledarskoLeto,MONTH(JulNed1+8)=7),JulNed1+8,""),IF(AND(YEAR(JulNed1+15)=KoledarskoLeto,MONTH(JulNed1+15)=7),JulNed1+15,""))</f>
        <v>44025</v>
      </c>
      <c r="D34" s="25">
        <f>IF(DAY(JulNed1)=1,IF(AND(YEAR(JulNed1+9)=KoledarskoLeto,MONTH(JulNed1+9)=7),JulNed1+9,""),IF(AND(YEAR(JulNed1+16)=KoledarskoLeto,MONTH(JulNed1+16)=7),JulNed1+16,""))</f>
        <v>44026</v>
      </c>
      <c r="E34" s="25">
        <f>IF(DAY(JulNed1)=1,IF(AND(YEAR(JulNed1+10)=KoledarskoLeto,MONTH(JulNed1+10)=7),JulNed1+10,""),IF(AND(YEAR(JulNed1+17)=KoledarskoLeto,MONTH(JulNed1+17)=7),JulNed1+17,""))</f>
        <v>44027</v>
      </c>
      <c r="F34" s="25">
        <f>IF(DAY(JulNed1)=1,IF(AND(YEAR(JulNed1+11)=KoledarskoLeto,MONTH(JulNed1+11)=7),JulNed1+11,""),IF(AND(YEAR(JulNed1+18)=KoledarskoLeto,MONTH(JulNed1+18)=7),JulNed1+18,""))</f>
        <v>44028</v>
      </c>
      <c r="G34" s="25">
        <f>IF(DAY(JulNed1)=1,IF(AND(YEAR(JulNed1+12)=KoledarskoLeto,MONTH(JulNed1+12)=7),JulNed1+12,""),IF(AND(YEAR(JulNed1+19)=KoledarskoLeto,MONTH(JulNed1+19)=7),JulNed1+19,""))</f>
        <v>44029</v>
      </c>
      <c r="H34" s="25">
        <f>IF(DAY(JulNed1)=1,IF(AND(YEAR(JulNed1+13)=KoledarskoLeto,MONTH(JulNed1+13)=7),JulNed1+13,""),IF(AND(YEAR(JulNed1+20)=KoledarskoLeto,MONTH(JulNed1+20)=7),JulNed1+20,""))</f>
        <v>44030</v>
      </c>
      <c r="I34" s="25">
        <f>IF(DAY(JulNed1)=1,IF(AND(YEAR(JulNed1+14)=KoledarskoLeto,MONTH(JulNed1+14)=7),JulNed1+14,""),IF(AND(YEAR(JulNed1+21)=KoledarskoLeto,MONTH(JulNed1+21)=7),JulNed1+21,""))</f>
        <v>44031</v>
      </c>
      <c r="K34" s="25">
        <f>IF(DAY(AvgNed1)=1,IF(AND(YEAR(AvgNed1+8)=KoledarskoLeto,MONTH(AvgNed1+8)=8),AvgNed1+8,""),IF(AND(YEAR(AvgNed1+15)=KoledarskoLeto,MONTH(AvgNed1+15)=8),AvgNed1+15,""))</f>
        <v>44053</v>
      </c>
      <c r="L34" s="25">
        <f>IF(DAY(AvgNed1)=1,IF(AND(YEAR(AvgNed1+9)=KoledarskoLeto,MONTH(AvgNed1+9)=8),AvgNed1+9,""),IF(AND(YEAR(AvgNed1+16)=KoledarskoLeto,MONTH(AvgNed1+16)=8),AvgNed1+16,""))</f>
        <v>44054</v>
      </c>
      <c r="M34" s="25">
        <f>IF(DAY(AvgNed1)=1,IF(AND(YEAR(AvgNed1+10)=KoledarskoLeto,MONTH(AvgNed1+10)=8),AvgNed1+10,""),IF(AND(YEAR(AvgNed1+17)=KoledarskoLeto,MONTH(AvgNed1+17)=8),AvgNed1+17,""))</f>
        <v>44055</v>
      </c>
      <c r="N34" s="25">
        <f>IF(DAY(AvgNed1)=1,IF(AND(YEAR(AvgNed1+11)=KoledarskoLeto,MONTH(AvgNed1+11)=8),AvgNed1+11,""),IF(AND(YEAR(AvgNed1+18)=KoledarskoLeto,MONTH(AvgNed1+18)=8),AvgNed1+18,""))</f>
        <v>44056</v>
      </c>
      <c r="O34" s="25">
        <f>IF(DAY(AvgNed1)=1,IF(AND(YEAR(AvgNed1+12)=KoledarskoLeto,MONTH(AvgNed1+12)=8),AvgNed1+12,""),IF(AND(YEAR(AvgNed1+19)=KoledarskoLeto,MONTH(AvgNed1+19)=8),AvgNed1+19,""))</f>
        <v>44057</v>
      </c>
      <c r="P34" s="25">
        <f>IF(DAY(AvgNed1)=1,IF(AND(YEAR(AvgNed1+13)=KoledarskoLeto,MONTH(AvgNed1+13)=8),AvgNed1+13,""),IF(AND(YEAR(AvgNed1+20)=KoledarskoLeto,MONTH(AvgNed1+20)=8),AvgNed1+20,""))</f>
        <v>44058</v>
      </c>
      <c r="Q34" s="25">
        <f>IF(DAY(AvgNed1)=1,IF(AND(YEAR(AvgNed1+14)=KoledarskoLeto,MONTH(AvgNed1+14)=8),AvgNed1+14,""),IF(AND(YEAR(AvgNed1+21)=KoledarskoLeto,MONTH(AvgNed1+21)=8),AvgNed1+21,""))</f>
        <v>44059</v>
      </c>
      <c r="S34" s="24"/>
      <c r="U34" s="3"/>
      <c r="V34" s="30"/>
      <c r="W34" s="30"/>
    </row>
    <row r="35" spans="1:23" ht="15" customHeight="1" x14ac:dyDescent="0.2">
      <c r="C35" s="25">
        <f>IF(DAY(JulNed1)=1,IF(AND(YEAR(JulNed1+15)=KoledarskoLeto,MONTH(JulNed1+15)=7),JulNed1+15,""),IF(AND(YEAR(JulNed1+22)=KoledarskoLeto,MONTH(JulNed1+22)=7),JulNed1+22,""))</f>
        <v>44032</v>
      </c>
      <c r="D35" s="25">
        <f>IF(DAY(JulNed1)=1,IF(AND(YEAR(JulNed1+16)=KoledarskoLeto,MONTH(JulNed1+16)=7),JulNed1+16,""),IF(AND(YEAR(JulNed1+23)=KoledarskoLeto,MONTH(JulNed1+23)=7),JulNed1+23,""))</f>
        <v>44033</v>
      </c>
      <c r="E35" s="25">
        <f>IF(DAY(JulNed1)=1,IF(AND(YEAR(JulNed1+17)=KoledarskoLeto,MONTH(JulNed1+17)=7),JulNed1+17,""),IF(AND(YEAR(JulNed1+24)=KoledarskoLeto,MONTH(JulNed1+24)=7),JulNed1+24,""))</f>
        <v>44034</v>
      </c>
      <c r="F35" s="25">
        <f>IF(DAY(JulNed1)=1,IF(AND(YEAR(JulNed1+18)=KoledarskoLeto,MONTH(JulNed1+18)=7),JulNed1+18,""),IF(AND(YEAR(JulNed1+25)=KoledarskoLeto,MONTH(JulNed1+25)=7),JulNed1+25,""))</f>
        <v>44035</v>
      </c>
      <c r="G35" s="25">
        <f>IF(DAY(JulNed1)=1,IF(AND(YEAR(JulNed1+19)=KoledarskoLeto,MONTH(JulNed1+19)=7),JulNed1+19,""),IF(AND(YEAR(JulNed1+26)=KoledarskoLeto,MONTH(JulNed1+26)=7),JulNed1+26,""))</f>
        <v>44036</v>
      </c>
      <c r="H35" s="25">
        <f>IF(DAY(JulNed1)=1,IF(AND(YEAR(JulNed1+20)=KoledarskoLeto,MONTH(JulNed1+20)=7),JulNed1+20,""),IF(AND(YEAR(JulNed1+27)=KoledarskoLeto,MONTH(JulNed1+27)=7),JulNed1+27,""))</f>
        <v>44037</v>
      </c>
      <c r="I35" s="25">
        <f>IF(DAY(JulNed1)=1,IF(AND(YEAR(JulNed1+21)=KoledarskoLeto,MONTH(JulNed1+21)=7),JulNed1+21,""),IF(AND(YEAR(JulNed1+28)=KoledarskoLeto,MONTH(JulNed1+28)=7),JulNed1+28,""))</f>
        <v>44038</v>
      </c>
      <c r="K35" s="25">
        <f>IF(DAY(AvgNed1)=1,IF(AND(YEAR(AvgNed1+15)=KoledarskoLeto,MONTH(AvgNed1+15)=8),AvgNed1+15,""),IF(AND(YEAR(AvgNed1+22)=KoledarskoLeto,MONTH(AvgNed1+22)=8),AvgNed1+22,""))</f>
        <v>44060</v>
      </c>
      <c r="L35" s="25">
        <f>IF(DAY(AvgNed1)=1,IF(AND(YEAR(AvgNed1+16)=KoledarskoLeto,MONTH(AvgNed1+16)=8),AvgNed1+16,""),IF(AND(YEAR(AvgNed1+23)=KoledarskoLeto,MONTH(AvgNed1+23)=8),AvgNed1+23,""))</f>
        <v>44061</v>
      </c>
      <c r="M35" s="25">
        <f>IF(DAY(AvgNed1)=1,IF(AND(YEAR(AvgNed1+17)=KoledarskoLeto,MONTH(AvgNed1+17)=8),AvgNed1+17,""),IF(AND(YEAR(AvgNed1+24)=KoledarskoLeto,MONTH(AvgNed1+24)=8),AvgNed1+24,""))</f>
        <v>44062</v>
      </c>
      <c r="N35" s="25">
        <f>IF(DAY(AvgNed1)=1,IF(AND(YEAR(AvgNed1+18)=KoledarskoLeto,MONTH(AvgNed1+18)=8),AvgNed1+18,""),IF(AND(YEAR(AvgNed1+25)=KoledarskoLeto,MONTH(AvgNed1+25)=8),AvgNed1+25,""))</f>
        <v>44063</v>
      </c>
      <c r="O35" s="25">
        <f>IF(DAY(AvgNed1)=1,IF(AND(YEAR(AvgNed1+19)=KoledarskoLeto,MONTH(AvgNed1+19)=8),AvgNed1+19,""),IF(AND(YEAR(AvgNed1+26)=KoledarskoLeto,MONTH(AvgNed1+26)=8),AvgNed1+26,""))</f>
        <v>44064</v>
      </c>
      <c r="P35" s="25">
        <f>IF(DAY(AvgNed1)=1,IF(AND(YEAR(AvgNed1+20)=KoledarskoLeto,MONTH(AvgNed1+20)=8),AvgNed1+20,""),IF(AND(YEAR(AvgNed1+27)=KoledarskoLeto,MONTH(AvgNed1+27)=8),AvgNed1+27,""))</f>
        <v>44065</v>
      </c>
      <c r="Q35" s="25">
        <f>IF(DAY(AvgNed1)=1,IF(AND(YEAR(AvgNed1+21)=KoledarskoLeto,MONTH(AvgNed1+21)=8),AvgNed1+21,""),IF(AND(YEAR(AvgNed1+28)=KoledarskoLeto,MONTH(AvgNed1+28)=8),AvgNed1+28,""))</f>
        <v>44066</v>
      </c>
      <c r="S35" s="24"/>
      <c r="U35" s="2"/>
      <c r="V35" s="30"/>
      <c r="W35" s="30"/>
    </row>
    <row r="36" spans="1:23" ht="15" customHeight="1" x14ac:dyDescent="0.2">
      <c r="C36" s="25">
        <f>IF(DAY(JulNed1)=1,IF(AND(YEAR(JulNed1+22)=KoledarskoLeto,MONTH(JulNed1+22)=7),JulNed1+22,""),IF(AND(YEAR(JulNed1+29)=KoledarskoLeto,MONTH(JulNed1+29)=7),JulNed1+29,""))</f>
        <v>44039</v>
      </c>
      <c r="D36" s="25">
        <f>IF(DAY(JulNed1)=1,IF(AND(YEAR(JulNed1+23)=KoledarskoLeto,MONTH(JulNed1+23)=7),JulNed1+23,""),IF(AND(YEAR(JulNed1+30)=KoledarskoLeto,MONTH(JulNed1+30)=7),JulNed1+30,""))</f>
        <v>44040</v>
      </c>
      <c r="E36" s="25">
        <f>IF(DAY(JulNed1)=1,IF(AND(YEAR(JulNed1+24)=KoledarskoLeto,MONTH(JulNed1+24)=7),JulNed1+24,""),IF(AND(YEAR(JulNed1+31)=KoledarskoLeto,MONTH(JulNed1+31)=7),JulNed1+31,""))</f>
        <v>44041</v>
      </c>
      <c r="F36" s="25">
        <f>IF(DAY(JulNed1)=1,IF(AND(YEAR(JulNed1+25)=KoledarskoLeto,MONTH(JulNed1+25)=7),JulNed1+25,""),IF(AND(YEAR(JulNed1+32)=KoledarskoLeto,MONTH(JulNed1+32)=7),JulNed1+32,""))</f>
        <v>44042</v>
      </c>
      <c r="G36" s="25">
        <f>IF(DAY(JulNed1)=1,IF(AND(YEAR(JulNed1+26)=KoledarskoLeto,MONTH(JulNed1+26)=7),JulNed1+26,""),IF(AND(YEAR(JulNed1+33)=KoledarskoLeto,MONTH(JulNed1+33)=7),JulNed1+33,""))</f>
        <v>44043</v>
      </c>
      <c r="H36" s="25" t="str">
        <f>IF(DAY(JulNed1)=1,IF(AND(YEAR(JulNed1+27)=KoledarskoLeto,MONTH(JulNed1+27)=7),JulNed1+27,""),IF(AND(YEAR(JulNed1+34)=KoledarskoLeto,MONTH(JulNed1+34)=7),JulNed1+34,""))</f>
        <v/>
      </c>
      <c r="I36" s="25" t="str">
        <f>IF(DAY(JulNed1)=1,IF(AND(YEAR(JulNed1+28)=KoledarskoLeto,MONTH(JulNed1+28)=7),JulNed1+28,""),IF(AND(YEAR(JulNed1+35)=KoledarskoLeto,MONTH(JulNed1+35)=7),JulNed1+35,""))</f>
        <v/>
      </c>
      <c r="K36" s="25">
        <f>IF(DAY(AvgNed1)=1,IF(AND(YEAR(AvgNed1+22)=KoledarskoLeto,MONTH(AvgNed1+22)=8),AvgNed1+22,""),IF(AND(YEAR(AvgNed1+29)=KoledarskoLeto,MONTH(AvgNed1+29)=8),AvgNed1+29,""))</f>
        <v>44067</v>
      </c>
      <c r="L36" s="25">
        <f>IF(DAY(AvgNed1)=1,IF(AND(YEAR(AvgNed1+23)=KoledarskoLeto,MONTH(AvgNed1+23)=8),AvgNed1+23,""),IF(AND(YEAR(AvgNed1+30)=KoledarskoLeto,MONTH(AvgNed1+30)=8),AvgNed1+30,""))</f>
        <v>44068</v>
      </c>
      <c r="M36" s="25">
        <f>IF(DAY(AvgNed1)=1,IF(AND(YEAR(AvgNed1+24)=KoledarskoLeto,MONTH(AvgNed1+24)=8),AvgNed1+24,""),IF(AND(YEAR(AvgNed1+31)=KoledarskoLeto,MONTH(AvgNed1+31)=8),AvgNed1+31,""))</f>
        <v>44069</v>
      </c>
      <c r="N36" s="25">
        <f>IF(DAY(AvgNed1)=1,IF(AND(YEAR(AvgNed1+25)=KoledarskoLeto,MONTH(AvgNed1+25)=8),AvgNed1+25,""),IF(AND(YEAR(AvgNed1+32)=KoledarskoLeto,MONTH(AvgNed1+32)=8),AvgNed1+32,""))</f>
        <v>44070</v>
      </c>
      <c r="O36" s="25">
        <f>IF(DAY(AvgNed1)=1,IF(AND(YEAR(AvgNed1+26)=KoledarskoLeto,MONTH(AvgNed1+26)=8),AvgNed1+26,""),IF(AND(YEAR(AvgNed1+33)=KoledarskoLeto,MONTH(AvgNed1+33)=8),AvgNed1+33,""))</f>
        <v>44071</v>
      </c>
      <c r="P36" s="25">
        <f>IF(DAY(AvgNed1)=1,IF(AND(YEAR(AvgNed1+27)=KoledarskoLeto,MONTH(AvgNed1+27)=8),AvgNed1+27,""),IF(AND(YEAR(AvgNed1+34)=KoledarskoLeto,MONTH(AvgNed1+34)=8),AvgNed1+34,""))</f>
        <v>44072</v>
      </c>
      <c r="Q36" s="25">
        <f>IF(DAY(AvgNed1)=1,IF(AND(YEAR(AvgNed1+28)=KoledarskoLeto,MONTH(AvgNed1+28)=8),AvgNed1+28,""),IF(AND(YEAR(AvgNed1+35)=KoledarskoLeto,MONTH(AvgNed1+35)=8),AvgNed1+35,""))</f>
        <v>44073</v>
      </c>
      <c r="S36" s="24"/>
      <c r="U36" s="10"/>
      <c r="V36" s="30"/>
      <c r="W36" s="30"/>
    </row>
    <row r="37" spans="1:23" ht="15" customHeight="1" x14ac:dyDescent="0.2">
      <c r="C37" s="25" t="str">
        <f>IF(DAY(JulNed1)=1,IF(AND(YEAR(JulNed1+29)=KoledarskoLeto,MONTH(JulNed1+29)=7),JulNed1+29,""),IF(AND(YEAR(JulNed1+36)=KoledarskoLeto,MONTH(JulNed1+36)=7),JulNed1+36,""))</f>
        <v/>
      </c>
      <c r="D37" s="25" t="str">
        <f>IF(DAY(JulNed1)=1,IF(AND(YEAR(JulNed1+30)=KoledarskoLeto,MONTH(JulNed1+30)=7),JulNed1+30,""),IF(AND(YEAR(JulNed1+37)=KoledarskoLeto,MONTH(JulNed1+37)=7),JulNed1+37,""))</f>
        <v/>
      </c>
      <c r="E37" s="25" t="str">
        <f>IF(DAY(JulNed1)=1,IF(AND(YEAR(JulNed1+31)=KoledarskoLeto,MONTH(JulNed1+31)=7),JulNed1+31,""),IF(AND(YEAR(JulNed1+38)=KoledarskoLeto,MONTH(JulNed1+38)=7),JulNed1+38,""))</f>
        <v/>
      </c>
      <c r="F37" s="25" t="str">
        <f>IF(DAY(JulNed1)=1,IF(AND(YEAR(JulNed1+32)=KoledarskoLeto,MONTH(JulNed1+32)=7),JulNed1+32,""),IF(AND(YEAR(JulNed1+39)=KoledarskoLeto,MONTH(JulNed1+39)=7),JulNed1+39,""))</f>
        <v/>
      </c>
      <c r="G37" s="25" t="str">
        <f>IF(DAY(JulNed1)=1,IF(AND(YEAR(JulNed1+33)=KoledarskoLeto,MONTH(JulNed1+33)=7),JulNed1+33,""),IF(AND(YEAR(JulNed1+40)=KoledarskoLeto,MONTH(JulNed1+40)=7),JulNed1+40,""))</f>
        <v/>
      </c>
      <c r="H37" s="25" t="str">
        <f>IF(DAY(JulNed1)=1,IF(AND(YEAR(JulNed1+34)=KoledarskoLeto,MONTH(JulNed1+34)=7),JulNed1+34,""),IF(AND(YEAR(JulNed1+41)=KoledarskoLeto,MONTH(JulNed1+41)=7),JulNed1+41,""))</f>
        <v/>
      </c>
      <c r="I37" s="25" t="str">
        <f>IF(DAY(JulNed1)=1,IF(AND(YEAR(JulNed1+35)=KoledarskoLeto,MONTH(JulNed1+35)=7),JulNed1+35,""),IF(AND(YEAR(JulNed1+42)=KoledarskoLeto,MONTH(JulNed1+42)=7),JulNed1+42,""))</f>
        <v/>
      </c>
      <c r="K37" s="25">
        <f>IF(DAY(AvgNed1)=1,IF(AND(YEAR(AvgNed1+29)=KoledarskoLeto,MONTH(AvgNed1+29)=8),AvgNed1+29,""),IF(AND(YEAR(AvgNed1+36)=KoledarskoLeto,MONTH(AvgNed1+36)=8),AvgNed1+36,""))</f>
        <v>44074</v>
      </c>
      <c r="L37" s="25" t="str">
        <f>IF(DAY(AvgNed1)=1,IF(AND(YEAR(AvgNed1+30)=KoledarskoLeto,MONTH(AvgNed1+30)=8),AvgNed1+30,""),IF(AND(YEAR(AvgNed1+37)=KoledarskoLeto,MONTH(AvgNed1+37)=8),AvgNed1+37,""))</f>
        <v/>
      </c>
      <c r="M37" s="25" t="str">
        <f>IF(DAY(AvgNed1)=1,IF(AND(YEAR(AvgNed1+31)=KoledarskoLeto,MONTH(AvgNed1+31)=8),AvgNed1+31,""),IF(AND(YEAR(AvgNed1+38)=KoledarskoLeto,MONTH(AvgNed1+38)=8),AvgNed1+38,""))</f>
        <v/>
      </c>
      <c r="N37" s="25" t="str">
        <f>IF(DAY(AvgNed1)=1,IF(AND(YEAR(AvgNed1+32)=KoledarskoLeto,MONTH(AvgNed1+32)=8),AvgNed1+32,""),IF(AND(YEAR(AvgNed1+39)=KoledarskoLeto,MONTH(AvgNed1+39)=8),AvgNed1+39,""))</f>
        <v/>
      </c>
      <c r="O37" s="25" t="str">
        <f>IF(DAY(AvgNed1)=1,IF(AND(YEAR(AvgNed1+33)=KoledarskoLeto,MONTH(AvgNed1+33)=8),AvgNed1+33,""),IF(AND(YEAR(AvgNed1+40)=KoledarskoLeto,MONTH(AvgNed1+40)=8),AvgNed1+40,""))</f>
        <v/>
      </c>
      <c r="P37" s="25" t="str">
        <f>IF(DAY(AvgNed1)=1,IF(AND(YEAR(AvgNed1+34)=KoledarskoLeto,MONTH(AvgNed1+34)=8),AvgNed1+34,""),IF(AND(YEAR(AvgNed1+41)=KoledarskoLeto,MONTH(AvgNed1+41)=8),AvgNed1+41,""))</f>
        <v/>
      </c>
      <c r="Q37" s="25" t="str">
        <f>IF(DAY(AvgNed1)=1,IF(AND(YEAR(AvgNed1+35)=KoledarskoLeto,MONTH(AvgNed1+35)=8),AvgNed1+35,""),IF(AND(YEAR(AvgNed1+42)=KoledarskoLeto,MONTH(AvgNed1+42)=8),AvgNed1+42,""))</f>
        <v/>
      </c>
      <c r="S37" s="24"/>
      <c r="U37" s="3"/>
      <c r="V37" s="30"/>
      <c r="W37" s="30"/>
    </row>
    <row r="38" spans="1:23" ht="15" customHeight="1" x14ac:dyDescent="0.2"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S38" s="24"/>
      <c r="U38" s="2"/>
      <c r="V38" s="30"/>
      <c r="W38" s="30"/>
    </row>
    <row r="39" spans="1:23" ht="15" customHeight="1" x14ac:dyDescent="0.2">
      <c r="A39" s="18" t="s">
        <v>17</v>
      </c>
      <c r="C39" s="27" t="s">
        <v>30</v>
      </c>
      <c r="D39" s="27"/>
      <c r="E39" s="27"/>
      <c r="F39" s="27"/>
      <c r="G39" s="27"/>
      <c r="H39" s="27"/>
      <c r="I39" s="27"/>
      <c r="K39" s="27" t="s">
        <v>42</v>
      </c>
      <c r="L39" s="27"/>
      <c r="M39" s="27"/>
      <c r="N39" s="27"/>
      <c r="O39" s="27"/>
      <c r="P39" s="27"/>
      <c r="Q39" s="27"/>
      <c r="S39" s="24"/>
      <c r="U39" s="10"/>
      <c r="V39" s="30"/>
      <c r="W39" s="30"/>
    </row>
    <row r="40" spans="1:23" ht="15" customHeight="1" x14ac:dyDescent="0.2">
      <c r="A40" s="18" t="s">
        <v>18</v>
      </c>
      <c r="C40" s="11" t="s">
        <v>26</v>
      </c>
      <c r="D40" s="11" t="s">
        <v>32</v>
      </c>
      <c r="E40" s="11" t="s">
        <v>33</v>
      </c>
      <c r="F40" s="11" t="s">
        <v>34</v>
      </c>
      <c r="G40" s="11" t="s">
        <v>35</v>
      </c>
      <c r="H40" s="11" t="s">
        <v>36</v>
      </c>
      <c r="I40" s="11" t="s">
        <v>37</v>
      </c>
      <c r="K40" s="11" t="s">
        <v>26</v>
      </c>
      <c r="L40" s="11" t="s">
        <v>32</v>
      </c>
      <c r="M40" s="11" t="s">
        <v>33</v>
      </c>
      <c r="N40" s="11" t="s">
        <v>34</v>
      </c>
      <c r="O40" s="11" t="s">
        <v>35</v>
      </c>
      <c r="P40" s="11" t="s">
        <v>36</v>
      </c>
      <c r="Q40" s="11" t="s">
        <v>37</v>
      </c>
      <c r="S40" s="24"/>
      <c r="U40" s="3"/>
      <c r="V40" s="30"/>
      <c r="W40" s="30"/>
    </row>
    <row r="41" spans="1:23" ht="15" customHeight="1" x14ac:dyDescent="0.2">
      <c r="C41" s="25" t="str">
        <f>IF(DAY(SepNed1)=1,"",IF(AND(YEAR(SepNed1+1)=KoledarskoLeto,MONTH(SepNed1+1)=9),SepNed1+1,""))</f>
        <v/>
      </c>
      <c r="D41" s="25">
        <f>IF(DAY(SepNed1)=1,"",IF(AND(YEAR(SepNed1+2)=KoledarskoLeto,MONTH(SepNed1+2)=9),SepNed1+2,""))</f>
        <v>44075</v>
      </c>
      <c r="E41" s="25">
        <f>IF(DAY(SepNed1)=1,"",IF(AND(YEAR(SepNed1+3)=KoledarskoLeto,MONTH(SepNed1+3)=9),SepNed1+3,""))</f>
        <v>44076</v>
      </c>
      <c r="F41" s="25">
        <f>IF(DAY(SepNed1)=1,"",IF(AND(YEAR(SepNed1+4)=KoledarskoLeto,MONTH(SepNed1+4)=9),SepNed1+4,""))</f>
        <v>44077</v>
      </c>
      <c r="G41" s="25">
        <f>IF(DAY(SepNed1)=1,"",IF(AND(YEAR(SepNed1+5)=KoledarskoLeto,MONTH(SepNed1+5)=9),SepNed1+5,""))</f>
        <v>44078</v>
      </c>
      <c r="H41" s="25">
        <f>IF(DAY(SepNed1)=1,"",IF(AND(YEAR(SepNed1+6)=KoledarskoLeto,MONTH(SepNed1+6)=9),SepNed1+6,""))</f>
        <v>44079</v>
      </c>
      <c r="I41" s="25">
        <f>IF(DAY(SepNed1)=1,IF(AND(YEAR(SepNed1)=KoledarskoLeto,MONTH(SepNed1)=9),SepNed1,""),IF(AND(YEAR(SepNed1+7)=KoledarskoLeto,MONTH(SepNed1+7)=9),SepNed1+7,""))</f>
        <v>44080</v>
      </c>
      <c r="K41" s="25" t="str">
        <f>IF(DAY(OktNed1)=1,"",IF(AND(YEAR(OktNed1+1)=KoledarskoLeto,MONTH(OktNed1+1)=10),OktNed1+1,""))</f>
        <v/>
      </c>
      <c r="L41" s="25" t="str">
        <f>IF(DAY(OktNed1)=1,"",IF(AND(YEAR(OktNed1+2)=KoledarskoLeto,MONTH(OktNed1+2)=10),OktNed1+2,""))</f>
        <v/>
      </c>
      <c r="M41" s="25" t="str">
        <f>IF(DAY(OktNed1)=1,"",IF(AND(YEAR(OktNed1+3)=KoledarskoLeto,MONTH(OktNed1+3)=10),OktNed1+3,""))</f>
        <v/>
      </c>
      <c r="N41" s="25">
        <f>IF(DAY(OktNed1)=1,"",IF(AND(YEAR(OktNed1+4)=KoledarskoLeto,MONTH(OktNed1+4)=10),OktNed1+4,""))</f>
        <v>44105</v>
      </c>
      <c r="O41" s="25">
        <f>IF(DAY(OktNed1)=1,"",IF(AND(YEAR(OktNed1+5)=KoledarskoLeto,MONTH(OktNed1+5)=10),OktNed1+5,""))</f>
        <v>44106</v>
      </c>
      <c r="P41" s="25">
        <f>IF(DAY(OktNed1)=1,"",IF(AND(YEAR(OktNed1+6)=KoledarskoLeto,MONTH(OktNed1+6)=10),OktNed1+6,""))</f>
        <v>44107</v>
      </c>
      <c r="Q41" s="25">
        <f>IF(DAY(OktNed1)=1,IF(AND(YEAR(OktNed1)=KoledarskoLeto,MONTH(OktNed1)=10),OktNed1,""),IF(AND(YEAR(OktNed1+7)=KoledarskoLeto,MONTH(OktNed1+7)=10),OktNed1+7,""))</f>
        <v>44108</v>
      </c>
      <c r="S41" s="24"/>
      <c r="U41" s="2"/>
      <c r="V41" s="30"/>
      <c r="W41" s="30"/>
    </row>
    <row r="42" spans="1:23" ht="15" customHeight="1" x14ac:dyDescent="0.2">
      <c r="C42" s="25">
        <f>IF(DAY(SepNed1)=1,IF(AND(YEAR(SepNed1+1)=KoledarskoLeto,MONTH(SepNed1+1)=9),SepNed1+1,""),IF(AND(YEAR(SepNed1+8)=KoledarskoLeto,MONTH(SepNed1+8)=9),SepNed1+8,""))</f>
        <v>44081</v>
      </c>
      <c r="D42" s="25">
        <f>IF(DAY(SepNed1)=1,IF(AND(YEAR(SepNed1+2)=KoledarskoLeto,MONTH(SepNed1+2)=9),SepNed1+2,""),IF(AND(YEAR(SepNed1+9)=KoledarskoLeto,MONTH(SepNed1+9)=9),SepNed1+9,""))</f>
        <v>44082</v>
      </c>
      <c r="E42" s="25">
        <f>IF(DAY(SepNed1)=1,IF(AND(YEAR(SepNed1+3)=KoledarskoLeto,MONTH(SepNed1+3)=9),SepNed1+3,""),IF(AND(YEAR(SepNed1+10)=KoledarskoLeto,MONTH(SepNed1+10)=9),SepNed1+10,""))</f>
        <v>44083</v>
      </c>
      <c r="F42" s="25">
        <f>IF(DAY(SepNed1)=1,IF(AND(YEAR(SepNed1+4)=KoledarskoLeto,MONTH(SepNed1+4)=9),SepNed1+4,""),IF(AND(YEAR(SepNed1+11)=KoledarskoLeto,MONTH(SepNed1+11)=9),SepNed1+11,""))</f>
        <v>44084</v>
      </c>
      <c r="G42" s="25">
        <f>IF(DAY(SepNed1)=1,IF(AND(YEAR(SepNed1+5)=KoledarskoLeto,MONTH(SepNed1+5)=9),SepNed1+5,""),IF(AND(YEAR(SepNed1+12)=KoledarskoLeto,MONTH(SepNed1+12)=9),SepNed1+12,""))</f>
        <v>44085</v>
      </c>
      <c r="H42" s="25">
        <f>IF(DAY(SepNed1)=1,IF(AND(YEAR(SepNed1+6)=KoledarskoLeto,MONTH(SepNed1+6)=9),SepNed1+6,""),IF(AND(YEAR(SepNed1+13)=KoledarskoLeto,MONTH(SepNed1+13)=9),SepNed1+13,""))</f>
        <v>44086</v>
      </c>
      <c r="I42" s="25">
        <f>IF(DAY(SepNed1)=1,IF(AND(YEAR(SepNed1+7)=KoledarskoLeto,MONTH(SepNed1+7)=9),SepNed1+7,""),IF(AND(YEAR(SepNed1+14)=KoledarskoLeto,MONTH(SepNed1+14)=9),SepNed1+14,""))</f>
        <v>44087</v>
      </c>
      <c r="K42" s="25">
        <f>IF(DAY(OktNed1)=1,IF(AND(YEAR(OktNed1+1)=KoledarskoLeto,MONTH(OktNed1+1)=10),OktNed1+1,""),IF(AND(YEAR(OktNed1+8)=KoledarskoLeto,MONTH(OktNed1+8)=10),OktNed1+8,""))</f>
        <v>44109</v>
      </c>
      <c r="L42" s="25">
        <f>IF(DAY(OktNed1)=1,IF(AND(YEAR(OktNed1+2)=KoledarskoLeto,MONTH(OktNed1+2)=10),OktNed1+2,""),IF(AND(YEAR(OktNed1+9)=KoledarskoLeto,MONTH(OktNed1+9)=10),OktNed1+9,""))</f>
        <v>44110</v>
      </c>
      <c r="M42" s="25">
        <f>IF(DAY(OktNed1)=1,IF(AND(YEAR(OktNed1+3)=KoledarskoLeto,MONTH(OktNed1+3)=10),OktNed1+3,""),IF(AND(YEAR(OktNed1+10)=KoledarskoLeto,MONTH(OktNed1+10)=10),OktNed1+10,""))</f>
        <v>44111</v>
      </c>
      <c r="N42" s="25">
        <f>IF(DAY(OktNed1)=1,IF(AND(YEAR(OktNed1+4)=KoledarskoLeto,MONTH(OktNed1+4)=10),OktNed1+4,""),IF(AND(YEAR(OktNed1+11)=KoledarskoLeto,MONTH(OktNed1+11)=10),OktNed1+11,""))</f>
        <v>44112</v>
      </c>
      <c r="O42" s="25">
        <f>IF(DAY(OktNed1)=1,IF(AND(YEAR(OktNed1+5)=KoledarskoLeto,MONTH(OktNed1+5)=10),OktNed1+5,""),IF(AND(YEAR(OktNed1+12)=KoledarskoLeto,MONTH(OktNed1+12)=10),OktNed1+12,""))</f>
        <v>44113</v>
      </c>
      <c r="P42" s="25">
        <f>IF(DAY(OktNed1)=1,IF(AND(YEAR(OktNed1+6)=KoledarskoLeto,MONTH(OktNed1+6)=10),OktNed1+6,""),IF(AND(YEAR(OktNed1+13)=KoledarskoLeto,MONTH(OktNed1+13)=10),OktNed1+13,""))</f>
        <v>44114</v>
      </c>
      <c r="Q42" s="25">
        <f>IF(DAY(OktNed1)=1,IF(AND(YEAR(OktNed1+7)=KoledarskoLeto,MONTH(OktNed1+7)=10),OktNed1+7,""),IF(AND(YEAR(OktNed1+14)=KoledarskoLeto,MONTH(OktNed1+14)=10),OktNed1+14,""))</f>
        <v>44115</v>
      </c>
      <c r="S42" s="24"/>
      <c r="U42" s="10"/>
      <c r="V42" s="30"/>
      <c r="W42" s="30"/>
    </row>
    <row r="43" spans="1:23" ht="15" customHeight="1" x14ac:dyDescent="0.2">
      <c r="C43" s="25">
        <f>IF(DAY(SepNed1)=1,IF(AND(YEAR(SepNed1+8)=KoledarskoLeto,MONTH(SepNed1+8)=9),SepNed1+8,""),IF(AND(YEAR(SepNed1+15)=KoledarskoLeto,MONTH(SepNed1+15)=9),SepNed1+15,""))</f>
        <v>44088</v>
      </c>
      <c r="D43" s="25">
        <f>IF(DAY(SepNed1)=1,IF(AND(YEAR(SepNed1+9)=KoledarskoLeto,MONTH(SepNed1+9)=9),SepNed1+9,""),IF(AND(YEAR(SepNed1+16)=KoledarskoLeto,MONTH(SepNed1+16)=9),SepNed1+16,""))</f>
        <v>44089</v>
      </c>
      <c r="E43" s="25">
        <f>IF(DAY(SepNed1)=1,IF(AND(YEAR(SepNed1+10)=KoledarskoLeto,MONTH(SepNed1+10)=9),SepNed1+10,""),IF(AND(YEAR(SepNed1+17)=KoledarskoLeto,MONTH(SepNed1+17)=9),SepNed1+17,""))</f>
        <v>44090</v>
      </c>
      <c r="F43" s="25">
        <f>IF(DAY(SepNed1)=1,IF(AND(YEAR(SepNed1+11)=KoledarskoLeto,MONTH(SepNed1+11)=9),SepNed1+11,""),IF(AND(YEAR(SepNed1+18)=KoledarskoLeto,MONTH(SepNed1+18)=9),SepNed1+18,""))</f>
        <v>44091</v>
      </c>
      <c r="G43" s="25">
        <f>IF(DAY(SepNed1)=1,IF(AND(YEAR(SepNed1+12)=KoledarskoLeto,MONTH(SepNed1+12)=9),SepNed1+12,""),IF(AND(YEAR(SepNed1+19)=KoledarskoLeto,MONTH(SepNed1+19)=9),SepNed1+19,""))</f>
        <v>44092</v>
      </c>
      <c r="H43" s="25">
        <f>IF(DAY(SepNed1)=1,IF(AND(YEAR(SepNed1+13)=KoledarskoLeto,MONTH(SepNed1+13)=9),SepNed1+13,""),IF(AND(YEAR(SepNed1+20)=KoledarskoLeto,MONTH(SepNed1+20)=9),SepNed1+20,""))</f>
        <v>44093</v>
      </c>
      <c r="I43" s="25">
        <f>IF(DAY(SepNed1)=1,IF(AND(YEAR(SepNed1+14)=KoledarskoLeto,MONTH(SepNed1+14)=9),SepNed1+14,""),IF(AND(YEAR(SepNed1+21)=KoledarskoLeto,MONTH(SepNed1+21)=9),SepNed1+21,""))</f>
        <v>44094</v>
      </c>
      <c r="K43" s="25">
        <f>IF(DAY(OktNed1)=1,IF(AND(YEAR(OktNed1+8)=KoledarskoLeto,MONTH(OktNed1+8)=10),OktNed1+8,""),IF(AND(YEAR(OktNed1+15)=KoledarskoLeto,MONTH(OktNed1+15)=10),OktNed1+15,""))</f>
        <v>44116</v>
      </c>
      <c r="L43" s="25">
        <f>IF(DAY(OktNed1)=1,IF(AND(YEAR(OktNed1+9)=KoledarskoLeto,MONTH(OktNed1+9)=10),OktNed1+9,""),IF(AND(YEAR(OktNed1+16)=KoledarskoLeto,MONTH(OktNed1+16)=10),OktNed1+16,""))</f>
        <v>44117</v>
      </c>
      <c r="M43" s="25">
        <f>IF(DAY(OktNed1)=1,IF(AND(YEAR(OktNed1+10)=KoledarskoLeto,MONTH(OktNed1+10)=10),OktNed1+10,""),IF(AND(YEAR(OktNed1+17)=KoledarskoLeto,MONTH(OktNed1+17)=10),OktNed1+17,""))</f>
        <v>44118</v>
      </c>
      <c r="N43" s="25">
        <f>IF(DAY(OktNed1)=1,IF(AND(YEAR(OktNed1+11)=KoledarskoLeto,MONTH(OktNed1+11)=10),OktNed1+11,""),IF(AND(YEAR(OktNed1+18)=KoledarskoLeto,MONTH(OktNed1+18)=10),OktNed1+18,""))</f>
        <v>44119</v>
      </c>
      <c r="O43" s="25">
        <f>IF(DAY(OktNed1)=1,IF(AND(YEAR(OktNed1+12)=KoledarskoLeto,MONTH(OktNed1+12)=10),OktNed1+12,""),IF(AND(YEAR(OktNed1+19)=KoledarskoLeto,MONTH(OktNed1+19)=10),OktNed1+19,""))</f>
        <v>44120</v>
      </c>
      <c r="P43" s="25">
        <f>IF(DAY(OktNed1)=1,IF(AND(YEAR(OktNed1+13)=KoledarskoLeto,MONTH(OktNed1+13)=10),OktNed1+13,""),IF(AND(YEAR(OktNed1+20)=KoledarskoLeto,MONTH(OktNed1+20)=10),OktNed1+20,""))</f>
        <v>44121</v>
      </c>
      <c r="Q43" s="25">
        <f>IF(DAY(OktNed1)=1,IF(AND(YEAR(OktNed1+14)=KoledarskoLeto,MONTH(OktNed1+14)=10),OktNed1+14,""),IF(AND(YEAR(OktNed1+21)=KoledarskoLeto,MONTH(OktNed1+21)=10),OktNed1+21,""))</f>
        <v>44122</v>
      </c>
      <c r="S43" s="24"/>
      <c r="U43" s="3"/>
      <c r="V43" s="30"/>
      <c r="W43" s="30"/>
    </row>
    <row r="44" spans="1:23" ht="15" customHeight="1" x14ac:dyDescent="0.2">
      <c r="A44" s="18" t="s">
        <v>19</v>
      </c>
      <c r="C44" s="25">
        <f>IF(DAY(SepNed1)=1,IF(AND(YEAR(SepNed1+15)=KoledarskoLeto,MONTH(SepNed1+15)=9),SepNed1+15,""),IF(AND(YEAR(SepNed1+22)=KoledarskoLeto,MONTH(SepNed1+22)=9),SepNed1+22,""))</f>
        <v>44095</v>
      </c>
      <c r="D44" s="25">
        <f>IF(DAY(SepNed1)=1,IF(AND(YEAR(SepNed1+16)=KoledarskoLeto,MONTH(SepNed1+16)=9),SepNed1+16,""),IF(AND(YEAR(SepNed1+23)=KoledarskoLeto,MONTH(SepNed1+23)=9),SepNed1+23,""))</f>
        <v>44096</v>
      </c>
      <c r="E44" s="25">
        <f>IF(DAY(SepNed1)=1,IF(AND(YEAR(SepNed1+17)=KoledarskoLeto,MONTH(SepNed1+17)=9),SepNed1+17,""),IF(AND(YEAR(SepNed1+24)=KoledarskoLeto,MONTH(SepNed1+24)=9),SepNed1+24,""))</f>
        <v>44097</v>
      </c>
      <c r="F44" s="25">
        <f>IF(DAY(SepNed1)=1,IF(AND(YEAR(SepNed1+18)=KoledarskoLeto,MONTH(SepNed1+18)=9),SepNed1+18,""),IF(AND(YEAR(SepNed1+25)=KoledarskoLeto,MONTH(SepNed1+25)=9),SepNed1+25,""))</f>
        <v>44098</v>
      </c>
      <c r="G44" s="25">
        <f>IF(DAY(SepNed1)=1,IF(AND(YEAR(SepNed1+19)=KoledarskoLeto,MONTH(SepNed1+19)=9),SepNed1+19,""),IF(AND(YEAR(SepNed1+26)=KoledarskoLeto,MONTH(SepNed1+26)=9),SepNed1+26,""))</f>
        <v>44099</v>
      </c>
      <c r="H44" s="25">
        <f>IF(DAY(SepNed1)=1,IF(AND(YEAR(SepNed1+20)=KoledarskoLeto,MONTH(SepNed1+20)=9),SepNed1+20,""),IF(AND(YEAR(SepNed1+27)=KoledarskoLeto,MONTH(SepNed1+27)=9),SepNed1+27,""))</f>
        <v>44100</v>
      </c>
      <c r="I44" s="25">
        <f>IF(DAY(SepNed1)=1,IF(AND(YEAR(SepNed1+21)=KoledarskoLeto,MONTH(SepNed1+21)=9),SepNed1+21,""),IF(AND(YEAR(SepNed1+28)=KoledarskoLeto,MONTH(SepNed1+28)=9),SepNed1+28,""))</f>
        <v>44101</v>
      </c>
      <c r="K44" s="25">
        <f>IF(DAY(OktNed1)=1,IF(AND(YEAR(OktNed1+15)=KoledarskoLeto,MONTH(OktNed1+15)=10),OktNed1+15,""),IF(AND(YEAR(OktNed1+22)=KoledarskoLeto,MONTH(OktNed1+22)=10),OktNed1+22,""))</f>
        <v>44123</v>
      </c>
      <c r="L44" s="25">
        <f>IF(DAY(OktNed1)=1,IF(AND(YEAR(OktNed1+16)=KoledarskoLeto,MONTH(OktNed1+16)=10),OktNed1+16,""),IF(AND(YEAR(OktNed1+23)=KoledarskoLeto,MONTH(OktNed1+23)=10),OktNed1+23,""))</f>
        <v>44124</v>
      </c>
      <c r="M44" s="25">
        <f>IF(DAY(OktNed1)=1,IF(AND(YEAR(OktNed1+17)=KoledarskoLeto,MONTH(OktNed1+17)=10),OktNed1+17,""),IF(AND(YEAR(OktNed1+24)=KoledarskoLeto,MONTH(OktNed1+24)=10),OktNed1+24,""))</f>
        <v>44125</v>
      </c>
      <c r="N44" s="25">
        <f>IF(DAY(OktNed1)=1,IF(AND(YEAR(OktNed1+18)=KoledarskoLeto,MONTH(OktNed1+18)=10),OktNed1+18,""),IF(AND(YEAR(OktNed1+25)=KoledarskoLeto,MONTH(OktNed1+25)=10),OktNed1+25,""))</f>
        <v>44126</v>
      </c>
      <c r="O44" s="25">
        <f>IF(DAY(OktNed1)=1,IF(AND(YEAR(OktNed1+19)=KoledarskoLeto,MONTH(OktNed1+19)=10),OktNed1+19,""),IF(AND(YEAR(OktNed1+26)=KoledarskoLeto,MONTH(OktNed1+26)=10),OktNed1+26,""))</f>
        <v>44127</v>
      </c>
      <c r="P44" s="25">
        <f>IF(DAY(OktNed1)=1,IF(AND(YEAR(OktNed1+20)=KoledarskoLeto,MONTH(OktNed1+20)=10),OktNed1+20,""),IF(AND(YEAR(OktNed1+27)=KoledarskoLeto,MONTH(OktNed1+27)=10),OktNed1+27,""))</f>
        <v>44128</v>
      </c>
      <c r="Q44" s="25">
        <f>IF(DAY(OktNed1)=1,IF(AND(YEAR(OktNed1+21)=KoledarskoLeto,MONTH(OktNed1+21)=10),OktNed1+21,""),IF(AND(YEAR(OktNed1+28)=KoledarskoLeto,MONTH(OktNed1+28)=10),OktNed1+28,""))</f>
        <v>44129</v>
      </c>
      <c r="S44" s="24"/>
      <c r="U44" s="8" t="s">
        <v>51</v>
      </c>
      <c r="V44" s="30"/>
      <c r="W44" s="30"/>
    </row>
    <row r="45" spans="1:23" ht="15" customHeight="1" x14ac:dyDescent="0.2">
      <c r="A45" s="18" t="s">
        <v>20</v>
      </c>
      <c r="C45" s="25">
        <f>IF(DAY(SepNed1)=1,IF(AND(YEAR(SepNed1+22)=KoledarskoLeto,MONTH(SepNed1+22)=9),SepNed1+22,""),IF(AND(YEAR(SepNed1+29)=KoledarskoLeto,MONTH(SepNed1+29)=9),SepNed1+29,""))</f>
        <v>44102</v>
      </c>
      <c r="D45" s="25">
        <f>IF(DAY(SepNed1)=1,IF(AND(YEAR(SepNed1+23)=KoledarskoLeto,MONTH(SepNed1+23)=9),SepNed1+23,""),IF(AND(YEAR(SepNed1+30)=KoledarskoLeto,MONTH(SepNed1+30)=9),SepNed1+30,""))</f>
        <v>44103</v>
      </c>
      <c r="E45" s="25">
        <f>IF(DAY(SepNed1)=1,IF(AND(YEAR(SepNed1+24)=KoledarskoLeto,MONTH(SepNed1+24)=9),SepNed1+24,""),IF(AND(YEAR(SepNed1+31)=KoledarskoLeto,MONTH(SepNed1+31)=9),SepNed1+31,""))</f>
        <v>44104</v>
      </c>
      <c r="F45" s="25" t="str">
        <f>IF(DAY(SepNed1)=1,IF(AND(YEAR(SepNed1+25)=KoledarskoLeto,MONTH(SepNed1+25)=9),SepNed1+25,""),IF(AND(YEAR(SepNed1+32)=KoledarskoLeto,MONTH(SepNed1+32)=9),SepNed1+32,""))</f>
        <v/>
      </c>
      <c r="G45" s="25" t="str">
        <f>IF(DAY(SepNed1)=1,IF(AND(YEAR(SepNed1+26)=KoledarskoLeto,MONTH(SepNed1+26)=9),SepNed1+26,""),IF(AND(YEAR(SepNed1+33)=KoledarskoLeto,MONTH(SepNed1+33)=9),SepNed1+33,""))</f>
        <v/>
      </c>
      <c r="H45" s="25" t="str">
        <f>IF(DAY(SepNed1)=1,IF(AND(YEAR(SepNed1+27)=KoledarskoLeto,MONTH(SepNed1+27)=9),SepNed1+27,""),IF(AND(YEAR(SepNed1+34)=KoledarskoLeto,MONTH(SepNed1+34)=9),SepNed1+34,""))</f>
        <v/>
      </c>
      <c r="I45" s="25" t="str">
        <f>IF(DAY(SepNed1)=1,IF(AND(YEAR(SepNed1+28)=KoledarskoLeto,MONTH(SepNed1+28)=9),SepNed1+28,""),IF(AND(YEAR(SepNed1+35)=KoledarskoLeto,MONTH(SepNed1+35)=9),SepNed1+35,""))</f>
        <v/>
      </c>
      <c r="K45" s="25">
        <f>IF(DAY(OktNed1)=1,IF(AND(YEAR(OktNed1+22)=KoledarskoLeto,MONTH(OktNed1+22)=10),OktNed1+22,""),IF(AND(YEAR(OktNed1+29)=KoledarskoLeto,MONTH(OktNed1+29)=10),OktNed1+29,""))</f>
        <v>44130</v>
      </c>
      <c r="L45" s="25">
        <f>IF(DAY(OktNed1)=1,IF(AND(YEAR(OktNed1+23)=KoledarskoLeto,MONTH(OktNed1+23)=10),OktNed1+23,""),IF(AND(YEAR(OktNed1+30)=KoledarskoLeto,MONTH(OktNed1+30)=10),OktNed1+30,""))</f>
        <v>44131</v>
      </c>
      <c r="M45" s="25">
        <f>IF(DAY(OktNed1)=1,IF(AND(YEAR(OktNed1+24)=KoledarskoLeto,MONTH(OktNed1+24)=10),OktNed1+24,""),IF(AND(YEAR(OktNed1+31)=KoledarskoLeto,MONTH(OktNed1+31)=10),OktNed1+31,""))</f>
        <v>44132</v>
      </c>
      <c r="N45" s="25">
        <f>IF(DAY(OktNed1)=1,IF(AND(YEAR(OktNed1+25)=KoledarskoLeto,MONTH(OktNed1+25)=10),OktNed1+25,""),IF(AND(YEAR(OktNed1+32)=KoledarskoLeto,MONTH(OktNed1+32)=10),OktNed1+32,""))</f>
        <v>44133</v>
      </c>
      <c r="O45" s="25">
        <f>IF(DAY(OktNed1)=1,IF(AND(YEAR(OktNed1+26)=KoledarskoLeto,MONTH(OktNed1+26)=10),OktNed1+26,""),IF(AND(YEAR(OktNed1+33)=KoledarskoLeto,MONTH(OktNed1+33)=10),OktNed1+33,""))</f>
        <v>44134</v>
      </c>
      <c r="P45" s="25">
        <f>IF(DAY(OktNed1)=1,IF(AND(YEAR(OktNed1+27)=KoledarskoLeto,MONTH(OktNed1+27)=10),OktNed1+27,""),IF(AND(YEAR(OktNed1+34)=KoledarskoLeto,MONTH(OktNed1+34)=10),OktNed1+34,""))</f>
        <v>44135</v>
      </c>
      <c r="Q45" s="25" t="str">
        <f>IF(DAY(OktNed1)=1,IF(AND(YEAR(OktNed1+28)=KoledarskoLeto,MONTH(OktNed1+28)=10),OktNed1+28,""),IF(AND(YEAR(OktNed1+35)=KoledarskoLeto,MONTH(OktNed1+35)=10),OktNed1+35,""))</f>
        <v/>
      </c>
      <c r="S45" s="24"/>
      <c r="U45" s="9" t="s">
        <v>52</v>
      </c>
      <c r="V45" s="30"/>
      <c r="W45" s="30"/>
    </row>
    <row r="46" spans="1:23" ht="15" customHeight="1" x14ac:dyDescent="0.2">
      <c r="A46" s="18"/>
      <c r="C46" s="25" t="str">
        <f>IF(DAY(SepNed1)=1,IF(AND(YEAR(SepNed1+29)=KoledarskoLeto,MONTH(SepNed1+29)=9),SepNed1+29,""),IF(AND(YEAR(SepNed1+36)=KoledarskoLeto,MONTH(SepNed1+36)=9),SepNed1+36,""))</f>
        <v/>
      </c>
      <c r="D46" s="25" t="str">
        <f>IF(DAY(SepNed1)=1,IF(AND(YEAR(SepNed1+30)=KoledarskoLeto,MONTH(SepNed1+30)=9),SepNed1+30,""),IF(AND(YEAR(SepNed1+37)=KoledarskoLeto,MONTH(SepNed1+37)=9),SepNed1+37,""))</f>
        <v/>
      </c>
      <c r="E46" s="25" t="str">
        <f>IF(DAY(SepNed1)=1,IF(AND(YEAR(SepNed1+31)=KoledarskoLeto,MONTH(SepNed1+31)=9),SepNed1+31,""),IF(AND(YEAR(SepNed1+38)=KoledarskoLeto,MONTH(SepNed1+38)=9),SepNed1+38,""))</f>
        <v/>
      </c>
      <c r="F46" s="25" t="str">
        <f>IF(DAY(SepNed1)=1,IF(AND(YEAR(SepNed1+32)=KoledarskoLeto,MONTH(SepNed1+32)=9),SepNed1+32,""),IF(AND(YEAR(SepNed1+39)=KoledarskoLeto,MONTH(SepNed1+39)=9),SepNed1+39,""))</f>
        <v/>
      </c>
      <c r="G46" s="25" t="str">
        <f>IF(DAY(SepNed1)=1,IF(AND(YEAR(SepNed1+33)=KoledarskoLeto,MONTH(SepNed1+33)=9),SepNed1+33,""),IF(AND(YEAR(SepNed1+40)=KoledarskoLeto,MONTH(SepNed1+40)=9),SepNed1+40,""))</f>
        <v/>
      </c>
      <c r="H46" s="25" t="str">
        <f>IF(DAY(SepNed1)=1,IF(AND(YEAR(SepNed1+34)=KoledarskoLeto,MONTH(SepNed1+34)=9),SepNed1+34,""),IF(AND(YEAR(SepNed1+41)=KoledarskoLeto,MONTH(SepNed1+41)=9),SepNed1+41,""))</f>
        <v/>
      </c>
      <c r="I46" s="25" t="str">
        <f>IF(DAY(SepNed1)=1,IF(AND(YEAR(SepNed1+35)=KoledarskoLeto,MONTH(SepNed1+35)=9),SepNed1+35,""),IF(AND(YEAR(SepNed1+42)=KoledarskoLeto,MONTH(SepNed1+42)=9),SepNed1+42,""))</f>
        <v/>
      </c>
      <c r="K46" s="25" t="str">
        <f>IF(DAY(OktNed1)=1,IF(AND(YEAR(OktNed1+29)=KoledarskoLeto,MONTH(OktNed1+29)=10),OktNed1+29,""),IF(AND(YEAR(OktNed1+36)=KoledarskoLeto,MONTH(OktNed1+36)=10),OktNed1+36,""))</f>
        <v/>
      </c>
      <c r="L46" s="25" t="str">
        <f>IF(DAY(OktNed1)=1,IF(AND(YEAR(OktNed1+30)=KoledarskoLeto,MONTH(OktNed1+30)=10),OktNed1+30,""),IF(AND(YEAR(OktNed1+37)=KoledarskoLeto,MONTH(OktNed1+37)=10),OktNed1+37,""))</f>
        <v/>
      </c>
      <c r="M46" s="25" t="str">
        <f>IF(DAY(OktNed1)=1,IF(AND(YEAR(OktNed1+31)=KoledarskoLeto,MONTH(OktNed1+31)=10),OktNed1+31,""),IF(AND(YEAR(OktNed1+38)=KoledarskoLeto,MONTH(OktNed1+38)=10),OktNed1+38,""))</f>
        <v/>
      </c>
      <c r="N46" s="25" t="str">
        <f>IF(DAY(OktNed1)=1,IF(AND(YEAR(OktNed1+32)=KoledarskoLeto,MONTH(OktNed1+32)=10),OktNed1+32,""),IF(AND(YEAR(OktNed1+39)=KoledarskoLeto,MONTH(OktNed1+39)=10),OktNed1+39,""))</f>
        <v/>
      </c>
      <c r="O46" s="25" t="str">
        <f>IF(DAY(OktNed1)=1,IF(AND(YEAR(OktNed1+33)=KoledarskoLeto,MONTH(OktNed1+33)=10),OktNed1+33,""),IF(AND(YEAR(OktNed1+40)=KoledarskoLeto,MONTH(OktNed1+40)=10),OktNed1+40,""))</f>
        <v/>
      </c>
      <c r="P46" s="25" t="str">
        <f>IF(DAY(OktNed1)=1,IF(AND(YEAR(OktNed1+34)=KoledarskoLeto,MONTH(OktNed1+34)=10),OktNed1+34,""),IF(AND(YEAR(OktNed1+41)=KoledarskoLeto,MONTH(OktNed1+41)=10),OktNed1+41,""))</f>
        <v/>
      </c>
      <c r="Q46" s="25" t="str">
        <f>IF(DAY(OktNed1)=1,IF(AND(YEAR(OktNed1+35)=KoledarskoLeto,MONTH(OktNed1+35)=10),OktNed1+35,""),IF(AND(YEAR(OktNed1+42)=KoledarskoLeto,MONTH(OktNed1+42)=10),OktNed1+42,""))</f>
        <v/>
      </c>
      <c r="S46" s="24"/>
      <c r="U46" s="9"/>
      <c r="V46" s="30"/>
      <c r="W46" s="30"/>
    </row>
    <row r="47" spans="1:23" ht="15" customHeight="1" x14ac:dyDescent="0.2">
      <c r="A47" s="18" t="s">
        <v>21</v>
      </c>
      <c r="S47" s="24"/>
      <c r="U47" s="9" t="s">
        <v>53</v>
      </c>
      <c r="V47" s="30"/>
      <c r="W47" s="30"/>
    </row>
    <row r="48" spans="1:23" ht="15" customHeight="1" x14ac:dyDescent="0.2">
      <c r="A48" s="18" t="s">
        <v>22</v>
      </c>
      <c r="C48" s="27" t="s">
        <v>31</v>
      </c>
      <c r="D48" s="27"/>
      <c r="E48" s="27"/>
      <c r="F48" s="27"/>
      <c r="G48" s="27"/>
      <c r="H48" s="27"/>
      <c r="I48" s="27"/>
      <c r="K48" s="27" t="s">
        <v>43</v>
      </c>
      <c r="L48" s="27"/>
      <c r="M48" s="27"/>
      <c r="N48" s="27"/>
      <c r="O48" s="27"/>
      <c r="P48" s="27"/>
      <c r="Q48" s="27"/>
      <c r="S48" s="24"/>
      <c r="U48" s="9" t="s">
        <v>54</v>
      </c>
      <c r="V48" s="30"/>
      <c r="W48" s="30"/>
    </row>
    <row r="49" spans="1:21" ht="15" customHeight="1" x14ac:dyDescent="0.2">
      <c r="A49" s="18" t="s">
        <v>23</v>
      </c>
      <c r="C49" s="11" t="s">
        <v>26</v>
      </c>
      <c r="D49" s="11" t="s">
        <v>32</v>
      </c>
      <c r="E49" s="11" t="s">
        <v>33</v>
      </c>
      <c r="F49" s="11" t="s">
        <v>34</v>
      </c>
      <c r="G49" s="11" t="s">
        <v>35</v>
      </c>
      <c r="H49" s="11" t="s">
        <v>36</v>
      </c>
      <c r="I49" s="11" t="s">
        <v>37</v>
      </c>
      <c r="J49" s="23"/>
      <c r="K49" s="11" t="s">
        <v>26</v>
      </c>
      <c r="L49" s="11" t="s">
        <v>32</v>
      </c>
      <c r="M49" s="11" t="s">
        <v>33</v>
      </c>
      <c r="N49" s="11" t="s">
        <v>34</v>
      </c>
      <c r="O49" s="11" t="s">
        <v>35</v>
      </c>
      <c r="P49" s="11" t="s">
        <v>36</v>
      </c>
      <c r="Q49" s="11" t="s">
        <v>37</v>
      </c>
      <c r="S49" s="24"/>
      <c r="U49" s="9" t="s">
        <v>55</v>
      </c>
    </row>
    <row r="50" spans="1:21" ht="15" customHeight="1" x14ac:dyDescent="0.2">
      <c r="A50" s="18"/>
      <c r="C50" s="25" t="str">
        <f>IF(DAY(NovNed1)=1,"",IF(AND(YEAR(NovNed1+1)=KoledarskoLeto,MONTH(NovNed1+1)=11),NovNed1+1,""))</f>
        <v/>
      </c>
      <c r="D50" s="25" t="str">
        <f>IF(DAY(NovNed1)=1,"",IF(AND(YEAR(NovNed1+2)=KoledarskoLeto,MONTH(NovNed1+2)=11),NovNed1+2,""))</f>
        <v/>
      </c>
      <c r="E50" s="25" t="str">
        <f>IF(DAY(NovNed1)=1,"",IF(AND(YEAR(NovNed1+3)=KoledarskoLeto,MONTH(NovNed1+3)=11),NovNed1+3,""))</f>
        <v/>
      </c>
      <c r="F50" s="25" t="str">
        <f>IF(DAY(NovNed1)=1,"",IF(AND(YEAR(NovNed1+4)=KoledarskoLeto,MONTH(NovNed1+4)=11),NovNed1+4,""))</f>
        <v/>
      </c>
      <c r="G50" s="25" t="str">
        <f>IF(DAY(NovNed1)=1,"",IF(AND(YEAR(NovNed1+5)=KoledarskoLeto,MONTH(NovNed1+5)=11),NovNed1+5,""))</f>
        <v/>
      </c>
      <c r="H50" s="25" t="str">
        <f>IF(DAY(NovNed1)=1,"",IF(AND(YEAR(NovNed1+6)=KoledarskoLeto,MONTH(NovNed1+6)=11),NovNed1+6,""))</f>
        <v/>
      </c>
      <c r="I50" s="25">
        <f>IF(DAY(NovNed1)=1,IF(AND(YEAR(NovNed1)=KoledarskoLeto,MONTH(NovNed1)=11),NovNed1,""),IF(AND(YEAR(NovNed1+7)=KoledarskoLeto,MONTH(NovNed1+7)=11),NovNed1+7,""))</f>
        <v>44136</v>
      </c>
      <c r="K50" s="25" t="str">
        <f>IF(DAY(DecNed1)=1,"",IF(AND(YEAR(DecNed1+1)=KoledarskoLeto,MONTH(DecNed1+1)=12),DecNed1+1,""))</f>
        <v/>
      </c>
      <c r="L50" s="25">
        <f>IF(DAY(DecNed1)=1,"",IF(AND(YEAR(DecNed1+2)=KoledarskoLeto,MONTH(DecNed1+2)=12),DecNed1+2,""))</f>
        <v>44166</v>
      </c>
      <c r="M50" s="25">
        <f>IF(DAY(DecNed1)=1,"",IF(AND(YEAR(DecNed1+3)=KoledarskoLeto,MONTH(DecNed1+3)=12),DecNed1+3,""))</f>
        <v>44167</v>
      </c>
      <c r="N50" s="25">
        <f>IF(DAY(DecNed1)=1,"",IF(AND(YEAR(DecNed1+4)=KoledarskoLeto,MONTH(DecNed1+4)=12),DecNed1+4,""))</f>
        <v>44168</v>
      </c>
      <c r="O50" s="25">
        <f>IF(DAY(DecNed1)=1,"",IF(AND(YEAR(DecNed1+5)=KoledarskoLeto,MONTH(DecNed1+5)=12),DecNed1+5,""))</f>
        <v>44169</v>
      </c>
      <c r="P50" s="25">
        <f>IF(DAY(DecNed1)=1,"",IF(AND(YEAR(DecNed1+6)=KoledarskoLeto,MONTH(DecNed1+6)=12),DecNed1+6,""))</f>
        <v>44170</v>
      </c>
      <c r="Q50" s="25">
        <f>IF(DAY(DecNed1)=1,IF(AND(YEAR(DecNed1)=KoledarskoLeto,MONTH(DecNed1)=12),DecNed1,""),IF(AND(YEAR(DecNed1+7)=KoledarskoLeto,MONTH(DecNed1+7)=12),DecNed1+7,""))</f>
        <v>44171</v>
      </c>
      <c r="S50" s="24"/>
      <c r="U50" s="1"/>
    </row>
    <row r="51" spans="1:21" ht="15" customHeight="1" x14ac:dyDescent="0.2">
      <c r="A51" s="18" t="s">
        <v>24</v>
      </c>
      <c r="C51" s="25">
        <f>IF(DAY(NovNed1)=1,IF(AND(YEAR(NovNed1+1)=KoledarskoLeto,MONTH(NovNed1+1)=11),NovNed1+1,""),IF(AND(YEAR(NovNed1+8)=KoledarskoLeto,MONTH(NovNed1+8)=11),NovNed1+8,""))</f>
        <v>44137</v>
      </c>
      <c r="D51" s="25">
        <f>IF(DAY(NovNed1)=1,IF(AND(YEAR(NovNed1+2)=KoledarskoLeto,MONTH(NovNed1+2)=11),NovNed1+2,""),IF(AND(YEAR(NovNed1+9)=KoledarskoLeto,MONTH(NovNed1+9)=11),NovNed1+9,""))</f>
        <v>44138</v>
      </c>
      <c r="E51" s="25">
        <f>IF(DAY(NovNed1)=1,IF(AND(YEAR(NovNed1+3)=KoledarskoLeto,MONTH(NovNed1+3)=11),NovNed1+3,""),IF(AND(YEAR(NovNed1+10)=KoledarskoLeto,MONTH(NovNed1+10)=11),NovNed1+10,""))</f>
        <v>44139</v>
      </c>
      <c r="F51" s="25">
        <f>IF(DAY(NovNed1)=1,IF(AND(YEAR(NovNed1+4)=KoledarskoLeto,MONTH(NovNed1+4)=11),NovNed1+4,""),IF(AND(YEAR(NovNed1+11)=KoledarskoLeto,MONTH(NovNed1+11)=11),NovNed1+11,""))</f>
        <v>44140</v>
      </c>
      <c r="G51" s="25">
        <f>IF(DAY(NovNed1)=1,IF(AND(YEAR(NovNed1+5)=KoledarskoLeto,MONTH(NovNed1+5)=11),NovNed1+5,""),IF(AND(YEAR(NovNed1+12)=KoledarskoLeto,MONTH(NovNed1+12)=11),NovNed1+12,""))</f>
        <v>44141</v>
      </c>
      <c r="H51" s="25">
        <f>IF(DAY(NovNed1)=1,IF(AND(YEAR(NovNed1+6)=KoledarskoLeto,MONTH(NovNed1+6)=11),NovNed1+6,""),IF(AND(YEAR(NovNed1+13)=KoledarskoLeto,MONTH(NovNed1+13)=11),NovNed1+13,""))</f>
        <v>44142</v>
      </c>
      <c r="I51" s="25">
        <f>IF(DAY(NovNed1)=1,IF(AND(YEAR(NovNed1+7)=KoledarskoLeto,MONTH(NovNed1+7)=11),NovNed1+7,""),IF(AND(YEAR(NovNed1+14)=KoledarskoLeto,MONTH(NovNed1+14)=11),NovNed1+14,""))</f>
        <v>44143</v>
      </c>
      <c r="K51" s="25">
        <f>IF(DAY(DecNed1)=1,IF(AND(YEAR(DecNed1+1)=KoledarskoLeto,MONTH(DecNed1+1)=12),DecNed1+1,""),IF(AND(YEAR(DecNed1+8)=KoledarskoLeto,MONTH(DecNed1+8)=12),DecNed1+8,""))</f>
        <v>44172</v>
      </c>
      <c r="L51" s="25">
        <f>IF(DAY(DecNed1)=1,IF(AND(YEAR(DecNed1+2)=KoledarskoLeto,MONTH(DecNed1+2)=12),DecNed1+2,""),IF(AND(YEAR(DecNed1+9)=KoledarskoLeto,MONTH(DecNed1+9)=12),DecNed1+9,""))</f>
        <v>44173</v>
      </c>
      <c r="M51" s="25">
        <f>IF(DAY(DecNed1)=1,IF(AND(YEAR(DecNed1+3)=KoledarskoLeto,MONTH(DecNed1+3)=12),DecNed1+3,""),IF(AND(YEAR(DecNed1+10)=KoledarskoLeto,MONTH(DecNed1+10)=12),DecNed1+10,""))</f>
        <v>44174</v>
      </c>
      <c r="N51" s="25">
        <f>IF(DAY(DecNed1)=1,IF(AND(YEAR(DecNed1+4)=KoledarskoLeto,MONTH(DecNed1+4)=12),DecNed1+4,""),IF(AND(YEAR(DecNed1+11)=KoledarskoLeto,MONTH(DecNed1+11)=12),DecNed1+11,""))</f>
        <v>44175</v>
      </c>
      <c r="O51" s="25">
        <f>IF(DAY(DecNed1)=1,IF(AND(YEAR(DecNed1+5)=KoledarskoLeto,MONTH(DecNed1+5)=12),DecNed1+5,""),IF(AND(YEAR(DecNed1+12)=KoledarskoLeto,MONTH(DecNed1+12)=12),DecNed1+12,""))</f>
        <v>44176</v>
      </c>
      <c r="P51" s="25">
        <f>IF(DAY(DecNed1)=1,IF(AND(YEAR(DecNed1+6)=KoledarskoLeto,MONTH(DecNed1+6)=12),DecNed1+6,""),IF(AND(YEAR(DecNed1+13)=KoledarskoLeto,MONTH(DecNed1+13)=12),DecNed1+13,""))</f>
        <v>44177</v>
      </c>
      <c r="Q51" s="25">
        <f>IF(DAY(DecNed1)=1,IF(AND(YEAR(DecNed1+7)=KoledarskoLeto,MONTH(DecNed1+7)=12),DecNed1+7,""),IF(AND(YEAR(DecNed1+14)=KoledarskoLeto,MONTH(DecNed1+14)=12),DecNed1+14,""))</f>
        <v>44178</v>
      </c>
      <c r="S51" s="24"/>
      <c r="U51" s="28" t="s">
        <v>56</v>
      </c>
    </row>
    <row r="52" spans="1:21" ht="15" customHeight="1" x14ac:dyDescent="0.2">
      <c r="C52" s="25">
        <f>IF(DAY(NovNed1)=1,IF(AND(YEAR(NovNed1+8)=KoledarskoLeto,MONTH(NovNed1+8)=11),NovNed1+8,""),IF(AND(YEAR(NovNed1+15)=KoledarskoLeto,MONTH(NovNed1+15)=11),NovNed1+15,""))</f>
        <v>44144</v>
      </c>
      <c r="D52" s="25">
        <f>IF(DAY(NovNed1)=1,IF(AND(YEAR(NovNed1+9)=KoledarskoLeto,MONTH(NovNed1+9)=11),NovNed1+9,""),IF(AND(YEAR(NovNed1+16)=KoledarskoLeto,MONTH(NovNed1+16)=11),NovNed1+16,""))</f>
        <v>44145</v>
      </c>
      <c r="E52" s="25">
        <f>IF(DAY(NovNed1)=1,IF(AND(YEAR(NovNed1+10)=KoledarskoLeto,MONTH(NovNed1+10)=11),NovNed1+10,""),IF(AND(YEAR(NovNed1+17)=KoledarskoLeto,MONTH(NovNed1+17)=11),NovNed1+17,""))</f>
        <v>44146</v>
      </c>
      <c r="F52" s="25">
        <f>IF(DAY(NovNed1)=1,IF(AND(YEAR(NovNed1+11)=KoledarskoLeto,MONTH(NovNed1+11)=11),NovNed1+11,""),IF(AND(YEAR(NovNed1+18)=KoledarskoLeto,MONTH(NovNed1+18)=11),NovNed1+18,""))</f>
        <v>44147</v>
      </c>
      <c r="G52" s="25">
        <f>IF(DAY(NovNed1)=1,IF(AND(YEAR(NovNed1+12)=KoledarskoLeto,MONTH(NovNed1+12)=11),NovNed1+12,""),IF(AND(YEAR(NovNed1+19)=KoledarskoLeto,MONTH(NovNed1+19)=11),NovNed1+19,""))</f>
        <v>44148</v>
      </c>
      <c r="H52" s="25">
        <f>IF(DAY(NovNed1)=1,IF(AND(YEAR(NovNed1+13)=KoledarskoLeto,MONTH(NovNed1+13)=11),NovNed1+13,""),IF(AND(YEAR(NovNed1+20)=KoledarskoLeto,MONTH(NovNed1+20)=11),NovNed1+20,""))</f>
        <v>44149</v>
      </c>
      <c r="I52" s="25">
        <f>IF(DAY(NovNed1)=1,IF(AND(YEAR(NovNed1+14)=KoledarskoLeto,MONTH(NovNed1+14)=11),NovNed1+14,""),IF(AND(YEAR(NovNed1+21)=KoledarskoLeto,MONTH(NovNed1+21)=11),NovNed1+21,""))</f>
        <v>44150</v>
      </c>
      <c r="K52" s="25">
        <f>IF(DAY(DecNed1)=1,IF(AND(YEAR(DecNed1+8)=KoledarskoLeto,MONTH(DecNed1+8)=12),DecNed1+8,""),IF(AND(YEAR(DecNed1+15)=KoledarskoLeto,MONTH(DecNed1+15)=12),DecNed1+15,""))</f>
        <v>44179</v>
      </c>
      <c r="L52" s="25">
        <f>IF(DAY(DecNed1)=1,IF(AND(YEAR(DecNed1+9)=KoledarskoLeto,MONTH(DecNed1+9)=12),DecNed1+9,""),IF(AND(YEAR(DecNed1+16)=KoledarskoLeto,MONTH(DecNed1+16)=12),DecNed1+16,""))</f>
        <v>44180</v>
      </c>
      <c r="M52" s="25">
        <f>IF(DAY(DecNed1)=1,IF(AND(YEAR(DecNed1+10)=KoledarskoLeto,MONTH(DecNed1+10)=12),DecNed1+10,""),IF(AND(YEAR(DecNed1+17)=KoledarskoLeto,MONTH(DecNed1+17)=12),DecNed1+17,""))</f>
        <v>44181</v>
      </c>
      <c r="N52" s="25">
        <f>IF(DAY(DecNed1)=1,IF(AND(YEAR(DecNed1+11)=KoledarskoLeto,MONTH(DecNed1+11)=12),DecNed1+11,""),IF(AND(YEAR(DecNed1+18)=KoledarskoLeto,MONTH(DecNed1+18)=12),DecNed1+18,""))</f>
        <v>44182</v>
      </c>
      <c r="O52" s="25">
        <f>IF(DAY(DecNed1)=1,IF(AND(YEAR(DecNed1+12)=KoledarskoLeto,MONTH(DecNed1+12)=12),DecNed1+12,""),IF(AND(YEAR(DecNed1+19)=KoledarskoLeto,MONTH(DecNed1+19)=12),DecNed1+19,""))</f>
        <v>44183</v>
      </c>
      <c r="P52" s="25">
        <f>IF(DAY(DecNed1)=1,IF(AND(YEAR(DecNed1+13)=KoledarskoLeto,MONTH(DecNed1+13)=12),DecNed1+13,""),IF(AND(YEAR(DecNed1+20)=KoledarskoLeto,MONTH(DecNed1+20)=12),DecNed1+20,""))</f>
        <v>44184</v>
      </c>
      <c r="Q52" s="25">
        <f>IF(DAY(DecNed1)=1,IF(AND(YEAR(DecNed1+14)=KoledarskoLeto,MONTH(DecNed1+14)=12),DecNed1+14,""),IF(AND(YEAR(DecNed1+21)=KoledarskoLeto,MONTH(DecNed1+21)=12),DecNed1+21,""))</f>
        <v>44185</v>
      </c>
      <c r="S52" s="24"/>
      <c r="U52" s="28"/>
    </row>
    <row r="53" spans="1:21" ht="15" customHeight="1" x14ac:dyDescent="0.2">
      <c r="C53" s="25">
        <f>IF(DAY(NovNed1)=1,IF(AND(YEAR(NovNed1+15)=KoledarskoLeto,MONTH(NovNed1+15)=11),NovNed1+15,""),IF(AND(YEAR(NovNed1+22)=KoledarskoLeto,MONTH(NovNed1+22)=11),NovNed1+22,""))</f>
        <v>44151</v>
      </c>
      <c r="D53" s="25">
        <f>IF(DAY(NovNed1)=1,IF(AND(YEAR(NovNed1+16)=KoledarskoLeto,MONTH(NovNed1+16)=11),NovNed1+16,""),IF(AND(YEAR(NovNed1+23)=KoledarskoLeto,MONTH(NovNed1+23)=11),NovNed1+23,""))</f>
        <v>44152</v>
      </c>
      <c r="E53" s="25">
        <f>IF(DAY(NovNed1)=1,IF(AND(YEAR(NovNed1+17)=KoledarskoLeto,MONTH(NovNed1+17)=11),NovNed1+17,""),IF(AND(YEAR(NovNed1+24)=KoledarskoLeto,MONTH(NovNed1+24)=11),NovNed1+24,""))</f>
        <v>44153</v>
      </c>
      <c r="F53" s="25">
        <f>IF(DAY(NovNed1)=1,IF(AND(YEAR(NovNed1+18)=KoledarskoLeto,MONTH(NovNed1+18)=11),NovNed1+18,""),IF(AND(YEAR(NovNed1+25)=KoledarskoLeto,MONTH(NovNed1+25)=11),NovNed1+25,""))</f>
        <v>44154</v>
      </c>
      <c r="G53" s="25">
        <f>IF(DAY(NovNed1)=1,IF(AND(YEAR(NovNed1+19)=KoledarskoLeto,MONTH(NovNed1+19)=11),NovNed1+19,""),IF(AND(YEAR(NovNed1+26)=KoledarskoLeto,MONTH(NovNed1+26)=11),NovNed1+26,""))</f>
        <v>44155</v>
      </c>
      <c r="H53" s="25">
        <f>IF(DAY(NovNed1)=1,IF(AND(YEAR(NovNed1+20)=KoledarskoLeto,MONTH(NovNed1+20)=11),NovNed1+20,""),IF(AND(YEAR(NovNed1+27)=KoledarskoLeto,MONTH(NovNed1+27)=11),NovNed1+27,""))</f>
        <v>44156</v>
      </c>
      <c r="I53" s="25">
        <f>IF(DAY(NovNed1)=1,IF(AND(YEAR(NovNed1+21)=KoledarskoLeto,MONTH(NovNed1+21)=11),NovNed1+21,""),IF(AND(YEAR(NovNed1+28)=KoledarskoLeto,MONTH(NovNed1+28)=11),NovNed1+28,""))</f>
        <v>44157</v>
      </c>
      <c r="K53" s="25">
        <f>IF(DAY(DecNed1)=1,IF(AND(YEAR(DecNed1+15)=KoledarskoLeto,MONTH(DecNed1+15)=12),DecNed1+15,""),IF(AND(YEAR(DecNed1+22)=KoledarskoLeto,MONTH(DecNed1+22)=12),DecNed1+22,""))</f>
        <v>44186</v>
      </c>
      <c r="L53" s="25">
        <f>IF(DAY(DecNed1)=1,IF(AND(YEAR(DecNed1+16)=KoledarskoLeto,MONTH(DecNed1+16)=12),DecNed1+16,""),IF(AND(YEAR(DecNed1+23)=KoledarskoLeto,MONTH(DecNed1+23)=12),DecNed1+23,""))</f>
        <v>44187</v>
      </c>
      <c r="M53" s="25">
        <f>IF(DAY(DecNed1)=1,IF(AND(YEAR(DecNed1+17)=KoledarskoLeto,MONTH(DecNed1+17)=12),DecNed1+17,""),IF(AND(YEAR(DecNed1+24)=KoledarskoLeto,MONTH(DecNed1+24)=12),DecNed1+24,""))</f>
        <v>44188</v>
      </c>
      <c r="N53" s="25">
        <f>IF(DAY(DecNed1)=1,IF(AND(YEAR(DecNed1+18)=KoledarskoLeto,MONTH(DecNed1+18)=12),DecNed1+18,""),IF(AND(YEAR(DecNed1+25)=KoledarskoLeto,MONTH(DecNed1+25)=12),DecNed1+25,""))</f>
        <v>44189</v>
      </c>
      <c r="O53" s="25">
        <f>IF(DAY(DecNed1)=1,IF(AND(YEAR(DecNed1+19)=KoledarskoLeto,MONTH(DecNed1+19)=12),DecNed1+19,""),IF(AND(YEAR(DecNed1+26)=KoledarskoLeto,MONTH(DecNed1+26)=12),DecNed1+26,""))</f>
        <v>44190</v>
      </c>
      <c r="P53" s="25">
        <f>IF(DAY(DecNed1)=1,IF(AND(YEAR(DecNed1+20)=KoledarskoLeto,MONTH(DecNed1+20)=12),DecNed1+20,""),IF(AND(YEAR(DecNed1+27)=KoledarskoLeto,MONTH(DecNed1+27)=12),DecNed1+27,""))</f>
        <v>44191</v>
      </c>
      <c r="Q53" s="25">
        <f>IF(DAY(DecNed1)=1,IF(AND(YEAR(DecNed1+21)=KoledarskoLeto,MONTH(DecNed1+21)=12),DecNed1+21,""),IF(AND(YEAR(DecNed1+28)=KoledarskoLeto,MONTH(DecNed1+28)=12),DecNed1+28,""))</f>
        <v>44192</v>
      </c>
      <c r="S53" s="24"/>
      <c r="U53" s="28"/>
    </row>
    <row r="54" spans="1:21" ht="15" customHeight="1" x14ac:dyDescent="0.2">
      <c r="C54" s="25">
        <f>IF(DAY(NovNed1)=1,IF(AND(YEAR(NovNed1+22)=KoledarskoLeto,MONTH(NovNed1+22)=11),NovNed1+22,""),IF(AND(YEAR(NovNed1+29)=KoledarskoLeto,MONTH(NovNed1+29)=11),NovNed1+29,""))</f>
        <v>44158</v>
      </c>
      <c r="D54" s="25">
        <f>IF(DAY(NovNed1)=1,IF(AND(YEAR(NovNed1+23)=KoledarskoLeto,MONTH(NovNed1+23)=11),NovNed1+23,""),IF(AND(YEAR(NovNed1+30)=KoledarskoLeto,MONTH(NovNed1+30)=11),NovNed1+30,""))</f>
        <v>44159</v>
      </c>
      <c r="E54" s="25">
        <f>IF(DAY(NovNed1)=1,IF(AND(YEAR(NovNed1+24)=KoledarskoLeto,MONTH(NovNed1+24)=11),NovNed1+24,""),IF(AND(YEAR(NovNed1+31)=KoledarskoLeto,MONTH(NovNed1+31)=11),NovNed1+31,""))</f>
        <v>44160</v>
      </c>
      <c r="F54" s="25">
        <f>IF(DAY(NovNed1)=1,IF(AND(YEAR(NovNed1+25)=KoledarskoLeto,MONTH(NovNed1+25)=11),NovNed1+25,""),IF(AND(YEAR(NovNed1+32)=KoledarskoLeto,MONTH(NovNed1+32)=11),NovNed1+32,""))</f>
        <v>44161</v>
      </c>
      <c r="G54" s="25">
        <f>IF(DAY(NovNed1)=1,IF(AND(YEAR(NovNed1+26)=KoledarskoLeto,MONTH(NovNed1+26)=11),NovNed1+26,""),IF(AND(YEAR(NovNed1+33)=KoledarskoLeto,MONTH(NovNed1+33)=11),NovNed1+33,""))</f>
        <v>44162</v>
      </c>
      <c r="H54" s="25">
        <f>IF(DAY(NovNed1)=1,IF(AND(YEAR(NovNed1+27)=KoledarskoLeto,MONTH(NovNed1+27)=11),NovNed1+27,""),IF(AND(YEAR(NovNed1+34)=KoledarskoLeto,MONTH(NovNed1+34)=11),NovNed1+34,""))</f>
        <v>44163</v>
      </c>
      <c r="I54" s="25">
        <f>IF(DAY(NovNed1)=1,IF(AND(YEAR(NovNed1+28)=KoledarskoLeto,MONTH(NovNed1+28)=11),NovNed1+28,""),IF(AND(YEAR(NovNed1+35)=KoledarskoLeto,MONTH(NovNed1+35)=11),NovNed1+35,""))</f>
        <v>44164</v>
      </c>
      <c r="K54" s="25">
        <f>IF(DAY(DecNed1)=1,IF(AND(YEAR(DecNed1+22)=KoledarskoLeto,MONTH(DecNed1+22)=12),DecNed1+22,""),IF(AND(YEAR(DecNed1+29)=KoledarskoLeto,MONTH(DecNed1+29)=12),DecNed1+29,""))</f>
        <v>44193</v>
      </c>
      <c r="L54" s="25">
        <f>IF(DAY(DecNed1)=1,IF(AND(YEAR(DecNed1+23)=KoledarskoLeto,MONTH(DecNed1+23)=12),DecNed1+23,""),IF(AND(YEAR(DecNed1+30)=KoledarskoLeto,MONTH(DecNed1+30)=12),DecNed1+30,""))</f>
        <v>44194</v>
      </c>
      <c r="M54" s="25">
        <f>IF(DAY(DecNed1)=1,IF(AND(YEAR(DecNed1+24)=KoledarskoLeto,MONTH(DecNed1+24)=12),DecNed1+24,""),IF(AND(YEAR(DecNed1+31)=KoledarskoLeto,MONTH(DecNed1+31)=12),DecNed1+31,""))</f>
        <v>44195</v>
      </c>
      <c r="N54" s="25">
        <f>IF(DAY(DecNed1)=1,IF(AND(YEAR(DecNed1+25)=KoledarskoLeto,MONTH(DecNed1+25)=12),DecNed1+25,""),IF(AND(YEAR(DecNed1+32)=KoledarskoLeto,MONTH(DecNed1+32)=12),DecNed1+32,""))</f>
        <v>44196</v>
      </c>
      <c r="O54" s="25" t="str">
        <f>IF(DAY(DecNed1)=1,IF(AND(YEAR(DecNed1+26)=KoledarskoLeto,MONTH(DecNed1+26)=12),DecNed1+26,""),IF(AND(YEAR(DecNed1+33)=KoledarskoLeto,MONTH(DecNed1+33)=12),DecNed1+33,""))</f>
        <v/>
      </c>
      <c r="P54" s="25" t="str">
        <f>IF(DAY(DecNed1)=1,IF(AND(YEAR(DecNed1+27)=KoledarskoLeto,MONTH(DecNed1+27)=12),DecNed1+27,""),IF(AND(YEAR(DecNed1+34)=KoledarskoLeto,MONTH(DecNed1+34)=12),DecNed1+34,""))</f>
        <v/>
      </c>
      <c r="Q54" s="25" t="str">
        <f>IF(DAY(DecNed1)=1,IF(AND(YEAR(DecNed1+28)=KoledarskoLeto,MONTH(DecNed1+28)=12),DecNed1+28,""),IF(AND(YEAR(DecNed1+35)=KoledarskoLeto,MONTH(DecNed1+35)=12),DecNed1+35,""))</f>
        <v/>
      </c>
      <c r="S54" s="24"/>
      <c r="U54" s="28"/>
    </row>
    <row r="55" spans="1:21" ht="15" customHeight="1" x14ac:dyDescent="0.2">
      <c r="C55" s="25">
        <f>IF(DAY(NovNed1)=1,IF(AND(YEAR(NovNed1+29)=KoledarskoLeto,MONTH(NovNed1+29)=11),NovNed1+29,""),IF(AND(YEAR(NovNed1+36)=KoledarskoLeto,MONTH(NovNed1+36)=11),NovNed1+36,""))</f>
        <v>44165</v>
      </c>
      <c r="D55" s="25" t="str">
        <f>IF(DAY(NovNed1)=1,IF(AND(YEAR(NovNed1+30)=KoledarskoLeto,MONTH(NovNed1+30)=11),NovNed1+30,""),IF(AND(YEAR(NovNed1+37)=KoledarskoLeto,MONTH(NovNed1+37)=11),NovNed1+37,""))</f>
        <v/>
      </c>
      <c r="E55" s="25" t="str">
        <f>IF(DAY(NovNed1)=1,IF(AND(YEAR(NovNed1+31)=KoledarskoLeto,MONTH(NovNed1+31)=11),NovNed1+31,""),IF(AND(YEAR(NovNed1+38)=KoledarskoLeto,MONTH(NovNed1+38)=11),NovNed1+38,""))</f>
        <v/>
      </c>
      <c r="F55" s="25" t="str">
        <f>IF(DAY(NovNed1)=1,IF(AND(YEAR(NovNed1+32)=KoledarskoLeto,MONTH(NovNed1+32)=11),NovNed1+32,""),IF(AND(YEAR(NovNed1+39)=KoledarskoLeto,MONTH(NovNed1+39)=11),NovNed1+39,""))</f>
        <v/>
      </c>
      <c r="G55" s="25" t="str">
        <f>IF(DAY(NovNed1)=1,IF(AND(YEAR(NovNed1+33)=KoledarskoLeto,MONTH(NovNed1+33)=11),NovNed1+33,""),IF(AND(YEAR(NovNed1+40)=KoledarskoLeto,MONTH(NovNed1+40)=11),NovNed1+40,""))</f>
        <v/>
      </c>
      <c r="H55" s="25" t="str">
        <f>IF(DAY(NovNed1)=1,IF(AND(YEAR(NovNed1+34)=KoledarskoLeto,MONTH(NovNed1+34)=11),NovNed1+34,""),IF(AND(YEAR(NovNed1+41)=KoledarskoLeto,MONTH(NovNed1+41)=11),NovNed1+41,""))</f>
        <v/>
      </c>
      <c r="I55" s="25" t="str">
        <f>IF(DAY(NovNed1)=1,IF(AND(YEAR(NovNed1+35)=KoledarskoLeto,MONTH(NovNed1+35)=11),NovNed1+35,""),IF(AND(YEAR(NovNed1+42)=KoledarskoLeto,MONTH(NovNed1+42)=11),NovNed1+42,""))</f>
        <v/>
      </c>
      <c r="K55" s="25" t="str">
        <f>IF(DAY(DecNed1)=1,IF(AND(YEAR(DecNed1+29)=KoledarskoLeto,MONTH(DecNed1+29)=12),DecNed1+29,""),IF(AND(YEAR(DecNed1+36)=KoledarskoLeto,MONTH(DecNed1+36)=12),DecNed1+36,""))</f>
        <v/>
      </c>
      <c r="L55" s="25" t="str">
        <f>IF(DAY(DecNed1)=1,IF(AND(YEAR(DecNed1+30)=KoledarskoLeto,MONTH(DecNed1+30)=12),DecNed1+30,""),IF(AND(YEAR(DecNed1+37)=KoledarskoLeto,MONTH(DecNed1+37)=12),DecNed1+37,""))</f>
        <v/>
      </c>
      <c r="M55" s="25" t="str">
        <f>IF(DAY(DecNed1)=1,IF(AND(YEAR(DecNed1+31)=KoledarskoLeto,MONTH(DecNed1+31)=12),DecNed1+31,""),IF(AND(YEAR(DecNed1+38)=KoledarskoLeto,MONTH(DecNed1+38)=12),DecNed1+38,""))</f>
        <v/>
      </c>
      <c r="N55" s="25" t="str">
        <f>IF(DAY(DecNed1)=1,IF(AND(YEAR(DecNed1+32)=KoledarskoLeto,MONTH(DecNed1+32)=12),DecNed1+32,""),IF(AND(YEAR(DecNed1+39)=KoledarskoLeto,MONTH(DecNed1+39)=12),DecNed1+39,""))</f>
        <v/>
      </c>
      <c r="O55" s="25" t="str">
        <f>IF(DAY(DecNed1)=1,IF(AND(YEAR(DecNed1+33)=KoledarskoLeto,MONTH(DecNed1+33)=12),DecNed1+33,""),IF(AND(YEAR(DecNed1+40)=KoledarskoLeto,MONTH(DecNed1+40)=12),DecNed1+40,""))</f>
        <v/>
      </c>
      <c r="P55" s="25" t="str">
        <f>IF(DAY(DecNed1)=1,IF(AND(YEAR(DecNed1+34)=KoledarskoLeto,MONTH(DecNed1+34)=12),DecNed1+34,""),IF(AND(YEAR(DecNed1+41)=KoledarskoLeto,MONTH(DecNed1+41)=12),DecNed1+41,""))</f>
        <v/>
      </c>
      <c r="Q55" s="25" t="str">
        <f>IF(DAY(DecNed1)=1,IF(AND(YEAR(DecNed1+35)=KoledarskoLeto,MONTH(DecNed1+35)=12),DecNed1+35,""),IF(AND(YEAR(DecNed1+42)=KoledarskoLeto,MONTH(DecNed1+42)=12),DecNed1+42,""))</f>
        <v/>
      </c>
      <c r="S55" s="24"/>
      <c r="U55" s="28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V3:W48"/>
    <mergeCell ref="C12:I12"/>
    <mergeCell ref="K12:Q12"/>
    <mergeCell ref="C21:I21"/>
    <mergeCell ref="K21:Q21"/>
    <mergeCell ref="C30:I30"/>
    <mergeCell ref="K30:Q30"/>
    <mergeCell ref="C1:F1"/>
    <mergeCell ref="C3:I3"/>
    <mergeCell ref="K3:Q3"/>
    <mergeCell ref="U51:U55"/>
    <mergeCell ref="C39:I39"/>
    <mergeCell ref="K39:Q39"/>
    <mergeCell ref="C48:I48"/>
    <mergeCell ref="K48:Q48"/>
    <mergeCell ref="B2:L2"/>
  </mergeCells>
  <phoneticPr fontId="6" type="noConversion"/>
  <dataValidations count="1">
    <dataValidation allowBlank="1" showInputMessage="1" showErrorMessage="1" errorTitle="Neveljavno leto" error="Vnesite leto med 1900 do 9999 ali poiščite leto z drsnim trakom." sqref="C1" xr:uid="{00000000-0002-0000-0100-000000000000}"/>
  </dataValidations>
  <printOptions horizontalCentered="1" verticalCentered="1"/>
  <pageMargins left="0.5" right="0.5" top="0.5" bottom="0.5" header="0.3" footer="0.3"/>
  <pageSetup paperSize="9" scale="83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Vrtavka">
              <controlPr defaultSize="0" print="0" autoPict="0" altText="Z gumbom vrtavke spremenite koledarsko leto ali pa vnesite leto v celico C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Začetek</vt:lpstr>
      <vt:lpstr>Letni koledar</vt:lpstr>
      <vt:lpstr>KoledarskoLeto</vt:lpstr>
      <vt:lpstr>'Letni koledar'!Print_Area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2020-04-14T08:34:17Z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