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8"/>
  <workbookPr filterPrivacy="1" autoCompressPictures="0"/>
  <xr:revisionPtr revIDLastSave="0" documentId="13_ncr:1_{E4F4500E-6C42-48F8-A80C-018AB02B575A}" xr6:coauthVersionLast="45" xr6:coauthVersionMax="45" xr10:uidLastSave="{00000000-0000-0000-0000-000000000000}"/>
  <bookViews>
    <workbookView xWindow="-120" yWindow="-120" windowWidth="28980" windowHeight="16110" xr2:uid="{00000000-000D-0000-FFFF-FFFF00000000}"/>
  </bookViews>
  <sheets>
    <sheet name="Aloitus" sheetId="2" r:id="rId1"/>
    <sheet name="Vuosikalenteri" sheetId="1" r:id="rId2"/>
  </sheets>
  <definedNames>
    <definedName name="elosu1">DATE(Kalenterivuosi,8,1)-WEEKDAY(DATE(Kalenterivuosi,8,1))+1</definedName>
    <definedName name="heinäsu1">DATE(Kalenterivuosi,7,1)-WEEKDAY(DATE(Kalenterivuosi,7,1))+1</definedName>
    <definedName name="helmisu1">DATE(Kalenterivuosi,2,1)-WEEKDAY(DATE(Kalenterivuosi,2,1))+1</definedName>
    <definedName name="huhtisu1">DATE(Kalenterivuosi,4,1)-WEEKDAY(DATE(Kalenterivuosi,4,1))+1</definedName>
    <definedName name="joulusu1">DATE(Kalenterivuosi,12,1)-WEEKDAY(DATE(Kalenterivuosi,12,1))+1</definedName>
    <definedName name="Kalenterivuosi">Vuosikalenteri!$C$1</definedName>
    <definedName name="kesäsu1">DATE(Kalenterivuosi,6,1)-WEEKDAY(DATE(Kalenterivuosi,6,1))+1</definedName>
    <definedName name="lokasu1">DATE(Kalenterivuosi,10,1)-WEEKDAY(DATE(Kalenterivuosi,10,1))+1</definedName>
    <definedName name="maalissu1">DATE(Kalenterivuosi,3,1)-WEEKDAY(DATE(Kalenterivuosi,3,1))+1</definedName>
    <definedName name="marrassu1">DATE(Kalenterivuosi,11,1)-WEEKDAY(DATE(Kalenterivuosi,11,1))+1</definedName>
    <definedName name="syyssu1">DATE(Kalenterivuosi,9,1)-WEEKDAY(DATE(Kalenterivuosi,9,1))+1</definedName>
    <definedName name="tammisu1">DATE(Kalenterivuosi,1,1)-WEEKDAY(DATE(Kalenterivuosi,1,1))+1</definedName>
    <definedName name="toukosu1">DATE(Kalenterivuosi,5,1)-WEEKDAY(DATE(Kalenterivuosi,5,1))+1</definedName>
    <definedName name="_xlnm.Print_Area" localSheetId="1">Vuosikalenteri!$B$1:$W$55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<sst xmlns="http://schemas.openxmlformats.org/spreadsheetml/2006/main" count="135" uniqueCount="58">
  <si>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TIETOJA TÄSTÄ MALLISTA</t>
  </si>
  <si>
    <t>Tämän mallin avulla voit luoda yksilöllisen pienyrityksen kalenterin mille tahansa vuodelle.</t>
  </si>
  <si>
    <t>Kirjoita yrityksen nimi ja yhteystiedot, ja lisää yrityksen logo.</t>
  </si>
  <si>
    <t>Valitse vuosi ja kirjoita tärkeitä päivämääriä ja tapahtumia.</t>
  </si>
  <si>
    <t>Huomautus: </t>
  </si>
  <si>
    <t>Jos haluat lisätietoja jostakin taulukosta, paina kyseisessä taulukossa VAIHTO ja sitten F10, valitse TAULUKKO-vaihtoehto ja valitse sitten VAIHTOEHTOINEN TEKSTI.</t>
  </si>
  <si>
    <t>Luo pienyrityksen kalenteri mille tahansa vuodelle tässä laskentataulukossa. Tämän sarakkeen soluissa on hyödyllisiä ohjeita tämän laskentataulukon käyttöön. Vaihda vuosi solussa C1 valitsemalla askellin oikealla olevassa solussa. Tärkeät päivämäärät -otsikko on solussa U1</t>
  </si>
  <si>
    <t>Vihje on oikealla olevassa solussa</t>
  </si>
  <si>
    <t>Valitun vuoden kalenteri on soluissa C3–Q55, tammikuun kalenteri soluissa C4–I10 ja helmikuun kalenteri soluissa K4–Q10. Tammikuun otsikko on solussa C3 ja helmikuun solussa K3. Kirjoita tärkeät päivämäärät ja tapahtumat soluihin U3–U42</t>
  </si>
  <si>
    <t>Tammikuun kalenteritaulukko on soluissa C4–I10 ja helmikuun kalenteritaulukko soluissa K4–Q10. Seuraava ohje on solussa A12</t>
  </si>
  <si>
    <t>Maaliskuun otsikko on solussa C12 ja huhtikuun solussa K12</t>
  </si>
  <si>
    <t>Maaliskuun kalenteritaulukko on soluissa C13–I19 ja huhtikuun kalenteritaulukko soluissa K13–Q19. Seuraava ohje on solussa A21</t>
  </si>
  <si>
    <t>Toukokuun otsikko on solussa C21 ja kesäkuun solussa K21</t>
  </si>
  <si>
    <t>Toukokuun kalenteritaulukko on soluissa C22–I28 ja kesäkuun kalenteritaulukko soluissa K22–Q28. Seuraava ohje on solussa A30</t>
  </si>
  <si>
    <t>Heinäkuun otsikko on solussa C30 ja elokuun solussa K30</t>
  </si>
  <si>
    <t>Heinäkuun kalenteritaulukko on soluissa C31–I37 ja elokuun kalenteritaulukko soluissa K31–Q37. Seuraava ohje on solussa A39</t>
  </si>
  <si>
    <t>Syyskuun otsikko on solussa C39 ja lokakuun solussa K39</t>
  </si>
  <si>
    <t>Syyskuun kalenteritaulukko on soluissa C40–Q46 ja lokakuun kalenteri soluissa K40–Q46. Seuraava ohje on solussa A44</t>
  </si>
  <si>
    <t>Kirjoita katuosoite soluun U44</t>
  </si>
  <si>
    <t>Kirjoita postinumero ja -toimipaikka soluun U45. Seuraava ohje on solussa A47</t>
  </si>
  <si>
    <t>Kirjoita yrityksen puhelinnumero soluun U47</t>
  </si>
  <si>
    <t>Marraskuun otsikko on solussa C48 ja joulukuun solussa K48. Kirjoita sähköpostiosoite soluun U48</t>
  </si>
  <si>
    <t>Marraskuun kalenteritaulukko on soluissa C49–I55 ja joulukuun kalenteri soluissa K49–Q55. Seuraava ohje on solussa A51</t>
  </si>
  <si>
    <t>Lisää yrityksen logo soluun U51</t>
  </si>
  <si>
    <t>Vaihda kalenterivuosi askeltimen avulla.</t>
  </si>
  <si>
    <t>TAMMIKUU</t>
  </si>
  <si>
    <t>MA</t>
  </si>
  <si>
    <t>MAALISKUU</t>
  </si>
  <si>
    <t>TOUKOKUU</t>
  </si>
  <si>
    <t>HEINÄKUU</t>
  </si>
  <si>
    <t>SYYSKUU</t>
  </si>
  <si>
    <t>MARRASKUU</t>
  </si>
  <si>
    <t>TI</t>
  </si>
  <si>
    <t>KE</t>
  </si>
  <si>
    <t>TO</t>
  </si>
  <si>
    <t>PE</t>
  </si>
  <si>
    <t>LA</t>
  </si>
  <si>
    <t>SU</t>
  </si>
  <si>
    <t>HELMIKUU</t>
  </si>
  <si>
    <t>HUHTIKUU</t>
  </si>
  <si>
    <t>KESÄKUU</t>
  </si>
  <si>
    <t>ELOKUU</t>
  </si>
  <si>
    <t>LOKAKUU</t>
  </si>
  <si>
    <t>JOULUKUU</t>
  </si>
  <si>
    <t>TÄRKEÄT PÄIVÄMÄÄRÄT</t>
  </si>
  <si>
    <t>1. TAMMIKUUTA</t>
  </si>
  <si>
    <t>UUDENVUODENPÄIVÄ</t>
  </si>
  <si>
    <t>14. HELMIKUUTA</t>
  </si>
  <si>
    <t>YSTÄVÄNPÄIVÄ</t>
  </si>
  <si>
    <t>22. HELMIKUUTA</t>
  </si>
  <si>
    <t>AVOIMIEN OVIEN PÄIVÄ</t>
  </si>
  <si>
    <t>Katuosoite</t>
  </si>
  <si>
    <t>Postinumero, postitoimipaikka</t>
  </si>
  <si>
    <t>Puhelinnumero</t>
  </si>
  <si>
    <t>Sähköposti</t>
  </si>
  <si>
    <t>Sivusto</t>
  </si>
  <si>
    <t>Logon paikkamerkki on tässä solussa.</t>
  </si>
  <si>
    <t xml:space="preserve">VUOSIKALENTERI laskentataulukon sarakkeessa A annetaan lisäohjeita. Tämä teksti on piilotettu tarkoituksella. Jos haluat poistaa tekstin, valitse sarake A ja valitse sitten POISTA.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</si>
</sst>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d"/>
  </numFmts>
  <fonts count="37"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9" fillId="0" borderId="2" applyNumberFormat="0" applyFill="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5" applyNumberFormat="0" applyAlignment="0" applyProtection="0"/>
    <xf numFmtId="0" fontId="30" fillId="8" borderId="6" applyNumberFormat="0" applyAlignment="0" applyProtection="0"/>
    <xf numFmtId="0" fontId="31" fillId="8" borderId="5" applyNumberFormat="0" applyAlignment="0" applyProtection="0"/>
    <xf numFmtId="0" fontId="32" fillId="0" borderId="7" applyNumberFormat="0" applyFill="0" applyAlignment="0" applyProtection="0"/>
    <xf numFmtId="0" fontId="33" fillId="9" borderId="8" applyNumberFormat="0" applyAlignment="0" applyProtection="0"/>
    <xf numFmtId="0" fontId="34" fillId="0" borderId="0" applyNumberFormat="0" applyFill="0" applyBorder="0" applyAlignment="0" applyProtection="0"/>
    <xf numFmtId="0" fontId="22" fillId="10" borderId="9" applyNumberFormat="0" applyFont="0" applyAlignment="0" applyProtection="0"/>
    <xf numFmtId="0" fontId="35" fillId="0" borderId="0" applyNumberFormat="0" applyFill="0" applyBorder="0" applyAlignment="0" applyProtection="0"/>
    <xf numFmtId="0" fontId="20" fillId="0" borderId="10"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31">
    <xf numFmtId="0" fontId="0" fillId="0" borderId="0" xfId="0"/>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6" fillId="0" borderId="1" xfId="0" applyNumberFormat="1" applyFont="1" applyBorder="1"/>
    <xf numFmtId="49" fontId="16" fillId="0" borderId="0" xfId="0" applyNumberFormat="1" applyFont="1"/>
    <xf numFmtId="49" fontId="17" fillId="0" borderId="0" xfId="0" applyNumberFormat="1" applyFont="1" applyAlignment="1">
      <alignment horizontal="left"/>
    </xf>
    <xf numFmtId="0" fontId="18" fillId="0" borderId="0" xfId="0" applyFont="1" applyAlignment="1">
      <alignment horizontal="center"/>
    </xf>
    <xf numFmtId="0" fontId="5" fillId="0" borderId="0" xfId="0" applyFont="1" applyAlignment="1">
      <alignment vertical="center" wrapText="1"/>
    </xf>
    <xf numFmtId="0" fontId="21" fillId="3" borderId="0" xfId="1" applyFont="1" applyFill="1" applyBorder="1" applyAlignment="1">
      <alignment horizontal="center" vertical="center"/>
    </xf>
    <xf numFmtId="0" fontId="4" fillId="0" borderId="0" xfId="0" applyFont="1" applyAlignment="1">
      <alignment vertical="center" wrapText="1"/>
    </xf>
    <xf numFmtId="0" fontId="20"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7" fillId="0" borderId="0" xfId="0" applyFont="1"/>
    <xf numFmtId="0" fontId="0" fillId="0" borderId="0" xfId="0" applyAlignment="1">
      <alignment horizontal="center"/>
    </xf>
    <xf numFmtId="0" fontId="11" fillId="0" borderId="0" xfId="0" applyFont="1"/>
    <xf numFmtId="0" fontId="0" fillId="2" borderId="0" xfId="0" applyFill="1"/>
    <xf numFmtId="0" fontId="0" fillId="0" borderId="0" xfId="0" applyAlignment="1">
      <alignment horizontal="center"/>
    </xf>
    <xf numFmtId="0" fontId="15" fillId="0" borderId="0" xfId="0" applyFont="1" applyAlignment="1">
      <alignment horizontal="left"/>
    </xf>
    <xf numFmtId="0" fontId="8" fillId="3" borderId="0" xfId="0" applyFont="1" applyFill="1" applyAlignment="1">
      <alignment horizontal="left" vertical="center"/>
    </xf>
    <xf numFmtId="0" fontId="14" fillId="0" borderId="0" xfId="0" applyFont="1" applyAlignment="1">
      <alignment horizontal="left" vertical="center" indent="2"/>
    </xf>
    <xf numFmtId="166" fontId="0" fillId="0" borderId="0" xfId="0" applyNumberFormat="1" applyAlignment="1">
      <alignment horizontal="center"/>
    </xf>
    <xf numFmtId="167" fontId="0" fillId="0" borderId="0" xfId="0" applyNumberFormat="1" applyAlignment="1">
      <alignment horizontal="center"/>
    </xf>
    <xf numFmtId="0" fontId="1" fillId="0" borderId="0" xfId="0" applyFont="1" applyAlignment="1">
      <alignment vertical="center" wrapText="1"/>
    </xf>
  </cellXfs>
  <cellStyles count="47">
    <cellStyle name="20 % - Aksentti1" xfId="24" builtinId="30" customBuiltin="1"/>
    <cellStyle name="20 % - Aksentti2" xfId="28" builtinId="34" customBuiltin="1"/>
    <cellStyle name="20 % - Aksentti3" xfId="32" builtinId="38" customBuiltin="1"/>
    <cellStyle name="20 % - Aksentti4" xfId="36" builtinId="42" customBuiltin="1"/>
    <cellStyle name="20 % - Aksentti5" xfId="40" builtinId="46" customBuiltin="1"/>
    <cellStyle name="20 % - Aksentti6" xfId="44" builtinId="50" customBuiltin="1"/>
    <cellStyle name="40 % - Aksentti1" xfId="25" builtinId="31" customBuiltin="1"/>
    <cellStyle name="40 % - Aksentti2" xfId="29" builtinId="35" customBuiltin="1"/>
    <cellStyle name="40 % - Aksentti3" xfId="33" builtinId="39" customBuiltin="1"/>
    <cellStyle name="40 % - Aksentti4" xfId="37" builtinId="43" customBuiltin="1"/>
    <cellStyle name="40 % - Aksentti5" xfId="41" builtinId="47" customBuiltin="1"/>
    <cellStyle name="40 % - Aksentti6" xfId="45" builtinId="51" customBuiltin="1"/>
    <cellStyle name="60 % - Aksentti1" xfId="26" builtinId="32" customBuiltin="1"/>
    <cellStyle name="60 % - Aksentti2" xfId="30" builtinId="36" customBuiltin="1"/>
    <cellStyle name="60 % - Aksentti3" xfId="34" builtinId="40" customBuiltin="1"/>
    <cellStyle name="60 % - Aksentti4" xfId="38" builtinId="44" customBuiltin="1"/>
    <cellStyle name="60 % - Aksentti5" xfId="42" builtinId="48" customBuiltin="1"/>
    <cellStyle name="60 % - Aksentti6" xfId="46" builtinId="52" customBuiltin="1"/>
    <cellStyle name="Aksentti1" xfId="23" builtinId="29" customBuiltin="1"/>
    <cellStyle name="Aksentti2" xfId="27" builtinId="33" customBuiltin="1"/>
    <cellStyle name="Aksentti3" xfId="31" builtinId="37" customBuiltin="1"/>
    <cellStyle name="Aksentti4" xfId="35" builtinId="41" customBuiltin="1"/>
    <cellStyle name="Aksentti5" xfId="39" builtinId="45" customBuiltin="1"/>
    <cellStyle name="Aksentti6" xfId="43" builtinId="49" customBuiltin="1"/>
    <cellStyle name="Huomautus" xfId="20" builtinId="10" customBuiltin="1"/>
    <cellStyle name="Huono" xfId="12" builtinId="27" customBuiltin="1"/>
    <cellStyle name="Hyvä" xfId="11" builtinId="26" customBuiltin="1"/>
    <cellStyle name="Laskenta" xfId="16" builtinId="22" customBuiltin="1"/>
    <cellStyle name="Linkitetty solu" xfId="17" builtinId="24" customBuiltin="1"/>
    <cellStyle name="Neutraali" xfId="13" builtinId="28" customBuiltin="1"/>
    <cellStyle name="Normaali" xfId="0" builtinId="0" customBuiltin="1"/>
    <cellStyle name="Otsikko" xfId="7" builtinId="15" customBuiltin="1"/>
    <cellStyle name="Otsikko 1" xfId="8" builtinId="16" customBuiltin="1"/>
    <cellStyle name="Otsikko 2" xfId="1" builtinId="17" customBuiltin="1"/>
    <cellStyle name="Otsikko 3" xfId="9" builtinId="18" customBuiltin="1"/>
    <cellStyle name="Otsikko 4" xfId="10" builtinId="19" customBuiltin="1"/>
    <cellStyle name="Pilkku" xfId="2" builtinId="3" customBuiltin="1"/>
    <cellStyle name="Pilkku [0]" xfId="3" builtinId="6" customBuiltin="1"/>
    <cellStyle name="Prosenttia" xfId="6" builtinId="5" customBuiltin="1"/>
    <cellStyle name="Selittävä teksti" xfId="21" builtinId="53" customBuiltin="1"/>
    <cellStyle name="Summa" xfId="22" builtinId="25" customBuiltin="1"/>
    <cellStyle name="Syöttö" xfId="14" builtinId="20" customBuiltin="1"/>
    <cellStyle name="Tarkistussolu" xfId="18" builtinId="23" customBuiltin="1"/>
    <cellStyle name="Tulostus" xfId="15" builtinId="21" customBuiltin="1"/>
    <cellStyle name="Valuutta" xfId="4" builtinId="4" customBuiltin="1"/>
    <cellStyle name="Valuutta [0]" xfId="5" builtinId="7" customBuiltin="1"/>
    <cellStyle name="Varoitusteksti" xfId="19" builtinId="11" customBuiltin="1"/>
  </cellStyles>
  <dxfs count="108">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682625</xdr:colOff>
      <xdr:row>47</xdr:row>
      <xdr:rowOff>66674</xdr:rowOff>
    </xdr:to>
    <xdr:pic>
      <xdr:nvPicPr>
        <xdr:cNvPr id="2" name="Lehdet" descr="Kuusi lehteä sijoiteltuina pareittain tai yksittäin eri etäisyyksille">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Askellin"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Logon paikkamerkki yrityksen logon lisäämise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Syyskuu" displayName="Syyskuu" ref="C40:I46" totalsRowShown="0" headerRowDxfId="107" dataDxfId="106">
  <autoFilter ref="C40:I4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MA" dataDxfId="105"/>
    <tableColumn id="2" xr3:uid="{00000000-0010-0000-0000-000002000000}" name="TI" dataDxfId="104"/>
    <tableColumn id="3" xr3:uid="{00000000-0010-0000-0000-000003000000}" name="KE" dataDxfId="103"/>
    <tableColumn id="4" xr3:uid="{00000000-0010-0000-0000-000004000000}" name="TO" dataDxfId="102"/>
    <tableColumn id="5" xr3:uid="{00000000-0010-0000-0000-000005000000}" name="PE" dataDxfId="101"/>
    <tableColumn id="6" xr3:uid="{00000000-0010-0000-0000-000006000000}" name="LA" dataDxfId="100"/>
    <tableColumn id="7" xr3:uid="{00000000-0010-0000-0000-000007000000}" name="SU" dataDxfId="99"/>
  </tableColumns>
  <tableStyleInfo showFirstColumn="0" showLastColumn="0" showRowStripes="0" showColumnStripes="0"/>
  <extLst>
    <ext xmlns:x14="http://schemas.microsoft.com/office/spreadsheetml/2009/9/main" uri="{504A1905-F514-4f6f-8877-14C23A59335A}">
      <x14:table altTextSummary="Syyskuun kalenteri tässä taulukossa päivitetään automaattisesti viikonpäivien ja päivämäärien kanss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Huhtikuu" displayName="Huhtikuu" ref="K13:Q19" totalsRowShown="0" headerRowDxfId="90" dataDxfId="16">
  <autoFilter ref="K13:Q19" xr:uid="{00000000-0009-0000-0100-00001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MA" dataDxfId="23"/>
    <tableColumn id="2" xr3:uid="{00000000-0010-0000-0900-000002000000}" name="TI" dataDxfId="22"/>
    <tableColumn id="3" xr3:uid="{00000000-0010-0000-0900-000003000000}" name="KE" dataDxfId="21"/>
    <tableColumn id="4" xr3:uid="{00000000-0010-0000-0900-000004000000}" name="TO" dataDxfId="20"/>
    <tableColumn id="5" xr3:uid="{00000000-0010-0000-0900-000005000000}" name="PE" dataDxfId="19"/>
    <tableColumn id="6" xr3:uid="{00000000-0010-0000-0900-000006000000}" name="LA" dataDxfId="18"/>
    <tableColumn id="7" xr3:uid="{00000000-0010-0000-0900-000007000000}" name="SU" dataDxfId="17"/>
  </tableColumns>
  <tableStyleInfo showFirstColumn="0" showLastColumn="0" showRowStripes="0" showColumnStripes="0"/>
  <extLst>
    <ext xmlns:x14="http://schemas.microsoft.com/office/spreadsheetml/2009/9/main" uri="{504A1905-F514-4f6f-8877-14C23A59335A}">
      <x14:table altTextSummary="Huhtikuun kalenteri tässä taulukossa päivitetään automaattisesti viikonpäivien ja päivämäärien kanss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Helmikuu" displayName="Helmikuu" ref="K4:Q10" totalsRowShown="0" headerRowDxfId="89" dataDxfId="8">
  <autoFilter ref="K4:Q10"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MA" dataDxfId="15"/>
    <tableColumn id="2" xr3:uid="{00000000-0010-0000-0A00-000002000000}" name="TI" dataDxfId="14"/>
    <tableColumn id="3" xr3:uid="{00000000-0010-0000-0A00-000003000000}" name="KE" dataDxfId="13"/>
    <tableColumn id="4" xr3:uid="{00000000-0010-0000-0A00-000004000000}" name="TO" dataDxfId="12"/>
    <tableColumn id="5" xr3:uid="{00000000-0010-0000-0A00-000005000000}" name="PE" dataDxfId="11"/>
    <tableColumn id="6" xr3:uid="{00000000-0010-0000-0A00-000006000000}" name="LA" dataDxfId="10"/>
    <tableColumn id="7" xr3:uid="{00000000-0010-0000-0A00-000007000000}" name="SU" dataDxfId="9"/>
  </tableColumns>
  <tableStyleInfo showFirstColumn="0" showLastColumn="0" showRowStripes="0" showColumnStripes="0"/>
  <extLst>
    <ext xmlns:x14="http://schemas.microsoft.com/office/spreadsheetml/2009/9/main" uri="{504A1905-F514-4f6f-8877-14C23A59335A}">
      <x14:table altTextSummary="Helmikuun kalenteri tässä taulukossa päivitetään automaattisesti viikonpäivien ja päivämäärien kanss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mmikuu" displayName="Tammikuu" ref="C4:I10" totalsRowShown="0" headerRowDxfId="88" dataDxfId="0">
  <autoFilter ref="C4:I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MA" dataDxfId="7"/>
    <tableColumn id="2" xr3:uid="{00000000-0010-0000-0B00-000002000000}" name="TI" dataDxfId="6"/>
    <tableColumn id="3" xr3:uid="{00000000-0010-0000-0B00-000003000000}" name="KE" dataDxfId="5"/>
    <tableColumn id="4" xr3:uid="{00000000-0010-0000-0B00-000004000000}" name="TO" dataDxfId="4"/>
    <tableColumn id="5" xr3:uid="{00000000-0010-0000-0B00-000005000000}" name="PE" dataDxfId="3"/>
    <tableColumn id="6" xr3:uid="{00000000-0010-0000-0B00-000006000000}" name="LA" dataDxfId="2"/>
    <tableColumn id="7" xr3:uid="{00000000-0010-0000-0B00-000007000000}" name="SU" dataDxfId="1"/>
  </tableColumns>
  <tableStyleInfo showFirstColumn="0" showLastColumn="0" showRowStripes="0" showColumnStripes="0"/>
  <extLst>
    <ext xmlns:x14="http://schemas.microsoft.com/office/spreadsheetml/2009/9/main" uri="{504A1905-F514-4f6f-8877-14C23A59335A}">
      <x14:table altTextSummary="Tammikuun kalenteri tässä taulukossa päivitetään automaattisesti viikonpäivien ja päivämäärien kanss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Lokakuu" displayName="Lokakuu" ref="K40:Q46" totalsRowShown="0" headerRowDxfId="98" dataDxfId="80">
  <autoFilter ref="K40:Q46"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MA" dataDxfId="87"/>
    <tableColumn id="2" xr3:uid="{00000000-0010-0000-0100-000002000000}" name="TI" dataDxfId="86"/>
    <tableColumn id="3" xr3:uid="{00000000-0010-0000-0100-000003000000}" name="KE" dataDxfId="85"/>
    <tableColumn id="4" xr3:uid="{00000000-0010-0000-0100-000004000000}" name="TO" dataDxfId="84"/>
    <tableColumn id="5" xr3:uid="{00000000-0010-0000-0100-000005000000}" name="PE" dataDxfId="83"/>
    <tableColumn id="6" xr3:uid="{00000000-0010-0000-0100-000006000000}" name="LA" dataDxfId="82"/>
    <tableColumn id="7" xr3:uid="{00000000-0010-0000-0100-000007000000}" name="SU" dataDxfId="81"/>
  </tableColumns>
  <tableStyleInfo showFirstColumn="0" showLastColumn="0" showRowStripes="0" showColumnStripes="0"/>
  <extLst>
    <ext xmlns:x14="http://schemas.microsoft.com/office/spreadsheetml/2009/9/main" uri="{504A1905-F514-4f6f-8877-14C23A59335A}">
      <x14:table altTextSummary="Lokakuun kalenteri tässä taulukossa päivitetään automaattisesti viikonpäivien ja päivämäärien kanss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Joulukuu" displayName="Joulukuu" ref="K49:Q55" totalsRowShown="0" headerRowDxfId="97" dataDxfId="72">
  <autoFilter ref="K49:Q55"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MA" dataDxfId="79"/>
    <tableColumn id="2" xr3:uid="{00000000-0010-0000-0200-000002000000}" name="TI" dataDxfId="78"/>
    <tableColumn id="3" xr3:uid="{00000000-0010-0000-0200-000003000000}" name="KE" dataDxfId="77"/>
    <tableColumn id="4" xr3:uid="{00000000-0010-0000-0200-000004000000}" name="TO" dataDxfId="76"/>
    <tableColumn id="5" xr3:uid="{00000000-0010-0000-0200-000005000000}" name="PE" dataDxfId="75"/>
    <tableColumn id="6" xr3:uid="{00000000-0010-0000-0200-000006000000}" name="LA" dataDxfId="74"/>
    <tableColumn id="7" xr3:uid="{00000000-0010-0000-0200-000007000000}" name="SU" dataDxfId="73"/>
  </tableColumns>
  <tableStyleInfo showFirstColumn="0" showLastColumn="0" showRowStripes="0" showColumnStripes="0"/>
  <extLst>
    <ext xmlns:x14="http://schemas.microsoft.com/office/spreadsheetml/2009/9/main" uri="{504A1905-F514-4f6f-8877-14C23A59335A}">
      <x14:table altTextSummary="Joulukuun kalenteri tässä taulukossa päivitetään automaattisesti viikonpäivien ja päivämäärien kanss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Marraskuu" displayName="Marraskuu" ref="C49:I55" totalsRowShown="0" headerRowDxfId="96" dataDxfId="64">
  <autoFilter ref="C49:I55" xr:uid="{00000000-0009-0000-0100-00000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MA" dataDxfId="71"/>
    <tableColumn id="2" xr3:uid="{00000000-0010-0000-0300-000002000000}" name="TI" dataDxfId="70"/>
    <tableColumn id="3" xr3:uid="{00000000-0010-0000-0300-000003000000}" name="KE" dataDxfId="69"/>
    <tableColumn id="4" xr3:uid="{00000000-0010-0000-0300-000004000000}" name="TO" dataDxfId="68"/>
    <tableColumn id="5" xr3:uid="{00000000-0010-0000-0300-000005000000}" name="PE" dataDxfId="67"/>
    <tableColumn id="6" xr3:uid="{00000000-0010-0000-0300-000006000000}" name="LA" dataDxfId="66"/>
    <tableColumn id="7" xr3:uid="{00000000-0010-0000-0300-000007000000}" name="SU" dataDxfId="65"/>
  </tableColumns>
  <tableStyleInfo showFirstColumn="0" showLastColumn="0" showRowStripes="0" showColumnStripes="0"/>
  <extLst>
    <ext xmlns:x14="http://schemas.microsoft.com/office/spreadsheetml/2009/9/main" uri="{504A1905-F514-4f6f-8877-14C23A59335A}">
      <x14:table altTextSummary="Marraskuun kalenteri tässä taulukossa päivitetään automaattisesti viikonpäivien ja päivämäärien kanss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Elokuu" displayName="Elokuu" ref="K31:Q37" totalsRowShown="0" headerRowDxfId="95" dataDxfId="56">
  <autoFilter ref="K31:Q3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MA" dataDxfId="63"/>
    <tableColumn id="2" xr3:uid="{00000000-0010-0000-0400-000002000000}" name="TI" dataDxfId="62"/>
    <tableColumn id="3" xr3:uid="{00000000-0010-0000-0400-000003000000}" name="KE" dataDxfId="61"/>
    <tableColumn id="4" xr3:uid="{00000000-0010-0000-0400-000004000000}" name="TO" dataDxfId="60"/>
    <tableColumn id="5" xr3:uid="{00000000-0010-0000-0400-000005000000}" name="PE" dataDxfId="59"/>
    <tableColumn id="6" xr3:uid="{00000000-0010-0000-0400-000006000000}" name="LA" dataDxfId="58"/>
    <tableColumn id="7" xr3:uid="{00000000-0010-0000-0400-000007000000}" name="SU" dataDxfId="57"/>
  </tableColumns>
  <tableStyleInfo showFirstColumn="0" showLastColumn="0" showRowStripes="0" showColumnStripes="0"/>
  <extLst>
    <ext xmlns:x14="http://schemas.microsoft.com/office/spreadsheetml/2009/9/main" uri="{504A1905-F514-4f6f-8877-14C23A59335A}">
      <x14:table altTextSummary="Elokuun kalenteri tässä taulukossa päivitetään automaattisesti viikonpäivien ja päivämäärien kanss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Heinäkuu" displayName="Heinäkuu" ref="C31:I37" totalsRowShown="0" headerRowDxfId="94" dataDxfId="48">
  <autoFilter ref="C31:I37"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MA" dataDxfId="55"/>
    <tableColumn id="2" xr3:uid="{00000000-0010-0000-0500-000002000000}" name="TI" dataDxfId="54"/>
    <tableColumn id="3" xr3:uid="{00000000-0010-0000-0500-000003000000}" name="KE" dataDxfId="53"/>
    <tableColumn id="4" xr3:uid="{00000000-0010-0000-0500-000004000000}" name="TO" dataDxfId="52"/>
    <tableColumn id="5" xr3:uid="{00000000-0010-0000-0500-000005000000}" name="PE" dataDxfId="51"/>
    <tableColumn id="6" xr3:uid="{00000000-0010-0000-0500-000006000000}" name="LA" dataDxfId="50"/>
    <tableColumn id="7" xr3:uid="{00000000-0010-0000-0500-000007000000}" name="SU" dataDxfId="49"/>
  </tableColumns>
  <tableStyleInfo showFirstColumn="0" showLastColumn="0" showRowStripes="0" showColumnStripes="0"/>
  <extLst>
    <ext xmlns:x14="http://schemas.microsoft.com/office/spreadsheetml/2009/9/main" uri="{504A1905-F514-4f6f-8877-14C23A59335A}">
      <x14:table altTextSummary="Heinäkuun kalenteri tässä taulukossa päivitetään automaattisesti viikonpäivien ja päivämäärien kanss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Kesäkuu" displayName="Kesäkuu" ref="K22:Q28" totalsRowShown="0" headerRowDxfId="93" dataDxfId="40">
  <autoFilter ref="K22:Q28"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MA" dataDxfId="47"/>
    <tableColumn id="2" xr3:uid="{00000000-0010-0000-0600-000002000000}" name="TI" dataDxfId="46"/>
    <tableColumn id="3" xr3:uid="{00000000-0010-0000-0600-000003000000}" name="KE" dataDxfId="45"/>
    <tableColumn id="4" xr3:uid="{00000000-0010-0000-0600-000004000000}" name="TO" dataDxfId="44"/>
    <tableColumn id="5" xr3:uid="{00000000-0010-0000-0600-000005000000}" name="PE" dataDxfId="43"/>
    <tableColumn id="6" xr3:uid="{00000000-0010-0000-0600-000006000000}" name="LA" dataDxfId="42"/>
    <tableColumn id="7" xr3:uid="{00000000-0010-0000-0600-000007000000}" name="SU" dataDxfId="41"/>
  </tableColumns>
  <tableStyleInfo showFirstColumn="0" showLastColumn="0" showRowStripes="0" showColumnStripes="0"/>
  <extLst>
    <ext xmlns:x14="http://schemas.microsoft.com/office/spreadsheetml/2009/9/main" uri="{504A1905-F514-4f6f-8877-14C23A59335A}">
      <x14:table altTextSummary="Kesäkuun kalenteri tässä taulukossa päivitetään automaattisesti viikonpäivien ja päivämäärien kanss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oukokuu" displayName="Toukokuu" ref="C22:I28" totalsRowShown="0" headerRowDxfId="92" dataDxfId="32">
  <autoFilter ref="C22:I2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MA" dataDxfId="39"/>
    <tableColumn id="2" xr3:uid="{00000000-0010-0000-0700-000002000000}" name="TI" dataDxfId="38"/>
    <tableColumn id="3" xr3:uid="{00000000-0010-0000-0700-000003000000}" name="KE" dataDxfId="37"/>
    <tableColumn id="4" xr3:uid="{00000000-0010-0000-0700-000004000000}" name="TO" dataDxfId="36"/>
    <tableColumn id="5" xr3:uid="{00000000-0010-0000-0700-000005000000}" name="PE" dataDxfId="35"/>
    <tableColumn id="6" xr3:uid="{00000000-0010-0000-0700-000006000000}" name="LA" dataDxfId="34"/>
    <tableColumn id="7" xr3:uid="{00000000-0010-0000-0700-000007000000}" name="SU" dataDxfId="33"/>
  </tableColumns>
  <tableStyleInfo showFirstColumn="0" showLastColumn="0" showRowStripes="0" showColumnStripes="0"/>
  <extLst>
    <ext xmlns:x14="http://schemas.microsoft.com/office/spreadsheetml/2009/9/main" uri="{504A1905-F514-4f6f-8877-14C23A59335A}">
      <x14:table altTextSummary="Toukokuun kalenteri tässä taulukossa päivitetään automaattisesti viikonpäivien ja päivämäärien kanss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Maaliskuu" displayName="Maaliskuu" ref="C13:I19" totalsRowShown="0" headerRowDxfId="91" dataDxfId="24">
  <autoFilter ref="C13:I19" xr:uid="{00000000-0009-0000-0100-00001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MA" dataDxfId="31"/>
    <tableColumn id="2" xr3:uid="{00000000-0010-0000-0800-000002000000}" name="TI" dataDxfId="30"/>
    <tableColumn id="3" xr3:uid="{00000000-0010-0000-0800-000003000000}" name="KE" dataDxfId="29"/>
    <tableColumn id="4" xr3:uid="{00000000-0010-0000-0800-000004000000}" name="TO" dataDxfId="28"/>
    <tableColumn id="5" xr3:uid="{00000000-0010-0000-0800-000005000000}" name="PE" dataDxfId="27"/>
    <tableColumn id="6" xr3:uid="{00000000-0010-0000-0800-000006000000}" name="LA" dataDxfId="26"/>
    <tableColumn id="7" xr3:uid="{00000000-0010-0000-0800-000007000000}" name="SU" dataDxfId="25"/>
  </tableColumns>
  <tableStyleInfo showFirstColumn="0" showLastColumn="0" showRowStripes="0" showColumnStripes="0"/>
  <extLst>
    <ext xmlns:x14="http://schemas.microsoft.com/office/spreadsheetml/2009/9/main" uri="{504A1905-F514-4f6f-8877-14C23A59335A}">
      <x14:table altTextSummary="Maaliskuun kalenteri tässä taulukossa päivitetään automaattisesti viikonpäivien ja päivämäärien kanssa"/>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B8"/>
  <sheetViews>
    <sheetView showGridLines="0" tabSelected="1" workbookViewId="0"/>
  </sheetViews>
  <sheetFormatPr defaultRowHeight="11.25" x14ac:dyDescent="0.2"/>
  <cols>
    <col min="1" max="1" width="2.83203125" customWidth="1"/>
    <col min="2" max="2" width="92.83203125" style="16" customWidth="1"/>
    <col min="3" max="3" width="2.83203125" customWidth="1"/>
  </cols>
  <sheetData>
    <row r="1" spans="2:2" ht="30" customHeight="1" x14ac:dyDescent="0.2">
      <c r="B1" s="13" t="s">
        <v>0</v>
      </c>
    </row>
    <row r="2" spans="2:2" ht="30" customHeight="1" x14ac:dyDescent="0.2">
      <c r="B2" s="12" t="s">
        <v>1</v>
      </c>
    </row>
    <row r="3" spans="2:2" ht="30" customHeight="1" x14ac:dyDescent="0.2">
      <c r="B3" s="12" t="s">
        <v>2</v>
      </c>
    </row>
    <row r="4" spans="2:2" ht="30" customHeight="1" x14ac:dyDescent="0.2">
      <c r="B4" s="12" t="s">
        <v>3</v>
      </c>
    </row>
    <row r="5" spans="2:2" ht="30" customHeight="1" x14ac:dyDescent="0.25">
      <c r="B5" s="15" t="s">
        <v>4</v>
      </c>
    </row>
    <row r="6" spans="2:2" ht="65.25" customHeight="1" x14ac:dyDescent="0.2">
      <c r="B6" s="30" t="s">
        <v>57</v>
      </c>
    </row>
    <row r="7" spans="2:2" ht="30" x14ac:dyDescent="0.2">
      <c r="B7" s="14" t="s">
        <v>5</v>
      </c>
    </row>
    <row r="8" spans="2:2" ht="15" x14ac:dyDescent="0.2">
      <c r="B8"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W69"/>
  <sheetViews>
    <sheetView showGridLines="0" zoomScaleNormal="100" workbookViewId="0"/>
  </sheetViews>
  <sheetFormatPr defaultColWidth="9.5" defaultRowHeight="11.25" x14ac:dyDescent="0.2"/>
  <cols>
    <col min="1" max="1" width="2.5" style="19" customWidth="1"/>
    <col min="2" max="2" width="5.1640625" customWidth="1"/>
    <col min="3" max="17" width="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23" ht="30" customHeight="1" x14ac:dyDescent="0.2">
      <c r="A1" s="17" t="s">
        <v>6</v>
      </c>
      <c r="B1" s="4"/>
      <c r="C1" s="26">
        <v>2020</v>
      </c>
      <c r="D1" s="26"/>
      <c r="E1" s="26"/>
      <c r="F1" s="26"/>
      <c r="G1" s="5"/>
      <c r="H1" s="6"/>
      <c r="I1" s="6"/>
      <c r="J1" s="6"/>
      <c r="K1" s="6"/>
      <c r="L1" s="6"/>
      <c r="M1" s="6"/>
      <c r="N1" s="6"/>
      <c r="O1" s="6"/>
      <c r="P1" s="6"/>
      <c r="Q1" s="6"/>
      <c r="R1" s="6"/>
      <c r="S1" s="4"/>
      <c r="T1" s="4"/>
      <c r="U1" s="7" t="s">
        <v>44</v>
      </c>
      <c r="V1" s="4"/>
      <c r="W1" s="4"/>
    </row>
    <row r="2" spans="1:23" ht="15" customHeight="1" x14ac:dyDescent="0.2">
      <c r="A2" s="18" t="s">
        <v>7</v>
      </c>
      <c r="B2" s="27" t="s">
        <v>24</v>
      </c>
      <c r="C2" s="27"/>
      <c r="D2" s="27"/>
      <c r="E2" s="27"/>
      <c r="F2" s="27"/>
      <c r="G2" s="27"/>
      <c r="H2" s="27"/>
      <c r="I2" s="27"/>
      <c r="J2" s="27"/>
      <c r="S2" s="23"/>
    </row>
    <row r="3" spans="1:23" ht="15" customHeight="1" x14ac:dyDescent="0.25">
      <c r="A3" s="19" t="s">
        <v>8</v>
      </c>
      <c r="C3" s="25" t="s">
        <v>25</v>
      </c>
      <c r="D3" s="25"/>
      <c r="E3" s="25"/>
      <c r="F3" s="25"/>
      <c r="G3" s="25"/>
      <c r="H3" s="25"/>
      <c r="I3" s="25"/>
      <c r="J3" s="20"/>
      <c r="K3" s="25" t="s">
        <v>38</v>
      </c>
      <c r="L3" s="25"/>
      <c r="M3" s="25"/>
      <c r="N3" s="25"/>
      <c r="O3" s="25"/>
      <c r="P3" s="25"/>
      <c r="Q3" s="25"/>
      <c r="S3" s="23"/>
      <c r="U3" s="10" t="s">
        <v>45</v>
      </c>
      <c r="V3" s="24"/>
      <c r="W3" s="24"/>
    </row>
    <row r="4" spans="1:23" ht="15" customHeight="1" x14ac:dyDescent="0.2">
      <c r="A4" s="18" t="s">
        <v>9</v>
      </c>
      <c r="C4" s="11" t="s">
        <v>26</v>
      </c>
      <c r="D4" s="11" t="s">
        <v>32</v>
      </c>
      <c r="E4" s="11" t="s">
        <v>33</v>
      </c>
      <c r="F4" s="11" t="s">
        <v>34</v>
      </c>
      <c r="G4" s="11" t="s">
        <v>35</v>
      </c>
      <c r="H4" s="11" t="s">
        <v>36</v>
      </c>
      <c r="I4" s="11" t="s">
        <v>37</v>
      </c>
      <c r="J4" s="21"/>
      <c r="K4" s="11" t="s">
        <v>26</v>
      </c>
      <c r="L4" s="11" t="s">
        <v>32</v>
      </c>
      <c r="M4" s="11" t="s">
        <v>33</v>
      </c>
      <c r="N4" s="11" t="s">
        <v>34</v>
      </c>
      <c r="O4" s="11" t="s">
        <v>35</v>
      </c>
      <c r="P4" s="11" t="s">
        <v>36</v>
      </c>
      <c r="Q4" s="11" t="s">
        <v>37</v>
      </c>
      <c r="S4" s="23"/>
      <c r="U4" s="3" t="s">
        <v>46</v>
      </c>
      <c r="V4" s="24"/>
      <c r="W4" s="24"/>
    </row>
    <row r="5" spans="1:23" ht="15" customHeight="1" x14ac:dyDescent="0.2">
      <c r="A5" s="18"/>
      <c r="C5" s="29" t="str">
        <f>IF(DAY(tammisu1)=1,"",IF(AND(YEAR(tammisu1+1)=Kalenterivuosi,MONTH(tammisu1+1)=1),tammisu1+1,""))</f>
        <v/>
      </c>
      <c r="D5" s="29" t="str">
        <f>IF(DAY(tammisu1)=1,"",IF(AND(YEAR(tammisu1+2)=Kalenterivuosi,MONTH(tammisu1+2)=1),tammisu1+2,""))</f>
        <v/>
      </c>
      <c r="E5" s="29">
        <f>IF(DAY(tammisu1)=1,"",IF(AND(YEAR(tammisu1+3)=Kalenterivuosi,MONTH(tammisu1+3)=1),tammisu1+3,""))</f>
        <v>43831</v>
      </c>
      <c r="F5" s="29">
        <f>IF(DAY(tammisu1)=1,"",IF(AND(YEAR(tammisu1+4)=Kalenterivuosi,MONTH(tammisu1+4)=1),tammisu1+4,""))</f>
        <v>43832</v>
      </c>
      <c r="G5" s="29">
        <f>IF(DAY(tammisu1)=1,"",IF(AND(YEAR(tammisu1+5)=Kalenterivuosi,MONTH(tammisu1+5)=1),tammisu1+5,""))</f>
        <v>43833</v>
      </c>
      <c r="H5" s="29">
        <f>IF(DAY(tammisu1)=1,"",IF(AND(YEAR(tammisu1+6)=Kalenterivuosi,MONTH(tammisu1+6)=1),tammisu1+6,""))</f>
        <v>43834</v>
      </c>
      <c r="I5" s="29">
        <f>IF(DAY(tammisu1)=1,IF(AND(YEAR(tammisu1)=Kalenterivuosi,MONTH(tammisu1)=1),tammisu1,""),IF(AND(YEAR(tammisu1+7)=Kalenterivuosi,MONTH(tammisu1+7)=1),tammisu1+7,""))</f>
        <v>43835</v>
      </c>
      <c r="J5" s="21"/>
      <c r="K5" s="29" t="str">
        <f>IF(DAY(helmisu1)=1,"",IF(AND(YEAR(helmisu1+1)=Kalenterivuosi,MONTH(helmisu1+1)=2),helmisu1+1,""))</f>
        <v/>
      </c>
      <c r="L5" s="29" t="str">
        <f>IF(DAY(helmisu1)=1,"",IF(AND(YEAR(helmisu1+2)=Kalenterivuosi,MONTH(helmisu1+2)=2),helmisu1+2,""))</f>
        <v/>
      </c>
      <c r="M5" s="29" t="str">
        <f>IF(DAY(helmisu1)=1,"",IF(AND(YEAR(helmisu1+3)=Kalenterivuosi,MONTH(helmisu1+3)=2),helmisu1+3,""))</f>
        <v/>
      </c>
      <c r="N5" s="29" t="str">
        <f>IF(DAY(helmisu1)=1,"",IF(AND(YEAR(helmisu1+4)=Kalenterivuosi,MONTH(helmisu1+4)=2),helmisu1+4,""))</f>
        <v/>
      </c>
      <c r="O5" s="29" t="str">
        <f>IF(DAY(helmisu1)=1,"",IF(AND(YEAR(helmisu1+5)=Kalenterivuosi,MONTH(helmisu1+5)=2),helmisu1+5,""))</f>
        <v/>
      </c>
      <c r="P5" s="29">
        <f>IF(DAY(helmisu1)=1,"",IF(AND(YEAR(helmisu1+6)=Kalenterivuosi,MONTH(helmisu1+6)=2),helmisu1+6,""))</f>
        <v>43862</v>
      </c>
      <c r="Q5" s="29">
        <f>IF(DAY(helmisu1)=1,IF(AND(YEAR(helmisu1)=Kalenterivuosi,MONTH(helmisu1)=2),helmisu1,""),IF(AND(YEAR(helmisu1+7)=Kalenterivuosi,MONTH(helmisu1+7)=2),helmisu1+7,""))</f>
        <v>43863</v>
      </c>
      <c r="S5" s="23"/>
      <c r="U5" s="2"/>
      <c r="V5" s="24"/>
      <c r="W5" s="24"/>
    </row>
    <row r="6" spans="1:23" ht="15" customHeight="1" x14ac:dyDescent="0.2">
      <c r="A6" s="18"/>
      <c r="C6" s="29">
        <f>IF(DAY(tammisu1)=1,IF(AND(YEAR(tammisu1+1)=Kalenterivuosi,MONTH(tammisu1+1)=1),tammisu1+1,""),IF(AND(YEAR(tammisu1+8)=Kalenterivuosi,MONTH(tammisu1+8)=1),tammisu1+8,""))</f>
        <v>43836</v>
      </c>
      <c r="D6" s="29">
        <f>IF(DAY(tammisu1)=1,IF(AND(YEAR(tammisu1+2)=Kalenterivuosi,MONTH(tammisu1+2)=1),tammisu1+2,""),IF(AND(YEAR(tammisu1+9)=Kalenterivuosi,MONTH(tammisu1+9)=1),tammisu1+9,""))</f>
        <v>43837</v>
      </c>
      <c r="E6" s="29">
        <f>IF(DAY(tammisu1)=1,IF(AND(YEAR(tammisu1+3)=Kalenterivuosi,MONTH(tammisu1+3)=1),tammisu1+3,""),IF(AND(YEAR(tammisu1+10)=Kalenterivuosi,MONTH(tammisu1+10)=1),tammisu1+10,""))</f>
        <v>43838</v>
      </c>
      <c r="F6" s="29">
        <f>IF(DAY(tammisu1)=1,IF(AND(YEAR(tammisu1+4)=Kalenterivuosi,MONTH(tammisu1+4)=1),tammisu1+4,""),IF(AND(YEAR(tammisu1+11)=Kalenterivuosi,MONTH(tammisu1+11)=1),tammisu1+11,""))</f>
        <v>43839</v>
      </c>
      <c r="G6" s="29">
        <f>IF(DAY(tammisu1)=1,IF(AND(YEAR(tammisu1+5)=Kalenterivuosi,MONTH(tammisu1+5)=1),tammisu1+5,""),IF(AND(YEAR(tammisu1+12)=Kalenterivuosi,MONTH(tammisu1+12)=1),tammisu1+12,""))</f>
        <v>43840</v>
      </c>
      <c r="H6" s="29">
        <f>IF(DAY(tammisu1)=1,IF(AND(YEAR(tammisu1+6)=Kalenterivuosi,MONTH(tammisu1+6)=1),tammisu1+6,""),IF(AND(YEAR(tammisu1+13)=Kalenterivuosi,MONTH(tammisu1+13)=1),tammisu1+13,""))</f>
        <v>43841</v>
      </c>
      <c r="I6" s="29">
        <f>IF(DAY(tammisu1)=1,IF(AND(YEAR(tammisu1+7)=Kalenterivuosi,MONTH(tammisu1+7)=1),tammisu1+7,""),IF(AND(YEAR(tammisu1+14)=Kalenterivuosi,MONTH(tammisu1+14)=1),tammisu1+14,""))</f>
        <v>43842</v>
      </c>
      <c r="J6" s="21"/>
      <c r="K6" s="29">
        <f>IF(DAY(helmisu1)=1,IF(AND(YEAR(helmisu1+1)=Kalenterivuosi,MONTH(helmisu1+1)=2),helmisu1+1,""),IF(AND(YEAR(helmisu1+8)=Kalenterivuosi,MONTH(helmisu1+8)=2),helmisu1+8,""))</f>
        <v>43864</v>
      </c>
      <c r="L6" s="29">
        <f>IF(DAY(helmisu1)=1,IF(AND(YEAR(helmisu1+2)=Kalenterivuosi,MONTH(helmisu1+2)=2),helmisu1+2,""),IF(AND(YEAR(helmisu1+9)=Kalenterivuosi,MONTH(helmisu1+9)=2),helmisu1+9,""))</f>
        <v>43865</v>
      </c>
      <c r="M6" s="29">
        <f>IF(DAY(helmisu1)=1,IF(AND(YEAR(helmisu1+3)=Kalenterivuosi,MONTH(helmisu1+3)=2),helmisu1+3,""),IF(AND(YEAR(helmisu1+10)=Kalenterivuosi,MONTH(helmisu1+10)=2),helmisu1+10,""))</f>
        <v>43866</v>
      </c>
      <c r="N6" s="29">
        <f>IF(DAY(helmisu1)=1,IF(AND(YEAR(helmisu1+4)=Kalenterivuosi,MONTH(helmisu1+4)=2),helmisu1+4,""),IF(AND(YEAR(helmisu1+11)=Kalenterivuosi,MONTH(helmisu1+11)=2),helmisu1+11,""))</f>
        <v>43867</v>
      </c>
      <c r="O6" s="29">
        <f>IF(DAY(helmisu1)=1,IF(AND(YEAR(helmisu1+5)=Kalenterivuosi,MONTH(helmisu1+5)=2),helmisu1+5,""),IF(AND(YEAR(helmisu1+12)=Kalenterivuosi,MONTH(helmisu1+12)=2),helmisu1+12,""))</f>
        <v>43868</v>
      </c>
      <c r="P6" s="29">
        <f>IF(DAY(helmisu1)=1,IF(AND(YEAR(helmisu1+6)=Kalenterivuosi,MONTH(helmisu1+6)=2),helmisu1+6,""),IF(AND(YEAR(helmisu1+13)=Kalenterivuosi,MONTH(helmisu1+13)=2),helmisu1+13,""))</f>
        <v>43869</v>
      </c>
      <c r="Q6" s="29">
        <f>IF(DAY(helmisu1)=1,IF(AND(YEAR(helmisu1+7)=Kalenterivuosi,MONTH(helmisu1+7)=2),helmisu1+7,""),IF(AND(YEAR(helmisu1+14)=Kalenterivuosi,MONTH(helmisu1+14)=2),helmisu1+14,""))</f>
        <v>43870</v>
      </c>
      <c r="S6" s="23"/>
      <c r="U6" s="10" t="s">
        <v>47</v>
      </c>
      <c r="V6" s="24"/>
      <c r="W6" s="24"/>
    </row>
    <row r="7" spans="1:23" ht="15" customHeight="1" x14ac:dyDescent="0.2">
      <c r="C7" s="29">
        <f>IF(DAY(tammisu1)=1,IF(AND(YEAR(tammisu1+8)=Kalenterivuosi,MONTH(tammisu1+8)=1),tammisu1+8,""),IF(AND(YEAR(tammisu1+15)=Kalenterivuosi,MONTH(tammisu1+15)=1),tammisu1+15,""))</f>
        <v>43843</v>
      </c>
      <c r="D7" s="29">
        <f>IF(DAY(tammisu1)=1,IF(AND(YEAR(tammisu1+9)=Kalenterivuosi,MONTH(tammisu1+9)=1),tammisu1+9,""),IF(AND(YEAR(tammisu1+16)=Kalenterivuosi,MONTH(tammisu1+16)=1),tammisu1+16,""))</f>
        <v>43844</v>
      </c>
      <c r="E7" s="29">
        <f>IF(DAY(tammisu1)=1,IF(AND(YEAR(tammisu1+10)=Kalenterivuosi,MONTH(tammisu1+10)=1),tammisu1+10,""),IF(AND(YEAR(tammisu1+17)=Kalenterivuosi,MONTH(tammisu1+17)=1),tammisu1+17,""))</f>
        <v>43845</v>
      </c>
      <c r="F7" s="29">
        <f>IF(DAY(tammisu1)=1,IF(AND(YEAR(tammisu1+11)=Kalenterivuosi,MONTH(tammisu1+11)=1),tammisu1+11,""),IF(AND(YEAR(tammisu1+18)=Kalenterivuosi,MONTH(tammisu1+18)=1),tammisu1+18,""))</f>
        <v>43846</v>
      </c>
      <c r="G7" s="29">
        <f>IF(DAY(tammisu1)=1,IF(AND(YEAR(tammisu1+12)=Kalenterivuosi,MONTH(tammisu1+12)=1),tammisu1+12,""),IF(AND(YEAR(tammisu1+19)=Kalenterivuosi,MONTH(tammisu1+19)=1),tammisu1+19,""))</f>
        <v>43847</v>
      </c>
      <c r="H7" s="29">
        <f>IF(DAY(tammisu1)=1,IF(AND(YEAR(tammisu1+13)=Kalenterivuosi,MONTH(tammisu1+13)=1),tammisu1+13,""),IF(AND(YEAR(tammisu1+20)=Kalenterivuosi,MONTH(tammisu1+20)=1),tammisu1+20,""))</f>
        <v>43848</v>
      </c>
      <c r="I7" s="29">
        <f>IF(DAY(tammisu1)=1,IF(AND(YEAR(tammisu1+14)=Kalenterivuosi,MONTH(tammisu1+14)=1),tammisu1+14,""),IF(AND(YEAR(tammisu1+21)=Kalenterivuosi,MONTH(tammisu1+21)=1),tammisu1+21,""))</f>
        <v>43849</v>
      </c>
      <c r="J7" s="21"/>
      <c r="K7" s="29">
        <f>IF(DAY(helmisu1)=1,IF(AND(YEAR(helmisu1+8)=Kalenterivuosi,MONTH(helmisu1+8)=2),helmisu1+8,""),IF(AND(YEAR(helmisu1+15)=Kalenterivuosi,MONTH(helmisu1+15)=2),helmisu1+15,""))</f>
        <v>43871</v>
      </c>
      <c r="L7" s="29">
        <f>IF(DAY(helmisu1)=1,IF(AND(YEAR(helmisu1+9)=Kalenterivuosi,MONTH(helmisu1+9)=2),helmisu1+9,""),IF(AND(YEAR(helmisu1+16)=Kalenterivuosi,MONTH(helmisu1+16)=2),helmisu1+16,""))</f>
        <v>43872</v>
      </c>
      <c r="M7" s="29">
        <f>IF(DAY(helmisu1)=1,IF(AND(YEAR(helmisu1+10)=Kalenterivuosi,MONTH(helmisu1+10)=2),helmisu1+10,""),IF(AND(YEAR(helmisu1+17)=Kalenterivuosi,MONTH(helmisu1+17)=2),helmisu1+17,""))</f>
        <v>43873</v>
      </c>
      <c r="N7" s="29">
        <f>IF(DAY(helmisu1)=1,IF(AND(YEAR(helmisu1+11)=Kalenterivuosi,MONTH(helmisu1+11)=2),helmisu1+11,""),IF(AND(YEAR(helmisu1+18)=Kalenterivuosi,MONTH(helmisu1+18)=2),helmisu1+18,""))</f>
        <v>43874</v>
      </c>
      <c r="O7" s="29">
        <f>IF(DAY(helmisu1)=1,IF(AND(YEAR(helmisu1+12)=Kalenterivuosi,MONTH(helmisu1+12)=2),helmisu1+12,""),IF(AND(YEAR(helmisu1+19)=Kalenterivuosi,MONTH(helmisu1+19)=2),helmisu1+19,""))</f>
        <v>43875</v>
      </c>
      <c r="P7" s="29">
        <f>IF(DAY(helmisu1)=1,IF(AND(YEAR(helmisu1+13)=Kalenterivuosi,MONTH(helmisu1+13)=2),helmisu1+13,""),IF(AND(YEAR(helmisu1+20)=Kalenterivuosi,MONTH(helmisu1+20)=2),helmisu1+20,""))</f>
        <v>43876</v>
      </c>
      <c r="Q7" s="29">
        <f>IF(DAY(helmisu1)=1,IF(AND(YEAR(helmisu1+14)=Kalenterivuosi,MONTH(helmisu1+14)=2),helmisu1+14,""),IF(AND(YEAR(helmisu1+21)=Kalenterivuosi,MONTH(helmisu1+21)=2),helmisu1+21,""))</f>
        <v>43877</v>
      </c>
      <c r="S7" s="23"/>
      <c r="U7" s="3" t="s">
        <v>48</v>
      </c>
      <c r="V7" s="24"/>
      <c r="W7" s="24"/>
    </row>
    <row r="8" spans="1:23" ht="15" customHeight="1" x14ac:dyDescent="0.2">
      <c r="C8" s="29">
        <f>IF(DAY(tammisu1)=1,IF(AND(YEAR(tammisu1+15)=Kalenterivuosi,MONTH(tammisu1+15)=1),tammisu1+15,""),IF(AND(YEAR(tammisu1+22)=Kalenterivuosi,MONTH(tammisu1+22)=1),tammisu1+22,""))</f>
        <v>43850</v>
      </c>
      <c r="D8" s="29">
        <f>IF(DAY(tammisu1)=1,IF(AND(YEAR(tammisu1+16)=Kalenterivuosi,MONTH(tammisu1+16)=1),tammisu1+16,""),IF(AND(YEAR(tammisu1+23)=Kalenterivuosi,MONTH(tammisu1+23)=1),tammisu1+23,""))</f>
        <v>43851</v>
      </c>
      <c r="E8" s="29">
        <f>IF(DAY(tammisu1)=1,IF(AND(YEAR(tammisu1+17)=Kalenterivuosi,MONTH(tammisu1+17)=1),tammisu1+17,""),IF(AND(YEAR(tammisu1+24)=Kalenterivuosi,MONTH(tammisu1+24)=1),tammisu1+24,""))</f>
        <v>43852</v>
      </c>
      <c r="F8" s="29">
        <f>IF(DAY(tammisu1)=1,IF(AND(YEAR(tammisu1+18)=Kalenterivuosi,MONTH(tammisu1+18)=1),tammisu1+18,""),IF(AND(YEAR(tammisu1+25)=Kalenterivuosi,MONTH(tammisu1+25)=1),tammisu1+25,""))</f>
        <v>43853</v>
      </c>
      <c r="G8" s="29">
        <f>IF(DAY(tammisu1)=1,IF(AND(YEAR(tammisu1+19)=Kalenterivuosi,MONTH(tammisu1+19)=1),tammisu1+19,""),IF(AND(YEAR(tammisu1+26)=Kalenterivuosi,MONTH(tammisu1+26)=1),tammisu1+26,""))</f>
        <v>43854</v>
      </c>
      <c r="H8" s="29">
        <f>IF(DAY(tammisu1)=1,IF(AND(YEAR(tammisu1+20)=Kalenterivuosi,MONTH(tammisu1+20)=1),tammisu1+20,""),IF(AND(YEAR(tammisu1+27)=Kalenterivuosi,MONTH(tammisu1+27)=1),tammisu1+27,""))</f>
        <v>43855</v>
      </c>
      <c r="I8" s="29">
        <f>IF(DAY(tammisu1)=1,IF(AND(YEAR(tammisu1+21)=Kalenterivuosi,MONTH(tammisu1+21)=1),tammisu1+21,""),IF(AND(YEAR(tammisu1+28)=Kalenterivuosi,MONTH(tammisu1+28)=1),tammisu1+28,""))</f>
        <v>43856</v>
      </c>
      <c r="J8" s="21"/>
      <c r="K8" s="29">
        <f>IF(DAY(helmisu1)=1,IF(AND(YEAR(helmisu1+15)=Kalenterivuosi,MONTH(helmisu1+15)=2),helmisu1+15,""),IF(AND(YEAR(helmisu1+22)=Kalenterivuosi,MONTH(helmisu1+22)=2),helmisu1+22,""))</f>
        <v>43878</v>
      </c>
      <c r="L8" s="29">
        <f>IF(DAY(helmisu1)=1,IF(AND(YEAR(helmisu1+16)=Kalenterivuosi,MONTH(helmisu1+16)=2),helmisu1+16,""),IF(AND(YEAR(helmisu1+23)=Kalenterivuosi,MONTH(helmisu1+23)=2),helmisu1+23,""))</f>
        <v>43879</v>
      </c>
      <c r="M8" s="29">
        <f>IF(DAY(helmisu1)=1,IF(AND(YEAR(helmisu1+17)=Kalenterivuosi,MONTH(helmisu1+17)=2),helmisu1+17,""),IF(AND(YEAR(helmisu1+24)=Kalenterivuosi,MONTH(helmisu1+24)=2),helmisu1+24,""))</f>
        <v>43880</v>
      </c>
      <c r="N8" s="29">
        <f>IF(DAY(helmisu1)=1,IF(AND(YEAR(helmisu1+18)=Kalenterivuosi,MONTH(helmisu1+18)=2),helmisu1+18,""),IF(AND(YEAR(helmisu1+25)=Kalenterivuosi,MONTH(helmisu1+25)=2),helmisu1+25,""))</f>
        <v>43881</v>
      </c>
      <c r="O8" s="29">
        <f>IF(DAY(helmisu1)=1,IF(AND(YEAR(helmisu1+19)=Kalenterivuosi,MONTH(helmisu1+19)=2),helmisu1+19,""),IF(AND(YEAR(helmisu1+26)=Kalenterivuosi,MONTH(helmisu1+26)=2),helmisu1+26,""))</f>
        <v>43882</v>
      </c>
      <c r="P8" s="29">
        <f>IF(DAY(helmisu1)=1,IF(AND(YEAR(helmisu1+20)=Kalenterivuosi,MONTH(helmisu1+20)=2),helmisu1+20,""),IF(AND(YEAR(helmisu1+27)=Kalenterivuosi,MONTH(helmisu1+27)=2),helmisu1+27,""))</f>
        <v>43883</v>
      </c>
      <c r="Q8" s="29">
        <f>IF(DAY(helmisu1)=1,IF(AND(YEAR(helmisu1+21)=Kalenterivuosi,MONTH(helmisu1+21)=2),helmisu1+21,""),IF(AND(YEAR(helmisu1+28)=Kalenterivuosi,MONTH(helmisu1+28)=2),helmisu1+28,""))</f>
        <v>43884</v>
      </c>
      <c r="S8" s="23"/>
      <c r="U8" s="2"/>
      <c r="V8" s="24"/>
      <c r="W8" s="24"/>
    </row>
    <row r="9" spans="1:23" ht="15" customHeight="1" x14ac:dyDescent="0.2">
      <c r="C9" s="29">
        <f>IF(DAY(tammisu1)=1,IF(AND(YEAR(tammisu1+22)=Kalenterivuosi,MONTH(tammisu1+22)=1),tammisu1+22,""),IF(AND(YEAR(tammisu1+29)=Kalenterivuosi,MONTH(tammisu1+29)=1),tammisu1+29,""))</f>
        <v>43857</v>
      </c>
      <c r="D9" s="29">
        <f>IF(DAY(tammisu1)=1,IF(AND(YEAR(tammisu1+23)=Kalenterivuosi,MONTH(tammisu1+23)=1),tammisu1+23,""),IF(AND(YEAR(tammisu1+30)=Kalenterivuosi,MONTH(tammisu1+30)=1),tammisu1+30,""))</f>
        <v>43858</v>
      </c>
      <c r="E9" s="29">
        <f>IF(DAY(tammisu1)=1,IF(AND(YEAR(tammisu1+24)=Kalenterivuosi,MONTH(tammisu1+24)=1),tammisu1+24,""),IF(AND(YEAR(tammisu1+31)=Kalenterivuosi,MONTH(tammisu1+31)=1),tammisu1+31,""))</f>
        <v>43859</v>
      </c>
      <c r="F9" s="29">
        <f>IF(DAY(tammisu1)=1,IF(AND(YEAR(tammisu1+25)=Kalenterivuosi,MONTH(tammisu1+25)=1),tammisu1+25,""),IF(AND(YEAR(tammisu1+32)=Kalenterivuosi,MONTH(tammisu1+32)=1),tammisu1+32,""))</f>
        <v>43860</v>
      </c>
      <c r="G9" s="29">
        <f>IF(DAY(tammisu1)=1,IF(AND(YEAR(tammisu1+26)=Kalenterivuosi,MONTH(tammisu1+26)=1),tammisu1+26,""),IF(AND(YEAR(tammisu1+33)=Kalenterivuosi,MONTH(tammisu1+33)=1),tammisu1+33,""))</f>
        <v>43861</v>
      </c>
      <c r="H9" s="29" t="str">
        <f>IF(DAY(tammisu1)=1,IF(AND(YEAR(tammisu1+27)=Kalenterivuosi,MONTH(tammisu1+27)=1),tammisu1+27,""),IF(AND(YEAR(tammisu1+34)=Kalenterivuosi,MONTH(tammisu1+34)=1),tammisu1+34,""))</f>
        <v/>
      </c>
      <c r="I9" s="29" t="str">
        <f>IF(DAY(tammisu1)=1,IF(AND(YEAR(tammisu1+28)=Kalenterivuosi,MONTH(tammisu1+28)=1),tammisu1+28,""),IF(AND(YEAR(tammisu1+35)=Kalenterivuosi,MONTH(tammisu1+35)=1),tammisu1+35,""))</f>
        <v/>
      </c>
      <c r="J9" s="21"/>
      <c r="K9" s="29">
        <f>IF(DAY(helmisu1)=1,IF(AND(YEAR(helmisu1+22)=Kalenterivuosi,MONTH(helmisu1+22)=2),helmisu1+22,""),IF(AND(YEAR(helmisu1+29)=Kalenterivuosi,MONTH(helmisu1+29)=2),helmisu1+29,""))</f>
        <v>43885</v>
      </c>
      <c r="L9" s="29">
        <f>IF(DAY(helmisu1)=1,IF(AND(YEAR(helmisu1+23)=Kalenterivuosi,MONTH(helmisu1+23)=2),helmisu1+23,""),IF(AND(YEAR(helmisu1+30)=Kalenterivuosi,MONTH(helmisu1+30)=2),helmisu1+30,""))</f>
        <v>43886</v>
      </c>
      <c r="M9" s="29">
        <f>IF(DAY(helmisu1)=1,IF(AND(YEAR(helmisu1+24)=Kalenterivuosi,MONTH(helmisu1+24)=2),helmisu1+24,""),IF(AND(YEAR(helmisu1+31)=Kalenterivuosi,MONTH(helmisu1+31)=2),helmisu1+31,""))</f>
        <v>43887</v>
      </c>
      <c r="N9" s="29">
        <f>IF(DAY(helmisu1)=1,IF(AND(YEAR(helmisu1+25)=Kalenterivuosi,MONTH(helmisu1+25)=2),helmisu1+25,""),IF(AND(YEAR(helmisu1+32)=Kalenterivuosi,MONTH(helmisu1+32)=2),helmisu1+32,""))</f>
        <v>43888</v>
      </c>
      <c r="O9" s="29">
        <f>IF(DAY(helmisu1)=1,IF(AND(YEAR(helmisu1+26)=Kalenterivuosi,MONTH(helmisu1+26)=2),helmisu1+26,""),IF(AND(YEAR(helmisu1+33)=Kalenterivuosi,MONTH(helmisu1+33)=2),helmisu1+33,""))</f>
        <v>43889</v>
      </c>
      <c r="P9" s="29">
        <f>IF(DAY(helmisu1)=1,IF(AND(YEAR(helmisu1+27)=Kalenterivuosi,MONTH(helmisu1+27)=2),helmisu1+27,""),IF(AND(YEAR(helmisu1+34)=Kalenterivuosi,MONTH(helmisu1+34)=2),helmisu1+34,""))</f>
        <v>43890</v>
      </c>
      <c r="Q9" s="29" t="str">
        <f>IF(DAY(helmisu1)=1,IF(AND(YEAR(helmisu1+28)=Kalenterivuosi,MONTH(helmisu1+28)=2),helmisu1+28,""),IF(AND(YEAR(helmisu1+35)=Kalenterivuosi,MONTH(helmisu1+35)=2),helmisu1+35,""))</f>
        <v/>
      </c>
      <c r="S9" s="23"/>
      <c r="U9" s="10" t="s">
        <v>49</v>
      </c>
      <c r="V9" s="24"/>
      <c r="W9" s="24"/>
    </row>
    <row r="10" spans="1:23" ht="15" customHeight="1" x14ac:dyDescent="0.2">
      <c r="C10" s="29" t="str">
        <f>IF(DAY(tammisu1)=1,IF(AND(YEAR(tammisu1+29)=Kalenterivuosi,MONTH(tammisu1+29)=1),tammisu1+29,""),IF(AND(YEAR(tammisu1+36)=Kalenterivuosi,MONTH(tammisu1+36)=1),tammisu1+36,""))</f>
        <v/>
      </c>
      <c r="D10" s="29" t="str">
        <f>IF(DAY(tammisu1)=1,IF(AND(YEAR(tammisu1+30)=Kalenterivuosi,MONTH(tammisu1+30)=1),tammisu1+30,""),IF(AND(YEAR(tammisu1+37)=Kalenterivuosi,MONTH(tammisu1+37)=1),tammisu1+37,""))</f>
        <v/>
      </c>
      <c r="E10" s="29" t="str">
        <f>IF(DAY(tammisu1)=1,IF(AND(YEAR(tammisu1+31)=Kalenterivuosi,MONTH(tammisu1+31)=1),tammisu1+31,""),IF(AND(YEAR(tammisu1+38)=Kalenterivuosi,MONTH(tammisu1+38)=1),tammisu1+38,""))</f>
        <v/>
      </c>
      <c r="F10" s="29" t="str">
        <f>IF(DAY(tammisu1)=1,IF(AND(YEAR(tammisu1+32)=Kalenterivuosi,MONTH(tammisu1+32)=1),tammisu1+32,""),IF(AND(YEAR(tammisu1+39)=Kalenterivuosi,MONTH(tammisu1+39)=1),tammisu1+39,""))</f>
        <v/>
      </c>
      <c r="G10" s="29" t="str">
        <f>IF(DAY(tammisu1)=1,IF(AND(YEAR(tammisu1+33)=Kalenterivuosi,MONTH(tammisu1+33)=1),tammisu1+33,""),IF(AND(YEAR(tammisu1+40)=Kalenterivuosi,MONTH(tammisu1+40)=1),tammisu1+40,""))</f>
        <v/>
      </c>
      <c r="H10" s="29" t="str">
        <f>IF(DAY(tammisu1)=1,IF(AND(YEAR(tammisu1+34)=Kalenterivuosi,MONTH(tammisu1+34)=1),tammisu1+34,""),IF(AND(YEAR(tammisu1+41)=Kalenterivuosi,MONTH(tammisu1+41)=1),tammisu1+41,""))</f>
        <v/>
      </c>
      <c r="I10" s="29" t="str">
        <f>IF(DAY(tammisu1)=1,IF(AND(YEAR(tammisu1+35)=Kalenterivuosi,MONTH(tammisu1+35)=1),tammisu1+35,""),IF(AND(YEAR(tammisu1+42)=Kalenterivuosi,MONTH(tammisu1+42)=1),tammisu1+42,""))</f>
        <v/>
      </c>
      <c r="J10" s="21"/>
      <c r="K10" s="29" t="str">
        <f>IF(DAY(helmisu1)=1,IF(AND(YEAR(helmisu1+29)=Kalenterivuosi,MONTH(helmisu1+29)=2),helmisu1+29,""),IF(AND(YEAR(helmisu1+36)=Kalenterivuosi,MONTH(helmisu1+36)=2),helmisu1+36,""))</f>
        <v/>
      </c>
      <c r="L10" s="29" t="str">
        <f>IF(DAY(helmisu1)=1,IF(AND(YEAR(helmisu1+30)=Kalenterivuosi,MONTH(helmisu1+30)=2),helmisu1+30,""),IF(AND(YEAR(helmisu1+37)=Kalenterivuosi,MONTH(helmisu1+37)=2),helmisu1+37,""))</f>
        <v/>
      </c>
      <c r="M10" s="29" t="str">
        <f>IF(DAY(helmisu1)=1,IF(AND(YEAR(helmisu1+31)=Kalenterivuosi,MONTH(helmisu1+31)=2),helmisu1+31,""),IF(AND(YEAR(helmisu1+38)=Kalenterivuosi,MONTH(helmisu1+38)=2),helmisu1+38,""))</f>
        <v/>
      </c>
      <c r="N10" s="29" t="str">
        <f>IF(DAY(helmisu1)=1,IF(AND(YEAR(helmisu1+32)=Kalenterivuosi,MONTH(helmisu1+32)=2),helmisu1+32,""),IF(AND(YEAR(helmisu1+39)=Kalenterivuosi,MONTH(helmisu1+39)=2),helmisu1+39,""))</f>
        <v/>
      </c>
      <c r="O10" s="29" t="str">
        <f>IF(DAY(helmisu1)=1,IF(AND(YEAR(helmisu1+33)=Kalenterivuosi,MONTH(helmisu1+33)=2),helmisu1+33,""),IF(AND(YEAR(helmisu1+40)=Kalenterivuosi,MONTH(helmisu1+40)=2),helmisu1+40,""))</f>
        <v/>
      </c>
      <c r="P10" s="29" t="str">
        <f>IF(DAY(helmisu1)=1,IF(AND(YEAR(helmisu1+34)=Kalenterivuosi,MONTH(helmisu1+34)=2),helmisu1+34,""),IF(AND(YEAR(helmisu1+41)=Kalenterivuosi,MONTH(helmisu1+41)=2),helmisu1+41,""))</f>
        <v/>
      </c>
      <c r="Q10" s="29" t="str">
        <f>IF(DAY(helmisu1)=1,IF(AND(YEAR(helmisu1+35)=Kalenterivuosi,MONTH(helmisu1+35)=2),helmisu1+35,""),IF(AND(YEAR(helmisu1+42)=Kalenterivuosi,MONTH(helmisu1+42)=2),helmisu1+42,""))</f>
        <v/>
      </c>
      <c r="S10" s="23"/>
      <c r="U10" s="3" t="s">
        <v>50</v>
      </c>
      <c r="V10" s="24"/>
      <c r="W10" s="24"/>
    </row>
    <row r="11" spans="1:23" ht="15" customHeight="1" x14ac:dyDescent="0.2">
      <c r="C11" s="21"/>
      <c r="D11" s="21"/>
      <c r="E11" s="21"/>
      <c r="F11" s="21"/>
      <c r="G11" s="21"/>
      <c r="H11" s="21"/>
      <c r="I11" s="21"/>
      <c r="J11" s="21"/>
      <c r="K11" s="21"/>
      <c r="L11" s="21"/>
      <c r="M11" s="21"/>
      <c r="N11" s="21"/>
      <c r="O11" s="21"/>
      <c r="P11" s="21"/>
      <c r="Q11" s="21"/>
      <c r="S11" s="23"/>
      <c r="U11" s="2"/>
      <c r="V11" s="24"/>
      <c r="W11" s="24"/>
    </row>
    <row r="12" spans="1:23" ht="15" customHeight="1" x14ac:dyDescent="0.2">
      <c r="A12" s="18" t="s">
        <v>10</v>
      </c>
      <c r="C12" s="25" t="s">
        <v>27</v>
      </c>
      <c r="D12" s="25"/>
      <c r="E12" s="25"/>
      <c r="F12" s="25"/>
      <c r="G12" s="25"/>
      <c r="H12" s="25"/>
      <c r="I12" s="25"/>
      <c r="K12" s="25" t="s">
        <v>39</v>
      </c>
      <c r="L12" s="25"/>
      <c r="M12" s="25"/>
      <c r="N12" s="25"/>
      <c r="O12" s="25"/>
      <c r="P12" s="25"/>
      <c r="Q12" s="25"/>
      <c r="S12" s="23"/>
      <c r="U12" s="10"/>
      <c r="V12" s="24"/>
      <c r="W12" s="24"/>
    </row>
    <row r="13" spans="1:23" ht="15" customHeight="1" x14ac:dyDescent="0.25">
      <c r="A13" s="18" t="s">
        <v>11</v>
      </c>
      <c r="C13" s="11" t="s">
        <v>26</v>
      </c>
      <c r="D13" s="11" t="s">
        <v>32</v>
      </c>
      <c r="E13" s="11" t="s">
        <v>33</v>
      </c>
      <c r="F13" s="11" t="s">
        <v>34</v>
      </c>
      <c r="G13" s="11" t="s">
        <v>35</v>
      </c>
      <c r="H13" s="11" t="s">
        <v>36</v>
      </c>
      <c r="I13" s="11" t="s">
        <v>37</v>
      </c>
      <c r="J13" s="20"/>
      <c r="K13" s="11" t="s">
        <v>26</v>
      </c>
      <c r="L13" s="11" t="s">
        <v>32</v>
      </c>
      <c r="M13" s="11" t="s">
        <v>33</v>
      </c>
      <c r="N13" s="11" t="s">
        <v>34</v>
      </c>
      <c r="O13" s="11" t="s">
        <v>35</v>
      </c>
      <c r="P13" s="11" t="s">
        <v>36</v>
      </c>
      <c r="Q13" s="11" t="s">
        <v>37</v>
      </c>
      <c r="S13" s="23"/>
      <c r="U13" s="3"/>
      <c r="V13" s="24"/>
      <c r="W13" s="24"/>
    </row>
    <row r="14" spans="1:23" ht="15" customHeight="1" x14ac:dyDescent="0.2">
      <c r="C14" s="29" t="str">
        <f>IF(DAY(maalissu1)=1,"",IF(AND(YEAR(maalissu1+1)=Kalenterivuosi,MONTH(maalissu1+1)=3),maalissu1+1,""))</f>
        <v/>
      </c>
      <c r="D14" s="29" t="str">
        <f>IF(DAY(maalissu1)=1,"",IF(AND(YEAR(maalissu1+2)=Kalenterivuosi,MONTH(maalissu1+2)=3),maalissu1+2,""))</f>
        <v/>
      </c>
      <c r="E14" s="29" t="str">
        <f>IF(DAY(maalissu1)=1,"",IF(AND(YEAR(maalissu1+3)=Kalenterivuosi,MONTH(maalissu1+3)=3),maalissu1+3,""))</f>
        <v/>
      </c>
      <c r="F14" s="29" t="str">
        <f>IF(DAY(maalissu1)=1,"",IF(AND(YEAR(maalissu1+4)=Kalenterivuosi,MONTH(maalissu1+4)=3),maalissu1+4,""))</f>
        <v/>
      </c>
      <c r="G14" s="29" t="str">
        <f>IF(DAY(maalissu1)=1,"",IF(AND(YEAR(maalissu1+5)=Kalenterivuosi,MONTH(maalissu1+5)=3),maalissu1+5,""))</f>
        <v/>
      </c>
      <c r="H14" s="29" t="str">
        <f>IF(DAY(maalissu1)=1,"",IF(AND(YEAR(maalissu1+6)=Kalenterivuosi,MONTH(maalissu1+6)=3),maalissu1+6,""))</f>
        <v/>
      </c>
      <c r="I14" s="29">
        <f>IF(DAY(maalissu1)=1,IF(AND(YEAR(maalissu1)=Kalenterivuosi,MONTH(maalissu1)=3),maalissu1,""),IF(AND(YEAR(maalissu1+7)=Kalenterivuosi,MONTH(maalissu1+7)=3),maalissu1+7,""))</f>
        <v>43891</v>
      </c>
      <c r="J14" s="21"/>
      <c r="K14" s="29" t="str">
        <f>IF(DAY(huhtisu1)=1,"",IF(AND(YEAR(huhtisu1+1)=Kalenterivuosi,MONTH(huhtisu1+1)=4),huhtisu1+1,""))</f>
        <v/>
      </c>
      <c r="L14" s="29" t="str">
        <f>IF(DAY(huhtisu1)=1,"",IF(AND(YEAR(huhtisu1+2)=Kalenterivuosi,MONTH(huhtisu1+2)=4),huhtisu1+2,""))</f>
        <v/>
      </c>
      <c r="M14" s="29">
        <f>IF(DAY(huhtisu1)=1,"",IF(AND(YEAR(huhtisu1+3)=Kalenterivuosi,MONTH(huhtisu1+3)=4),huhtisu1+3,""))</f>
        <v>43922</v>
      </c>
      <c r="N14" s="29">
        <f>IF(DAY(huhtisu1)=1,"",IF(AND(YEAR(huhtisu1+4)=Kalenterivuosi,MONTH(huhtisu1+4)=4),huhtisu1+4,""))</f>
        <v>43923</v>
      </c>
      <c r="O14" s="29">
        <f>IF(DAY(huhtisu1)=1,"",IF(AND(YEAR(huhtisu1+5)=Kalenterivuosi,MONTH(huhtisu1+5)=4),huhtisu1+5,""))</f>
        <v>43924</v>
      </c>
      <c r="P14" s="29">
        <f>IF(DAY(huhtisu1)=1,"",IF(AND(YEAR(huhtisu1+6)=Kalenterivuosi,MONTH(huhtisu1+6)=4),huhtisu1+6,""))</f>
        <v>43925</v>
      </c>
      <c r="Q14" s="29">
        <f>IF(DAY(huhtisu1)=1,IF(AND(YEAR(huhtisu1)=Kalenterivuosi,MONTH(huhtisu1)=4),huhtisu1,""),IF(AND(YEAR(huhtisu1+7)=Kalenterivuosi,MONTH(huhtisu1+7)=4),huhtisu1+7,""))</f>
        <v>43926</v>
      </c>
      <c r="S14" s="23"/>
      <c r="U14" s="2"/>
      <c r="V14" s="24"/>
      <c r="W14" s="24"/>
    </row>
    <row r="15" spans="1:23" ht="15" customHeight="1" x14ac:dyDescent="0.2">
      <c r="A15" s="18"/>
      <c r="C15" s="29">
        <f>IF(DAY(maalissu1)=1,IF(AND(YEAR(maalissu1+1)=Kalenterivuosi,MONTH(maalissu1+1)=3),maalissu1+1,""),IF(AND(YEAR(maalissu1+8)=Kalenterivuosi,MONTH(maalissu1+8)=3),maalissu1+8,""))</f>
        <v>43892</v>
      </c>
      <c r="D15" s="29">
        <f>IF(DAY(maalissu1)=1,IF(AND(YEAR(maalissu1+2)=Kalenterivuosi,MONTH(maalissu1+2)=3),maalissu1+2,""),IF(AND(YEAR(maalissu1+9)=Kalenterivuosi,MONTH(maalissu1+9)=3),maalissu1+9,""))</f>
        <v>43893</v>
      </c>
      <c r="E15" s="29">
        <f>IF(DAY(maalissu1)=1,IF(AND(YEAR(maalissu1+3)=Kalenterivuosi,MONTH(maalissu1+3)=3),maalissu1+3,""),IF(AND(YEAR(maalissu1+10)=Kalenterivuosi,MONTH(maalissu1+10)=3),maalissu1+10,""))</f>
        <v>43894</v>
      </c>
      <c r="F15" s="29">
        <f>IF(DAY(maalissu1)=1,IF(AND(YEAR(maalissu1+4)=Kalenterivuosi,MONTH(maalissu1+4)=3),maalissu1+4,""),IF(AND(YEAR(maalissu1+11)=Kalenterivuosi,MONTH(maalissu1+11)=3),maalissu1+11,""))</f>
        <v>43895</v>
      </c>
      <c r="G15" s="29">
        <f>IF(DAY(maalissu1)=1,IF(AND(YEAR(maalissu1+5)=Kalenterivuosi,MONTH(maalissu1+5)=3),maalissu1+5,""),IF(AND(YEAR(maalissu1+12)=Kalenterivuosi,MONTH(maalissu1+12)=3),maalissu1+12,""))</f>
        <v>43896</v>
      </c>
      <c r="H15" s="29">
        <f>IF(DAY(maalissu1)=1,IF(AND(YEAR(maalissu1+6)=Kalenterivuosi,MONTH(maalissu1+6)=3),maalissu1+6,""),IF(AND(YEAR(maalissu1+13)=Kalenterivuosi,MONTH(maalissu1+13)=3),maalissu1+13,""))</f>
        <v>43897</v>
      </c>
      <c r="I15" s="29">
        <f>IF(DAY(maalissu1)=1,IF(AND(YEAR(maalissu1+7)=Kalenterivuosi,MONTH(maalissu1+7)=3),maalissu1+7,""),IF(AND(YEAR(maalissu1+14)=Kalenterivuosi,MONTH(maalissu1+14)=3),maalissu1+14,""))</f>
        <v>43898</v>
      </c>
      <c r="J15" s="21"/>
      <c r="K15" s="29">
        <f>IF(DAY(huhtisu1)=1,IF(AND(YEAR(huhtisu1+1)=Kalenterivuosi,MONTH(huhtisu1+1)=4),huhtisu1+1,""),IF(AND(YEAR(huhtisu1+8)=Kalenterivuosi,MONTH(huhtisu1+8)=4),huhtisu1+8,""))</f>
        <v>43927</v>
      </c>
      <c r="L15" s="29">
        <f>IF(DAY(huhtisu1)=1,IF(AND(YEAR(huhtisu1+2)=Kalenterivuosi,MONTH(huhtisu1+2)=4),huhtisu1+2,""),IF(AND(YEAR(huhtisu1+9)=Kalenterivuosi,MONTH(huhtisu1+9)=4),huhtisu1+9,""))</f>
        <v>43928</v>
      </c>
      <c r="M15" s="29">
        <f>IF(DAY(huhtisu1)=1,IF(AND(YEAR(huhtisu1+3)=Kalenterivuosi,MONTH(huhtisu1+3)=4),huhtisu1+3,""),IF(AND(YEAR(huhtisu1+10)=Kalenterivuosi,MONTH(huhtisu1+10)=4),huhtisu1+10,""))</f>
        <v>43929</v>
      </c>
      <c r="N15" s="29">
        <f>IF(DAY(huhtisu1)=1,IF(AND(YEAR(huhtisu1+4)=Kalenterivuosi,MONTH(huhtisu1+4)=4),huhtisu1+4,""),IF(AND(YEAR(huhtisu1+11)=Kalenterivuosi,MONTH(huhtisu1+11)=4),huhtisu1+11,""))</f>
        <v>43930</v>
      </c>
      <c r="O15" s="29">
        <f>IF(DAY(huhtisu1)=1,IF(AND(YEAR(huhtisu1+5)=Kalenterivuosi,MONTH(huhtisu1+5)=4),huhtisu1+5,""),IF(AND(YEAR(huhtisu1+12)=Kalenterivuosi,MONTH(huhtisu1+12)=4),huhtisu1+12,""))</f>
        <v>43931</v>
      </c>
      <c r="P15" s="29">
        <f>IF(DAY(huhtisu1)=1,IF(AND(YEAR(huhtisu1+6)=Kalenterivuosi,MONTH(huhtisu1+6)=4),huhtisu1+6,""),IF(AND(YEAR(huhtisu1+13)=Kalenterivuosi,MONTH(huhtisu1+13)=4),huhtisu1+13,""))</f>
        <v>43932</v>
      </c>
      <c r="Q15" s="29">
        <f>IF(DAY(huhtisu1)=1,IF(AND(YEAR(huhtisu1+7)=Kalenterivuosi,MONTH(huhtisu1+7)=4),huhtisu1+7,""),IF(AND(YEAR(huhtisu1+14)=Kalenterivuosi,MONTH(huhtisu1+14)=4),huhtisu1+14,""))</f>
        <v>43933</v>
      </c>
      <c r="S15" s="23"/>
      <c r="U15" s="10"/>
      <c r="V15" s="24"/>
      <c r="W15" s="24"/>
    </row>
    <row r="16" spans="1:23" ht="15" customHeight="1" x14ac:dyDescent="0.2">
      <c r="C16" s="29">
        <f>IF(DAY(maalissu1)=1,IF(AND(YEAR(maalissu1+8)=Kalenterivuosi,MONTH(maalissu1+8)=3),maalissu1+8,""),IF(AND(YEAR(maalissu1+15)=Kalenterivuosi,MONTH(maalissu1+15)=3),maalissu1+15,""))</f>
        <v>43899</v>
      </c>
      <c r="D16" s="29">
        <f>IF(DAY(maalissu1)=1,IF(AND(YEAR(maalissu1+9)=Kalenterivuosi,MONTH(maalissu1+9)=3),maalissu1+9,""),IF(AND(YEAR(maalissu1+16)=Kalenterivuosi,MONTH(maalissu1+16)=3),maalissu1+16,""))</f>
        <v>43900</v>
      </c>
      <c r="E16" s="29">
        <f>IF(DAY(maalissu1)=1,IF(AND(YEAR(maalissu1+10)=Kalenterivuosi,MONTH(maalissu1+10)=3),maalissu1+10,""),IF(AND(YEAR(maalissu1+17)=Kalenterivuosi,MONTH(maalissu1+17)=3),maalissu1+17,""))</f>
        <v>43901</v>
      </c>
      <c r="F16" s="29">
        <f>IF(DAY(maalissu1)=1,IF(AND(YEAR(maalissu1+11)=Kalenterivuosi,MONTH(maalissu1+11)=3),maalissu1+11,""),IF(AND(YEAR(maalissu1+18)=Kalenterivuosi,MONTH(maalissu1+18)=3),maalissu1+18,""))</f>
        <v>43902</v>
      </c>
      <c r="G16" s="29">
        <f>IF(DAY(maalissu1)=1,IF(AND(YEAR(maalissu1+12)=Kalenterivuosi,MONTH(maalissu1+12)=3),maalissu1+12,""),IF(AND(YEAR(maalissu1+19)=Kalenterivuosi,MONTH(maalissu1+19)=3),maalissu1+19,""))</f>
        <v>43903</v>
      </c>
      <c r="H16" s="29">
        <f>IF(DAY(maalissu1)=1,IF(AND(YEAR(maalissu1+13)=Kalenterivuosi,MONTH(maalissu1+13)=3),maalissu1+13,""),IF(AND(YEAR(maalissu1+20)=Kalenterivuosi,MONTH(maalissu1+20)=3),maalissu1+20,""))</f>
        <v>43904</v>
      </c>
      <c r="I16" s="29">
        <f>IF(DAY(maalissu1)=1,IF(AND(YEAR(maalissu1+14)=Kalenterivuosi,MONTH(maalissu1+14)=3),maalissu1+14,""),IF(AND(YEAR(maalissu1+21)=Kalenterivuosi,MONTH(maalissu1+21)=3),maalissu1+21,""))</f>
        <v>43905</v>
      </c>
      <c r="J16" s="21"/>
      <c r="K16" s="29">
        <f>IF(DAY(huhtisu1)=1,IF(AND(YEAR(huhtisu1+8)=Kalenterivuosi,MONTH(huhtisu1+8)=4),huhtisu1+8,""),IF(AND(YEAR(huhtisu1+15)=Kalenterivuosi,MONTH(huhtisu1+15)=4),huhtisu1+15,""))</f>
        <v>43934</v>
      </c>
      <c r="L16" s="29">
        <f>IF(DAY(huhtisu1)=1,IF(AND(YEAR(huhtisu1+9)=Kalenterivuosi,MONTH(huhtisu1+9)=4),huhtisu1+9,""),IF(AND(YEAR(huhtisu1+16)=Kalenterivuosi,MONTH(huhtisu1+16)=4),huhtisu1+16,""))</f>
        <v>43935</v>
      </c>
      <c r="M16" s="29">
        <f>IF(DAY(huhtisu1)=1,IF(AND(YEAR(huhtisu1+10)=Kalenterivuosi,MONTH(huhtisu1+10)=4),huhtisu1+10,""),IF(AND(YEAR(huhtisu1+17)=Kalenterivuosi,MONTH(huhtisu1+17)=4),huhtisu1+17,""))</f>
        <v>43936</v>
      </c>
      <c r="N16" s="29">
        <f>IF(DAY(huhtisu1)=1,IF(AND(YEAR(huhtisu1+11)=Kalenterivuosi,MONTH(huhtisu1+11)=4),huhtisu1+11,""),IF(AND(YEAR(huhtisu1+18)=Kalenterivuosi,MONTH(huhtisu1+18)=4),huhtisu1+18,""))</f>
        <v>43937</v>
      </c>
      <c r="O16" s="29">
        <f>IF(DAY(huhtisu1)=1,IF(AND(YEAR(huhtisu1+12)=Kalenterivuosi,MONTH(huhtisu1+12)=4),huhtisu1+12,""),IF(AND(YEAR(huhtisu1+19)=Kalenterivuosi,MONTH(huhtisu1+19)=4),huhtisu1+19,""))</f>
        <v>43938</v>
      </c>
      <c r="P16" s="29">
        <f>IF(DAY(huhtisu1)=1,IF(AND(YEAR(huhtisu1+13)=Kalenterivuosi,MONTH(huhtisu1+13)=4),huhtisu1+13,""),IF(AND(YEAR(huhtisu1+20)=Kalenterivuosi,MONTH(huhtisu1+20)=4),huhtisu1+20,""))</f>
        <v>43939</v>
      </c>
      <c r="Q16" s="29">
        <f>IF(DAY(huhtisu1)=1,IF(AND(YEAR(huhtisu1+14)=Kalenterivuosi,MONTH(huhtisu1+14)=4),huhtisu1+14,""),IF(AND(YEAR(huhtisu1+21)=Kalenterivuosi,MONTH(huhtisu1+21)=4),huhtisu1+21,""))</f>
        <v>43940</v>
      </c>
      <c r="S16" s="23"/>
      <c r="U16" s="3"/>
      <c r="V16" s="24"/>
      <c r="W16" s="24"/>
    </row>
    <row r="17" spans="1:23" ht="15" customHeight="1" x14ac:dyDescent="0.2">
      <c r="C17" s="29">
        <f>IF(DAY(maalissu1)=1,IF(AND(YEAR(maalissu1+15)=Kalenterivuosi,MONTH(maalissu1+15)=3),maalissu1+15,""),IF(AND(YEAR(maalissu1+22)=Kalenterivuosi,MONTH(maalissu1+22)=3),maalissu1+22,""))</f>
        <v>43906</v>
      </c>
      <c r="D17" s="29">
        <f>IF(DAY(maalissu1)=1,IF(AND(YEAR(maalissu1+16)=Kalenterivuosi,MONTH(maalissu1+16)=3),maalissu1+16,""),IF(AND(YEAR(maalissu1+23)=Kalenterivuosi,MONTH(maalissu1+23)=3),maalissu1+23,""))</f>
        <v>43907</v>
      </c>
      <c r="E17" s="29">
        <f>IF(DAY(maalissu1)=1,IF(AND(YEAR(maalissu1+17)=Kalenterivuosi,MONTH(maalissu1+17)=3),maalissu1+17,""),IF(AND(YEAR(maalissu1+24)=Kalenterivuosi,MONTH(maalissu1+24)=3),maalissu1+24,""))</f>
        <v>43908</v>
      </c>
      <c r="F17" s="29">
        <f>IF(DAY(maalissu1)=1,IF(AND(YEAR(maalissu1+18)=Kalenterivuosi,MONTH(maalissu1+18)=3),maalissu1+18,""),IF(AND(YEAR(maalissu1+25)=Kalenterivuosi,MONTH(maalissu1+25)=3),maalissu1+25,""))</f>
        <v>43909</v>
      </c>
      <c r="G17" s="29">
        <f>IF(DAY(maalissu1)=1,IF(AND(YEAR(maalissu1+19)=Kalenterivuosi,MONTH(maalissu1+19)=3),maalissu1+19,""),IF(AND(YEAR(maalissu1+26)=Kalenterivuosi,MONTH(maalissu1+26)=3),maalissu1+26,""))</f>
        <v>43910</v>
      </c>
      <c r="H17" s="29">
        <f>IF(DAY(maalissu1)=1,IF(AND(YEAR(maalissu1+20)=Kalenterivuosi,MONTH(maalissu1+20)=3),maalissu1+20,""),IF(AND(YEAR(maalissu1+27)=Kalenterivuosi,MONTH(maalissu1+27)=3),maalissu1+27,""))</f>
        <v>43911</v>
      </c>
      <c r="I17" s="29">
        <f>IF(DAY(maalissu1)=1,IF(AND(YEAR(maalissu1+21)=Kalenterivuosi,MONTH(maalissu1+21)=3),maalissu1+21,""),IF(AND(YEAR(maalissu1+28)=Kalenterivuosi,MONTH(maalissu1+28)=3),maalissu1+28,""))</f>
        <v>43912</v>
      </c>
      <c r="J17" s="21"/>
      <c r="K17" s="29">
        <f>IF(DAY(huhtisu1)=1,IF(AND(YEAR(huhtisu1+15)=Kalenterivuosi,MONTH(huhtisu1+15)=4),huhtisu1+15,""),IF(AND(YEAR(huhtisu1+22)=Kalenterivuosi,MONTH(huhtisu1+22)=4),huhtisu1+22,""))</f>
        <v>43941</v>
      </c>
      <c r="L17" s="29">
        <f>IF(DAY(huhtisu1)=1,IF(AND(YEAR(huhtisu1+16)=Kalenterivuosi,MONTH(huhtisu1+16)=4),huhtisu1+16,""),IF(AND(YEAR(huhtisu1+23)=Kalenterivuosi,MONTH(huhtisu1+23)=4),huhtisu1+23,""))</f>
        <v>43942</v>
      </c>
      <c r="M17" s="29">
        <f>IF(DAY(huhtisu1)=1,IF(AND(YEAR(huhtisu1+17)=Kalenterivuosi,MONTH(huhtisu1+17)=4),huhtisu1+17,""),IF(AND(YEAR(huhtisu1+24)=Kalenterivuosi,MONTH(huhtisu1+24)=4),huhtisu1+24,""))</f>
        <v>43943</v>
      </c>
      <c r="N17" s="29">
        <f>IF(DAY(huhtisu1)=1,IF(AND(YEAR(huhtisu1+18)=Kalenterivuosi,MONTH(huhtisu1+18)=4),huhtisu1+18,""),IF(AND(YEAR(huhtisu1+25)=Kalenterivuosi,MONTH(huhtisu1+25)=4),huhtisu1+25,""))</f>
        <v>43944</v>
      </c>
      <c r="O17" s="29">
        <f>IF(DAY(huhtisu1)=1,IF(AND(YEAR(huhtisu1+19)=Kalenterivuosi,MONTH(huhtisu1+19)=4),huhtisu1+19,""),IF(AND(YEAR(huhtisu1+26)=Kalenterivuosi,MONTH(huhtisu1+26)=4),huhtisu1+26,""))</f>
        <v>43945</v>
      </c>
      <c r="P17" s="29">
        <f>IF(DAY(huhtisu1)=1,IF(AND(YEAR(huhtisu1+20)=Kalenterivuosi,MONTH(huhtisu1+20)=4),huhtisu1+20,""),IF(AND(YEAR(huhtisu1+27)=Kalenterivuosi,MONTH(huhtisu1+27)=4),huhtisu1+27,""))</f>
        <v>43946</v>
      </c>
      <c r="Q17" s="29">
        <f>IF(DAY(huhtisu1)=1,IF(AND(YEAR(huhtisu1+21)=Kalenterivuosi,MONTH(huhtisu1+21)=4),huhtisu1+21,""),IF(AND(YEAR(huhtisu1+28)=Kalenterivuosi,MONTH(huhtisu1+28)=4),huhtisu1+28,""))</f>
        <v>43947</v>
      </c>
      <c r="S17" s="23"/>
      <c r="U17" s="2"/>
      <c r="V17" s="24"/>
      <c r="W17" s="24"/>
    </row>
    <row r="18" spans="1:23" ht="15" customHeight="1" x14ac:dyDescent="0.2">
      <c r="C18" s="29">
        <f>IF(DAY(maalissu1)=1,IF(AND(YEAR(maalissu1+22)=Kalenterivuosi,MONTH(maalissu1+22)=3),maalissu1+22,""),IF(AND(YEAR(maalissu1+29)=Kalenterivuosi,MONTH(maalissu1+29)=3),maalissu1+29,""))</f>
        <v>43913</v>
      </c>
      <c r="D18" s="29">
        <f>IF(DAY(maalissu1)=1,IF(AND(YEAR(maalissu1+23)=Kalenterivuosi,MONTH(maalissu1+23)=3),maalissu1+23,""),IF(AND(YEAR(maalissu1+30)=Kalenterivuosi,MONTH(maalissu1+30)=3),maalissu1+30,""))</f>
        <v>43914</v>
      </c>
      <c r="E18" s="29">
        <f>IF(DAY(maalissu1)=1,IF(AND(YEAR(maalissu1+24)=Kalenterivuosi,MONTH(maalissu1+24)=3),maalissu1+24,""),IF(AND(YEAR(maalissu1+31)=Kalenterivuosi,MONTH(maalissu1+31)=3),maalissu1+31,""))</f>
        <v>43915</v>
      </c>
      <c r="F18" s="29">
        <f>IF(DAY(maalissu1)=1,IF(AND(YEAR(maalissu1+25)=Kalenterivuosi,MONTH(maalissu1+25)=3),maalissu1+25,""),IF(AND(YEAR(maalissu1+32)=Kalenterivuosi,MONTH(maalissu1+32)=3),maalissu1+32,""))</f>
        <v>43916</v>
      </c>
      <c r="G18" s="29">
        <f>IF(DAY(maalissu1)=1,IF(AND(YEAR(maalissu1+26)=Kalenterivuosi,MONTH(maalissu1+26)=3),maalissu1+26,""),IF(AND(YEAR(maalissu1+33)=Kalenterivuosi,MONTH(maalissu1+33)=3),maalissu1+33,""))</f>
        <v>43917</v>
      </c>
      <c r="H18" s="29">
        <f>IF(DAY(maalissu1)=1,IF(AND(YEAR(maalissu1+27)=Kalenterivuosi,MONTH(maalissu1+27)=3),maalissu1+27,""),IF(AND(YEAR(maalissu1+34)=Kalenterivuosi,MONTH(maalissu1+34)=3),maalissu1+34,""))</f>
        <v>43918</v>
      </c>
      <c r="I18" s="29">
        <f>IF(DAY(maalissu1)=1,IF(AND(YEAR(maalissu1+28)=Kalenterivuosi,MONTH(maalissu1+28)=3),maalissu1+28,""),IF(AND(YEAR(maalissu1+35)=Kalenterivuosi,MONTH(maalissu1+35)=3),maalissu1+35,""))</f>
        <v>43919</v>
      </c>
      <c r="J18" s="21"/>
      <c r="K18" s="29">
        <f>IF(DAY(huhtisu1)=1,IF(AND(YEAR(huhtisu1+22)=Kalenterivuosi,MONTH(huhtisu1+22)=4),huhtisu1+22,""),IF(AND(YEAR(huhtisu1+29)=Kalenterivuosi,MONTH(huhtisu1+29)=4),huhtisu1+29,""))</f>
        <v>43948</v>
      </c>
      <c r="L18" s="29">
        <f>IF(DAY(huhtisu1)=1,IF(AND(YEAR(huhtisu1+23)=Kalenterivuosi,MONTH(huhtisu1+23)=4),huhtisu1+23,""),IF(AND(YEAR(huhtisu1+30)=Kalenterivuosi,MONTH(huhtisu1+30)=4),huhtisu1+30,""))</f>
        <v>43949</v>
      </c>
      <c r="M18" s="29">
        <f>IF(DAY(huhtisu1)=1,IF(AND(YEAR(huhtisu1+24)=Kalenterivuosi,MONTH(huhtisu1+24)=4),huhtisu1+24,""),IF(AND(YEAR(huhtisu1+31)=Kalenterivuosi,MONTH(huhtisu1+31)=4),huhtisu1+31,""))</f>
        <v>43950</v>
      </c>
      <c r="N18" s="29">
        <f>IF(DAY(huhtisu1)=1,IF(AND(YEAR(huhtisu1+25)=Kalenterivuosi,MONTH(huhtisu1+25)=4),huhtisu1+25,""),IF(AND(YEAR(huhtisu1+32)=Kalenterivuosi,MONTH(huhtisu1+32)=4),huhtisu1+32,""))</f>
        <v>43951</v>
      </c>
      <c r="O18" s="29" t="str">
        <f>IF(DAY(huhtisu1)=1,IF(AND(YEAR(huhtisu1+26)=Kalenterivuosi,MONTH(huhtisu1+26)=4),huhtisu1+26,""),IF(AND(YEAR(huhtisu1+33)=Kalenterivuosi,MONTH(huhtisu1+33)=4),huhtisu1+33,""))</f>
        <v/>
      </c>
      <c r="P18" s="29" t="str">
        <f>IF(DAY(huhtisu1)=1,IF(AND(YEAR(huhtisu1+27)=Kalenterivuosi,MONTH(huhtisu1+27)=4),huhtisu1+27,""),IF(AND(YEAR(huhtisu1+34)=Kalenterivuosi,MONTH(huhtisu1+34)=4),huhtisu1+34,""))</f>
        <v/>
      </c>
      <c r="Q18" s="29" t="str">
        <f>IF(DAY(huhtisu1)=1,IF(AND(YEAR(huhtisu1+28)=Kalenterivuosi,MONTH(huhtisu1+28)=4),huhtisu1+28,""),IF(AND(YEAR(huhtisu1+35)=Kalenterivuosi,MONTH(huhtisu1+35)=4),huhtisu1+35,""))</f>
        <v/>
      </c>
      <c r="S18" s="23"/>
      <c r="U18" s="10"/>
      <c r="V18" s="24"/>
      <c r="W18" s="24"/>
    </row>
    <row r="19" spans="1:23" ht="15" customHeight="1" x14ac:dyDescent="0.2">
      <c r="C19" s="29">
        <f>IF(DAY(maalissu1)=1,IF(AND(YEAR(maalissu1+29)=Kalenterivuosi,MONTH(maalissu1+29)=3),maalissu1+29,""),IF(AND(YEAR(maalissu1+36)=Kalenterivuosi,MONTH(maalissu1+36)=3),maalissu1+36,""))</f>
        <v>43920</v>
      </c>
      <c r="D19" s="29">
        <f>IF(DAY(maalissu1)=1,IF(AND(YEAR(maalissu1+30)=Kalenterivuosi,MONTH(maalissu1+30)=3),maalissu1+30,""),IF(AND(YEAR(maalissu1+37)=Kalenterivuosi,MONTH(maalissu1+37)=3),maalissu1+37,""))</f>
        <v>43921</v>
      </c>
      <c r="E19" s="29" t="str">
        <f>IF(DAY(maalissu1)=1,IF(AND(YEAR(maalissu1+31)=Kalenterivuosi,MONTH(maalissu1+31)=3),maalissu1+31,""),IF(AND(YEAR(maalissu1+38)=Kalenterivuosi,MONTH(maalissu1+38)=3),maalissu1+38,""))</f>
        <v/>
      </c>
      <c r="F19" s="29" t="str">
        <f>IF(DAY(maalissu1)=1,IF(AND(YEAR(maalissu1+32)=Kalenterivuosi,MONTH(maalissu1+32)=3),maalissu1+32,""),IF(AND(YEAR(maalissu1+39)=Kalenterivuosi,MONTH(maalissu1+39)=3),maalissu1+39,""))</f>
        <v/>
      </c>
      <c r="G19" s="29" t="str">
        <f>IF(DAY(maalissu1)=1,IF(AND(YEAR(maalissu1+33)=Kalenterivuosi,MONTH(maalissu1+33)=3),maalissu1+33,""),IF(AND(YEAR(maalissu1+40)=Kalenterivuosi,MONTH(maalissu1+40)=3),maalissu1+40,""))</f>
        <v/>
      </c>
      <c r="H19" s="29" t="str">
        <f>IF(DAY(maalissu1)=1,IF(AND(YEAR(maalissu1+34)=Kalenterivuosi,MONTH(maalissu1+34)=3),maalissu1+34,""),IF(AND(YEAR(maalissu1+41)=Kalenterivuosi,MONTH(maalissu1+41)=3),maalissu1+41,""))</f>
        <v/>
      </c>
      <c r="I19" s="29" t="str">
        <f>IF(DAY(maalissu1)=1,IF(AND(YEAR(maalissu1+35)=Kalenterivuosi,MONTH(maalissu1+35)=3),maalissu1+35,""),IF(AND(YEAR(maalissu1+42)=Kalenterivuosi,MONTH(maalissu1+42)=3),maalissu1+42,""))</f>
        <v/>
      </c>
      <c r="J19" s="21"/>
      <c r="K19" s="29" t="str">
        <f>IF(DAY(huhtisu1)=1,IF(AND(YEAR(huhtisu1+29)=Kalenterivuosi,MONTH(huhtisu1+29)=4),huhtisu1+29,""),IF(AND(YEAR(huhtisu1+36)=Kalenterivuosi,MONTH(huhtisu1+36)=4),huhtisu1+36,""))</f>
        <v/>
      </c>
      <c r="L19" s="29" t="str">
        <f>IF(DAY(huhtisu1)=1,IF(AND(YEAR(huhtisu1+30)=Kalenterivuosi,MONTH(huhtisu1+30)=4),huhtisu1+30,""),IF(AND(YEAR(huhtisu1+37)=Kalenterivuosi,MONTH(huhtisu1+37)=4),huhtisu1+37,""))</f>
        <v/>
      </c>
      <c r="M19" s="29" t="str">
        <f>IF(DAY(huhtisu1)=1,IF(AND(YEAR(huhtisu1+31)=Kalenterivuosi,MONTH(huhtisu1+31)=4),huhtisu1+31,""),IF(AND(YEAR(huhtisu1+38)=Kalenterivuosi,MONTH(huhtisu1+38)=4),huhtisu1+38,""))</f>
        <v/>
      </c>
      <c r="N19" s="29" t="str">
        <f>IF(DAY(huhtisu1)=1,IF(AND(YEAR(huhtisu1+32)=Kalenterivuosi,MONTH(huhtisu1+32)=4),huhtisu1+32,""),IF(AND(YEAR(huhtisu1+39)=Kalenterivuosi,MONTH(huhtisu1+39)=4),huhtisu1+39,""))</f>
        <v/>
      </c>
      <c r="O19" s="29" t="str">
        <f>IF(DAY(huhtisu1)=1,IF(AND(YEAR(huhtisu1+33)=Kalenterivuosi,MONTH(huhtisu1+33)=4),huhtisu1+33,""),IF(AND(YEAR(huhtisu1+40)=Kalenterivuosi,MONTH(huhtisu1+40)=4),huhtisu1+40,""))</f>
        <v/>
      </c>
      <c r="P19" s="29" t="str">
        <f>IF(DAY(huhtisu1)=1,IF(AND(YEAR(huhtisu1+34)=Kalenterivuosi,MONTH(huhtisu1+34)=4),huhtisu1+34,""),IF(AND(YEAR(huhtisu1+41)=Kalenterivuosi,MONTH(huhtisu1+41)=4),huhtisu1+41,""))</f>
        <v/>
      </c>
      <c r="Q19" s="29" t="str">
        <f>IF(DAY(huhtisu1)=1,IF(AND(YEAR(huhtisu1+35)=Kalenterivuosi,MONTH(huhtisu1+35)=4),huhtisu1+35,""),IF(AND(YEAR(huhtisu1+42)=Kalenterivuosi,MONTH(huhtisu1+42)=4),huhtisu1+42,""))</f>
        <v/>
      </c>
      <c r="S19" s="23"/>
      <c r="U19" s="3"/>
      <c r="V19" s="24"/>
      <c r="W19" s="24"/>
    </row>
    <row r="20" spans="1:23" ht="15" customHeight="1" x14ac:dyDescent="0.2">
      <c r="J20" s="21"/>
      <c r="S20" s="23"/>
      <c r="U20" s="2"/>
      <c r="V20" s="24"/>
      <c r="W20" s="24"/>
    </row>
    <row r="21" spans="1:23" ht="15" customHeight="1" x14ac:dyDescent="0.2">
      <c r="A21" s="18" t="s">
        <v>12</v>
      </c>
      <c r="C21" s="25" t="s">
        <v>28</v>
      </c>
      <c r="D21" s="25"/>
      <c r="E21" s="25"/>
      <c r="F21" s="25"/>
      <c r="G21" s="25"/>
      <c r="H21" s="25"/>
      <c r="I21" s="25"/>
      <c r="J21" s="21"/>
      <c r="K21" s="25" t="s">
        <v>40</v>
      </c>
      <c r="L21" s="25"/>
      <c r="M21" s="25"/>
      <c r="N21" s="25"/>
      <c r="O21" s="25"/>
      <c r="P21" s="25"/>
      <c r="Q21" s="25"/>
      <c r="S21" s="23"/>
      <c r="U21" s="10"/>
      <c r="V21" s="24"/>
      <c r="W21" s="24"/>
    </row>
    <row r="22" spans="1:23" ht="15" customHeight="1" x14ac:dyDescent="0.2">
      <c r="A22" s="18" t="s">
        <v>13</v>
      </c>
      <c r="C22" s="11" t="s">
        <v>26</v>
      </c>
      <c r="D22" s="11" t="s">
        <v>32</v>
      </c>
      <c r="E22" s="11" t="s">
        <v>33</v>
      </c>
      <c r="F22" s="11" t="s">
        <v>34</v>
      </c>
      <c r="G22" s="11" t="s">
        <v>35</v>
      </c>
      <c r="H22" s="11" t="s">
        <v>36</v>
      </c>
      <c r="I22" s="11" t="s">
        <v>37</v>
      </c>
      <c r="K22" s="11" t="s">
        <v>26</v>
      </c>
      <c r="L22" s="11" t="s">
        <v>32</v>
      </c>
      <c r="M22" s="11" t="s">
        <v>33</v>
      </c>
      <c r="N22" s="11" t="s">
        <v>34</v>
      </c>
      <c r="O22" s="11" t="s">
        <v>35</v>
      </c>
      <c r="P22" s="11" t="s">
        <v>36</v>
      </c>
      <c r="Q22" s="11" t="s">
        <v>37</v>
      </c>
      <c r="S22" s="23"/>
      <c r="U22" s="3"/>
      <c r="V22" s="24"/>
      <c r="W22" s="24"/>
    </row>
    <row r="23" spans="1:23" ht="15" customHeight="1" x14ac:dyDescent="0.25">
      <c r="A23" s="18"/>
      <c r="C23" s="29" t="str">
        <f>IF(DAY(toukosu1)=1,"",IF(AND(YEAR(toukosu1+1)=Kalenterivuosi,MONTH(toukosu1+1)=5),toukosu1+1,""))</f>
        <v/>
      </c>
      <c r="D23" s="29" t="str">
        <f>IF(DAY(toukosu1)=1,"",IF(AND(YEAR(toukosu1+2)=Kalenterivuosi,MONTH(toukosu1+2)=5),toukosu1+2,""))</f>
        <v/>
      </c>
      <c r="E23" s="29" t="str">
        <f>IF(DAY(toukosu1)=1,"",IF(AND(YEAR(toukosu1+3)=Kalenterivuosi,MONTH(toukosu1+3)=5),toukosu1+3,""))</f>
        <v/>
      </c>
      <c r="F23" s="29" t="str">
        <f>IF(DAY(toukosu1)=1,"",IF(AND(YEAR(toukosu1+4)=Kalenterivuosi,MONTH(toukosu1+4)=5),toukosu1+4,""))</f>
        <v/>
      </c>
      <c r="G23" s="29">
        <f>IF(DAY(toukosu1)=1,"",IF(AND(YEAR(toukosu1+5)=Kalenterivuosi,MONTH(toukosu1+5)=5),toukosu1+5,""))</f>
        <v>43952</v>
      </c>
      <c r="H23" s="29">
        <f>IF(DAY(toukosu1)=1,"",IF(AND(YEAR(toukosu1+6)=Kalenterivuosi,MONTH(toukosu1+6)=5),toukosu1+6,""))</f>
        <v>43953</v>
      </c>
      <c r="I23" s="29">
        <f>IF(DAY(toukosu1)=1,IF(AND(YEAR(toukosu1)=Kalenterivuosi,MONTH(toukosu1)=5),toukosu1,""),IF(AND(YEAR(toukosu1+7)=Kalenterivuosi,MONTH(toukosu1+7)=5),toukosu1+7,""))</f>
        <v>43954</v>
      </c>
      <c r="J23" s="20"/>
      <c r="K23" s="29">
        <f>IF(DAY(kesäsu1)=1,"",IF(AND(YEAR(kesäsu1+1)=Kalenterivuosi,MONTH(kesäsu1+1)=6),kesäsu1+1,""))</f>
        <v>43983</v>
      </c>
      <c r="L23" s="29">
        <f>IF(DAY(kesäsu1)=1,"",IF(AND(YEAR(kesäsu1+2)=Kalenterivuosi,MONTH(kesäsu1+2)=6),kesäsu1+2,""))</f>
        <v>43984</v>
      </c>
      <c r="M23" s="29">
        <f>IF(DAY(kesäsu1)=1,"",IF(AND(YEAR(kesäsu1+3)=Kalenterivuosi,MONTH(kesäsu1+3)=6),kesäsu1+3,""))</f>
        <v>43985</v>
      </c>
      <c r="N23" s="29">
        <f>IF(DAY(kesäsu1)=1,"",IF(AND(YEAR(kesäsu1+4)=Kalenterivuosi,MONTH(kesäsu1+4)=6),kesäsu1+4,""))</f>
        <v>43986</v>
      </c>
      <c r="O23" s="29">
        <f>IF(DAY(kesäsu1)=1,"",IF(AND(YEAR(kesäsu1+5)=Kalenterivuosi,MONTH(kesäsu1+5)=6),kesäsu1+5,""))</f>
        <v>43987</v>
      </c>
      <c r="P23" s="29">
        <f>IF(DAY(kesäsu1)=1,"",IF(AND(YEAR(kesäsu1+6)=Kalenterivuosi,MONTH(kesäsu1+6)=6),kesäsu1+6,""))</f>
        <v>43988</v>
      </c>
      <c r="Q23" s="29">
        <f>IF(DAY(kesäsu1)=1,IF(AND(YEAR(kesäsu1)=Kalenterivuosi,MONTH(kesäsu1)=6),kesäsu1,""),IF(AND(YEAR(kesäsu1+7)=Kalenterivuosi,MONTH(kesäsu1+7)=6),kesäsu1+7,""))</f>
        <v>43989</v>
      </c>
      <c r="S23" s="23"/>
      <c r="U23" s="2"/>
      <c r="V23" s="24"/>
      <c r="W23" s="24"/>
    </row>
    <row r="24" spans="1:23" ht="15" customHeight="1" x14ac:dyDescent="0.2">
      <c r="C24" s="29">
        <f>IF(DAY(toukosu1)=1,IF(AND(YEAR(toukosu1+1)=Kalenterivuosi,MONTH(toukosu1+1)=5),toukosu1+1,""),IF(AND(YEAR(toukosu1+8)=Kalenterivuosi,MONTH(toukosu1+8)=5),toukosu1+8,""))</f>
        <v>43955</v>
      </c>
      <c r="D24" s="29">
        <f>IF(DAY(toukosu1)=1,IF(AND(YEAR(toukosu1+2)=Kalenterivuosi,MONTH(toukosu1+2)=5),toukosu1+2,""),IF(AND(YEAR(toukosu1+9)=Kalenterivuosi,MONTH(toukosu1+9)=5),toukosu1+9,""))</f>
        <v>43956</v>
      </c>
      <c r="E24" s="29">
        <f>IF(DAY(toukosu1)=1,IF(AND(YEAR(toukosu1+3)=Kalenterivuosi,MONTH(toukosu1+3)=5),toukosu1+3,""),IF(AND(YEAR(toukosu1+10)=Kalenterivuosi,MONTH(toukosu1+10)=5),toukosu1+10,""))</f>
        <v>43957</v>
      </c>
      <c r="F24" s="29">
        <f>IF(DAY(toukosu1)=1,IF(AND(YEAR(toukosu1+4)=Kalenterivuosi,MONTH(toukosu1+4)=5),toukosu1+4,""),IF(AND(YEAR(toukosu1+11)=Kalenterivuosi,MONTH(toukosu1+11)=5),toukosu1+11,""))</f>
        <v>43958</v>
      </c>
      <c r="G24" s="29">
        <f>IF(DAY(toukosu1)=1,IF(AND(YEAR(toukosu1+5)=Kalenterivuosi,MONTH(toukosu1+5)=5),toukosu1+5,""),IF(AND(YEAR(toukosu1+12)=Kalenterivuosi,MONTH(toukosu1+12)=5),toukosu1+12,""))</f>
        <v>43959</v>
      </c>
      <c r="H24" s="29">
        <f>IF(DAY(toukosu1)=1,IF(AND(YEAR(toukosu1+6)=Kalenterivuosi,MONTH(toukosu1+6)=5),toukosu1+6,""),IF(AND(YEAR(toukosu1+13)=Kalenterivuosi,MONTH(toukosu1+13)=5),toukosu1+13,""))</f>
        <v>43960</v>
      </c>
      <c r="I24" s="29">
        <f>IF(DAY(toukosu1)=1,IF(AND(YEAR(toukosu1+7)=Kalenterivuosi,MONTH(toukosu1+7)=5),toukosu1+7,""),IF(AND(YEAR(toukosu1+14)=Kalenterivuosi,MONTH(toukosu1+14)=5),toukosu1+14,""))</f>
        <v>43961</v>
      </c>
      <c r="J24" s="21"/>
      <c r="K24" s="29">
        <f>IF(DAY(kesäsu1)=1,IF(AND(YEAR(kesäsu1+1)=Kalenterivuosi,MONTH(kesäsu1+1)=6),kesäsu1+1,""),IF(AND(YEAR(kesäsu1+8)=Kalenterivuosi,MONTH(kesäsu1+8)=6),kesäsu1+8,""))</f>
        <v>43990</v>
      </c>
      <c r="L24" s="29">
        <f>IF(DAY(kesäsu1)=1,IF(AND(YEAR(kesäsu1+2)=Kalenterivuosi,MONTH(kesäsu1+2)=6),kesäsu1+2,""),IF(AND(YEAR(kesäsu1+9)=Kalenterivuosi,MONTH(kesäsu1+9)=6),kesäsu1+9,""))</f>
        <v>43991</v>
      </c>
      <c r="M24" s="29">
        <f>IF(DAY(kesäsu1)=1,IF(AND(YEAR(kesäsu1+3)=Kalenterivuosi,MONTH(kesäsu1+3)=6),kesäsu1+3,""),IF(AND(YEAR(kesäsu1+10)=Kalenterivuosi,MONTH(kesäsu1+10)=6),kesäsu1+10,""))</f>
        <v>43992</v>
      </c>
      <c r="N24" s="29">
        <f>IF(DAY(kesäsu1)=1,IF(AND(YEAR(kesäsu1+4)=Kalenterivuosi,MONTH(kesäsu1+4)=6),kesäsu1+4,""),IF(AND(YEAR(kesäsu1+11)=Kalenterivuosi,MONTH(kesäsu1+11)=6),kesäsu1+11,""))</f>
        <v>43993</v>
      </c>
      <c r="O24" s="29">
        <f>IF(DAY(kesäsu1)=1,IF(AND(YEAR(kesäsu1+5)=Kalenterivuosi,MONTH(kesäsu1+5)=6),kesäsu1+5,""),IF(AND(YEAR(kesäsu1+12)=Kalenterivuosi,MONTH(kesäsu1+12)=6),kesäsu1+12,""))</f>
        <v>43994</v>
      </c>
      <c r="P24" s="29">
        <f>IF(DAY(kesäsu1)=1,IF(AND(YEAR(kesäsu1+6)=Kalenterivuosi,MONTH(kesäsu1+6)=6),kesäsu1+6,""),IF(AND(YEAR(kesäsu1+13)=Kalenterivuosi,MONTH(kesäsu1+13)=6),kesäsu1+13,""))</f>
        <v>43995</v>
      </c>
      <c r="Q24" s="29">
        <f>IF(DAY(kesäsu1)=1,IF(AND(YEAR(kesäsu1+7)=Kalenterivuosi,MONTH(kesäsu1+7)=6),kesäsu1+7,""),IF(AND(YEAR(kesäsu1+14)=Kalenterivuosi,MONTH(kesäsu1+14)=6),kesäsu1+14,""))</f>
        <v>43996</v>
      </c>
      <c r="S24" s="23"/>
      <c r="U24" s="10"/>
      <c r="V24" s="24"/>
      <c r="W24" s="24"/>
    </row>
    <row r="25" spans="1:23" ht="15" customHeight="1" x14ac:dyDescent="0.2">
      <c r="C25" s="29">
        <f>IF(DAY(toukosu1)=1,IF(AND(YEAR(toukosu1+8)=Kalenterivuosi,MONTH(toukosu1+8)=5),toukosu1+8,""),IF(AND(YEAR(toukosu1+15)=Kalenterivuosi,MONTH(toukosu1+15)=5),toukosu1+15,""))</f>
        <v>43962</v>
      </c>
      <c r="D25" s="29">
        <f>IF(DAY(toukosu1)=1,IF(AND(YEAR(toukosu1+9)=Kalenterivuosi,MONTH(toukosu1+9)=5),toukosu1+9,""),IF(AND(YEAR(toukosu1+16)=Kalenterivuosi,MONTH(toukosu1+16)=5),toukosu1+16,""))</f>
        <v>43963</v>
      </c>
      <c r="E25" s="29">
        <f>IF(DAY(toukosu1)=1,IF(AND(YEAR(toukosu1+10)=Kalenterivuosi,MONTH(toukosu1+10)=5),toukosu1+10,""),IF(AND(YEAR(toukosu1+17)=Kalenterivuosi,MONTH(toukosu1+17)=5),toukosu1+17,""))</f>
        <v>43964</v>
      </c>
      <c r="F25" s="29">
        <f>IF(DAY(toukosu1)=1,IF(AND(YEAR(toukosu1+11)=Kalenterivuosi,MONTH(toukosu1+11)=5),toukosu1+11,""),IF(AND(YEAR(toukosu1+18)=Kalenterivuosi,MONTH(toukosu1+18)=5),toukosu1+18,""))</f>
        <v>43965</v>
      </c>
      <c r="G25" s="29">
        <f>IF(DAY(toukosu1)=1,IF(AND(YEAR(toukosu1+12)=Kalenterivuosi,MONTH(toukosu1+12)=5),toukosu1+12,""),IF(AND(YEAR(toukosu1+19)=Kalenterivuosi,MONTH(toukosu1+19)=5),toukosu1+19,""))</f>
        <v>43966</v>
      </c>
      <c r="H25" s="29">
        <f>IF(DAY(toukosu1)=1,IF(AND(YEAR(toukosu1+13)=Kalenterivuosi,MONTH(toukosu1+13)=5),toukosu1+13,""),IF(AND(YEAR(toukosu1+20)=Kalenterivuosi,MONTH(toukosu1+20)=5),toukosu1+20,""))</f>
        <v>43967</v>
      </c>
      <c r="I25" s="29">
        <f>IF(DAY(toukosu1)=1,IF(AND(YEAR(toukosu1+14)=Kalenterivuosi,MONTH(toukosu1+14)=5),toukosu1+14,""),IF(AND(YEAR(toukosu1+21)=Kalenterivuosi,MONTH(toukosu1+21)=5),toukosu1+21,""))</f>
        <v>43968</v>
      </c>
      <c r="J25" s="21"/>
      <c r="K25" s="29">
        <f>IF(DAY(kesäsu1)=1,IF(AND(YEAR(kesäsu1+8)=Kalenterivuosi,MONTH(kesäsu1+8)=6),kesäsu1+8,""),IF(AND(YEAR(kesäsu1+15)=Kalenterivuosi,MONTH(kesäsu1+15)=6),kesäsu1+15,""))</f>
        <v>43997</v>
      </c>
      <c r="L25" s="29">
        <f>IF(DAY(kesäsu1)=1,IF(AND(YEAR(kesäsu1+9)=Kalenterivuosi,MONTH(kesäsu1+9)=6),kesäsu1+9,""),IF(AND(YEAR(kesäsu1+16)=Kalenterivuosi,MONTH(kesäsu1+16)=6),kesäsu1+16,""))</f>
        <v>43998</v>
      </c>
      <c r="M25" s="29">
        <f>IF(DAY(kesäsu1)=1,IF(AND(YEAR(kesäsu1+10)=Kalenterivuosi,MONTH(kesäsu1+10)=6),kesäsu1+10,""),IF(AND(YEAR(kesäsu1+17)=Kalenterivuosi,MONTH(kesäsu1+17)=6),kesäsu1+17,""))</f>
        <v>43999</v>
      </c>
      <c r="N25" s="29">
        <f>IF(DAY(kesäsu1)=1,IF(AND(YEAR(kesäsu1+11)=Kalenterivuosi,MONTH(kesäsu1+11)=6),kesäsu1+11,""),IF(AND(YEAR(kesäsu1+18)=Kalenterivuosi,MONTH(kesäsu1+18)=6),kesäsu1+18,""))</f>
        <v>44000</v>
      </c>
      <c r="O25" s="29">
        <f>IF(DAY(kesäsu1)=1,IF(AND(YEAR(kesäsu1+12)=Kalenterivuosi,MONTH(kesäsu1+12)=6),kesäsu1+12,""),IF(AND(YEAR(kesäsu1+19)=Kalenterivuosi,MONTH(kesäsu1+19)=6),kesäsu1+19,""))</f>
        <v>44001</v>
      </c>
      <c r="P25" s="29">
        <f>IF(DAY(kesäsu1)=1,IF(AND(YEAR(kesäsu1+13)=Kalenterivuosi,MONTH(kesäsu1+13)=6),kesäsu1+13,""),IF(AND(YEAR(kesäsu1+20)=Kalenterivuosi,MONTH(kesäsu1+20)=6),kesäsu1+20,""))</f>
        <v>44002</v>
      </c>
      <c r="Q25" s="29">
        <f>IF(DAY(kesäsu1)=1,IF(AND(YEAR(kesäsu1+14)=Kalenterivuosi,MONTH(kesäsu1+14)=6),kesäsu1+14,""),IF(AND(YEAR(kesäsu1+21)=Kalenterivuosi,MONTH(kesäsu1+21)=6),kesäsu1+21,""))</f>
        <v>44003</v>
      </c>
      <c r="S25" s="23"/>
      <c r="U25" s="3"/>
      <c r="V25" s="24"/>
      <c r="W25" s="24"/>
    </row>
    <row r="26" spans="1:23" ht="15" customHeight="1" x14ac:dyDescent="0.2">
      <c r="C26" s="29">
        <f>IF(DAY(toukosu1)=1,IF(AND(YEAR(toukosu1+15)=Kalenterivuosi,MONTH(toukosu1+15)=5),toukosu1+15,""),IF(AND(YEAR(toukosu1+22)=Kalenterivuosi,MONTH(toukosu1+22)=5),toukosu1+22,""))</f>
        <v>43969</v>
      </c>
      <c r="D26" s="29">
        <f>IF(DAY(toukosu1)=1,IF(AND(YEAR(toukosu1+16)=Kalenterivuosi,MONTH(toukosu1+16)=5),toukosu1+16,""),IF(AND(YEAR(toukosu1+23)=Kalenterivuosi,MONTH(toukosu1+23)=5),toukosu1+23,""))</f>
        <v>43970</v>
      </c>
      <c r="E26" s="29">
        <f>IF(DAY(toukosu1)=1,IF(AND(YEAR(toukosu1+17)=Kalenterivuosi,MONTH(toukosu1+17)=5),toukosu1+17,""),IF(AND(YEAR(toukosu1+24)=Kalenterivuosi,MONTH(toukosu1+24)=5),toukosu1+24,""))</f>
        <v>43971</v>
      </c>
      <c r="F26" s="29">
        <f>IF(DAY(toukosu1)=1,IF(AND(YEAR(toukosu1+18)=Kalenterivuosi,MONTH(toukosu1+18)=5),toukosu1+18,""),IF(AND(YEAR(toukosu1+25)=Kalenterivuosi,MONTH(toukosu1+25)=5),toukosu1+25,""))</f>
        <v>43972</v>
      </c>
      <c r="G26" s="29">
        <f>IF(DAY(toukosu1)=1,IF(AND(YEAR(toukosu1+19)=Kalenterivuosi,MONTH(toukosu1+19)=5),toukosu1+19,""),IF(AND(YEAR(toukosu1+26)=Kalenterivuosi,MONTH(toukosu1+26)=5),toukosu1+26,""))</f>
        <v>43973</v>
      </c>
      <c r="H26" s="29">
        <f>IF(DAY(toukosu1)=1,IF(AND(YEAR(toukosu1+20)=Kalenterivuosi,MONTH(toukosu1+20)=5),toukosu1+20,""),IF(AND(YEAR(toukosu1+27)=Kalenterivuosi,MONTH(toukosu1+27)=5),toukosu1+27,""))</f>
        <v>43974</v>
      </c>
      <c r="I26" s="29">
        <f>IF(DAY(toukosu1)=1,IF(AND(YEAR(toukosu1+21)=Kalenterivuosi,MONTH(toukosu1+21)=5),toukosu1+21,""),IF(AND(YEAR(toukosu1+28)=Kalenterivuosi,MONTH(toukosu1+28)=5),toukosu1+28,""))</f>
        <v>43975</v>
      </c>
      <c r="J26" s="21"/>
      <c r="K26" s="29">
        <f>IF(DAY(kesäsu1)=1,IF(AND(YEAR(kesäsu1+15)=Kalenterivuosi,MONTH(kesäsu1+15)=6),kesäsu1+15,""),IF(AND(YEAR(kesäsu1+22)=Kalenterivuosi,MONTH(kesäsu1+22)=6),kesäsu1+22,""))</f>
        <v>44004</v>
      </c>
      <c r="L26" s="29">
        <f>IF(DAY(kesäsu1)=1,IF(AND(YEAR(kesäsu1+16)=Kalenterivuosi,MONTH(kesäsu1+16)=6),kesäsu1+16,""),IF(AND(YEAR(kesäsu1+23)=Kalenterivuosi,MONTH(kesäsu1+23)=6),kesäsu1+23,""))</f>
        <v>44005</v>
      </c>
      <c r="M26" s="29">
        <f>IF(DAY(kesäsu1)=1,IF(AND(YEAR(kesäsu1+17)=Kalenterivuosi,MONTH(kesäsu1+17)=6),kesäsu1+17,""),IF(AND(YEAR(kesäsu1+24)=Kalenterivuosi,MONTH(kesäsu1+24)=6),kesäsu1+24,""))</f>
        <v>44006</v>
      </c>
      <c r="N26" s="29">
        <f>IF(DAY(kesäsu1)=1,IF(AND(YEAR(kesäsu1+18)=Kalenterivuosi,MONTH(kesäsu1+18)=6),kesäsu1+18,""),IF(AND(YEAR(kesäsu1+25)=Kalenterivuosi,MONTH(kesäsu1+25)=6),kesäsu1+25,""))</f>
        <v>44007</v>
      </c>
      <c r="O26" s="29">
        <f>IF(DAY(kesäsu1)=1,IF(AND(YEAR(kesäsu1+19)=Kalenterivuosi,MONTH(kesäsu1+19)=6),kesäsu1+19,""),IF(AND(YEAR(kesäsu1+26)=Kalenterivuosi,MONTH(kesäsu1+26)=6),kesäsu1+26,""))</f>
        <v>44008</v>
      </c>
      <c r="P26" s="29">
        <f>IF(DAY(kesäsu1)=1,IF(AND(YEAR(kesäsu1+20)=Kalenterivuosi,MONTH(kesäsu1+20)=6),kesäsu1+20,""),IF(AND(YEAR(kesäsu1+27)=Kalenterivuosi,MONTH(kesäsu1+27)=6),kesäsu1+27,""))</f>
        <v>44009</v>
      </c>
      <c r="Q26" s="29">
        <f>IF(DAY(kesäsu1)=1,IF(AND(YEAR(kesäsu1+21)=Kalenterivuosi,MONTH(kesäsu1+21)=6),kesäsu1+21,""),IF(AND(YEAR(kesäsu1+28)=Kalenterivuosi,MONTH(kesäsu1+28)=6),kesäsu1+28,""))</f>
        <v>44010</v>
      </c>
      <c r="S26" s="23"/>
      <c r="U26" s="2"/>
      <c r="V26" s="24"/>
      <c r="W26" s="24"/>
    </row>
    <row r="27" spans="1:23" ht="15" customHeight="1" x14ac:dyDescent="0.2">
      <c r="C27" s="29">
        <f>IF(DAY(toukosu1)=1,IF(AND(YEAR(toukosu1+22)=Kalenterivuosi,MONTH(toukosu1+22)=5),toukosu1+22,""),IF(AND(YEAR(toukosu1+29)=Kalenterivuosi,MONTH(toukosu1+29)=5),toukosu1+29,""))</f>
        <v>43976</v>
      </c>
      <c r="D27" s="29">
        <f>IF(DAY(toukosu1)=1,IF(AND(YEAR(toukosu1+23)=Kalenterivuosi,MONTH(toukosu1+23)=5),toukosu1+23,""),IF(AND(YEAR(toukosu1+30)=Kalenterivuosi,MONTH(toukosu1+30)=5),toukosu1+30,""))</f>
        <v>43977</v>
      </c>
      <c r="E27" s="29">
        <f>IF(DAY(toukosu1)=1,IF(AND(YEAR(toukosu1+24)=Kalenterivuosi,MONTH(toukosu1+24)=5),toukosu1+24,""),IF(AND(YEAR(toukosu1+31)=Kalenterivuosi,MONTH(toukosu1+31)=5),toukosu1+31,""))</f>
        <v>43978</v>
      </c>
      <c r="F27" s="29">
        <f>IF(DAY(toukosu1)=1,IF(AND(YEAR(toukosu1+25)=Kalenterivuosi,MONTH(toukosu1+25)=5),toukosu1+25,""),IF(AND(YEAR(toukosu1+32)=Kalenterivuosi,MONTH(toukosu1+32)=5),toukosu1+32,""))</f>
        <v>43979</v>
      </c>
      <c r="G27" s="29">
        <f>IF(DAY(toukosu1)=1,IF(AND(YEAR(toukosu1+26)=Kalenterivuosi,MONTH(toukosu1+26)=5),toukosu1+26,""),IF(AND(YEAR(toukosu1+33)=Kalenterivuosi,MONTH(toukosu1+33)=5),toukosu1+33,""))</f>
        <v>43980</v>
      </c>
      <c r="H27" s="29">
        <f>IF(DAY(toukosu1)=1,IF(AND(YEAR(toukosu1+27)=Kalenterivuosi,MONTH(toukosu1+27)=5),toukosu1+27,""),IF(AND(YEAR(toukosu1+34)=Kalenterivuosi,MONTH(toukosu1+34)=5),toukosu1+34,""))</f>
        <v>43981</v>
      </c>
      <c r="I27" s="29">
        <f>IF(DAY(toukosu1)=1,IF(AND(YEAR(toukosu1+28)=Kalenterivuosi,MONTH(toukosu1+28)=5),toukosu1+28,""),IF(AND(YEAR(toukosu1+35)=Kalenterivuosi,MONTH(toukosu1+35)=5),toukosu1+35,""))</f>
        <v>43982</v>
      </c>
      <c r="J27" s="21"/>
      <c r="K27" s="29">
        <f>IF(DAY(kesäsu1)=1,IF(AND(YEAR(kesäsu1+22)=Kalenterivuosi,MONTH(kesäsu1+22)=6),kesäsu1+22,""),IF(AND(YEAR(kesäsu1+29)=Kalenterivuosi,MONTH(kesäsu1+29)=6),kesäsu1+29,""))</f>
        <v>44011</v>
      </c>
      <c r="L27" s="29">
        <f>IF(DAY(kesäsu1)=1,IF(AND(YEAR(kesäsu1+23)=Kalenterivuosi,MONTH(kesäsu1+23)=6),kesäsu1+23,""),IF(AND(YEAR(kesäsu1+30)=Kalenterivuosi,MONTH(kesäsu1+30)=6),kesäsu1+30,""))</f>
        <v>44012</v>
      </c>
      <c r="M27" s="29" t="str">
        <f>IF(DAY(kesäsu1)=1,IF(AND(YEAR(kesäsu1+24)=Kalenterivuosi,MONTH(kesäsu1+24)=6),kesäsu1+24,""),IF(AND(YEAR(kesäsu1+31)=Kalenterivuosi,MONTH(kesäsu1+31)=6),kesäsu1+31,""))</f>
        <v/>
      </c>
      <c r="N27" s="29" t="str">
        <f>IF(DAY(kesäsu1)=1,IF(AND(YEAR(kesäsu1+25)=Kalenterivuosi,MONTH(kesäsu1+25)=6),kesäsu1+25,""),IF(AND(YEAR(kesäsu1+32)=Kalenterivuosi,MONTH(kesäsu1+32)=6),kesäsu1+32,""))</f>
        <v/>
      </c>
      <c r="O27" s="29" t="str">
        <f>IF(DAY(kesäsu1)=1,IF(AND(YEAR(kesäsu1+26)=Kalenterivuosi,MONTH(kesäsu1+26)=6),kesäsu1+26,""),IF(AND(YEAR(kesäsu1+33)=Kalenterivuosi,MONTH(kesäsu1+33)=6),kesäsu1+33,""))</f>
        <v/>
      </c>
      <c r="P27" s="29" t="str">
        <f>IF(DAY(kesäsu1)=1,IF(AND(YEAR(kesäsu1+27)=Kalenterivuosi,MONTH(kesäsu1+27)=6),kesäsu1+27,""),IF(AND(YEAR(kesäsu1+34)=Kalenterivuosi,MONTH(kesäsu1+34)=6),kesäsu1+34,""))</f>
        <v/>
      </c>
      <c r="Q27" s="29" t="str">
        <f>IF(DAY(kesäsu1)=1,IF(AND(YEAR(kesäsu1+28)=Kalenterivuosi,MONTH(kesäsu1+28)=6),kesäsu1+28,""),IF(AND(YEAR(kesäsu1+35)=Kalenterivuosi,MONTH(kesäsu1+35)=6),kesäsu1+35,""))</f>
        <v/>
      </c>
      <c r="S27" s="23"/>
      <c r="U27" s="10"/>
      <c r="V27" s="24"/>
      <c r="W27" s="24"/>
    </row>
    <row r="28" spans="1:23" ht="15" customHeight="1" x14ac:dyDescent="0.2">
      <c r="C28" s="29" t="str">
        <f>IF(DAY(toukosu1)=1,IF(AND(YEAR(toukosu1+29)=Kalenterivuosi,MONTH(toukosu1+29)=5),toukosu1+29,""),IF(AND(YEAR(toukosu1+36)=Kalenterivuosi,MONTH(toukosu1+36)=5),toukosu1+36,""))</f>
        <v/>
      </c>
      <c r="D28" s="29" t="str">
        <f>IF(DAY(toukosu1)=1,IF(AND(YEAR(toukosu1+30)=Kalenterivuosi,MONTH(toukosu1+30)=5),toukosu1+30,""),IF(AND(YEAR(toukosu1+37)=Kalenterivuosi,MONTH(toukosu1+37)=5),toukosu1+37,""))</f>
        <v/>
      </c>
      <c r="E28" s="29" t="str">
        <f>IF(DAY(toukosu1)=1,IF(AND(YEAR(toukosu1+31)=Kalenterivuosi,MONTH(toukosu1+31)=5),toukosu1+31,""),IF(AND(YEAR(toukosu1+38)=Kalenterivuosi,MONTH(toukosu1+38)=5),toukosu1+38,""))</f>
        <v/>
      </c>
      <c r="F28" s="29" t="str">
        <f>IF(DAY(toukosu1)=1,IF(AND(YEAR(toukosu1+32)=Kalenterivuosi,MONTH(toukosu1+32)=5),toukosu1+32,""),IF(AND(YEAR(toukosu1+39)=Kalenterivuosi,MONTH(toukosu1+39)=5),toukosu1+39,""))</f>
        <v/>
      </c>
      <c r="G28" s="29" t="str">
        <f>IF(DAY(toukosu1)=1,IF(AND(YEAR(toukosu1+33)=Kalenterivuosi,MONTH(toukosu1+33)=5),toukosu1+33,""),IF(AND(YEAR(toukosu1+40)=Kalenterivuosi,MONTH(toukosu1+40)=5),toukosu1+40,""))</f>
        <v/>
      </c>
      <c r="H28" s="29" t="str">
        <f>IF(DAY(toukosu1)=1,IF(AND(YEAR(toukosu1+34)=Kalenterivuosi,MONTH(toukosu1+34)=5),toukosu1+34,""),IF(AND(YEAR(toukosu1+41)=Kalenterivuosi,MONTH(toukosu1+41)=5),toukosu1+41,""))</f>
        <v/>
      </c>
      <c r="I28" s="29" t="str">
        <f>IF(DAY(toukosu1)=1,IF(AND(YEAR(toukosu1+35)=Kalenterivuosi,MONTH(toukosu1+35)=5),toukosu1+35,""),IF(AND(YEAR(toukosu1+42)=Kalenterivuosi,MONTH(toukosu1+42)=5),toukosu1+42,""))</f>
        <v/>
      </c>
      <c r="J28" s="21"/>
      <c r="K28" s="29" t="str">
        <f>IF(DAY(kesäsu1)=1,IF(AND(YEAR(kesäsu1+29)=Kalenterivuosi,MONTH(kesäsu1+29)=6),kesäsu1+29,""),IF(AND(YEAR(kesäsu1+36)=Kalenterivuosi,MONTH(kesäsu1+36)=6),kesäsu1+36,""))</f>
        <v/>
      </c>
      <c r="L28" s="29" t="str">
        <f>IF(DAY(kesäsu1)=1,IF(AND(YEAR(kesäsu1+30)=Kalenterivuosi,MONTH(kesäsu1+30)=6),kesäsu1+30,""),IF(AND(YEAR(kesäsu1+37)=Kalenterivuosi,MONTH(kesäsu1+37)=6),kesäsu1+37,""))</f>
        <v/>
      </c>
      <c r="M28" s="29" t="str">
        <f>IF(DAY(kesäsu1)=1,IF(AND(YEAR(kesäsu1+31)=Kalenterivuosi,MONTH(kesäsu1+31)=6),kesäsu1+31,""),IF(AND(YEAR(kesäsu1+38)=Kalenterivuosi,MONTH(kesäsu1+38)=6),kesäsu1+38,""))</f>
        <v/>
      </c>
      <c r="N28" s="29" t="str">
        <f>IF(DAY(kesäsu1)=1,IF(AND(YEAR(kesäsu1+32)=Kalenterivuosi,MONTH(kesäsu1+32)=6),kesäsu1+32,""),IF(AND(YEAR(kesäsu1+39)=Kalenterivuosi,MONTH(kesäsu1+39)=6),kesäsu1+39,""))</f>
        <v/>
      </c>
      <c r="O28" s="29" t="str">
        <f>IF(DAY(kesäsu1)=1,IF(AND(YEAR(kesäsu1+33)=Kalenterivuosi,MONTH(kesäsu1+33)=6),kesäsu1+33,""),IF(AND(YEAR(kesäsu1+40)=Kalenterivuosi,MONTH(kesäsu1+40)=6),kesäsu1+40,""))</f>
        <v/>
      </c>
      <c r="P28" s="29" t="str">
        <f>IF(DAY(kesäsu1)=1,IF(AND(YEAR(kesäsu1+34)=Kalenterivuosi,MONTH(kesäsu1+34)=6),kesäsu1+34,""),IF(AND(YEAR(kesäsu1+41)=Kalenterivuosi,MONTH(kesäsu1+41)=6),kesäsu1+41,""))</f>
        <v/>
      </c>
      <c r="Q28" s="29" t="str">
        <f>IF(DAY(kesäsu1)=1,IF(AND(YEAR(kesäsu1+35)=Kalenterivuosi,MONTH(kesäsu1+35)=6),kesäsu1+35,""),IF(AND(YEAR(kesäsu1+42)=Kalenterivuosi,MONTH(kesäsu1+42)=6),kesäsu1+42,""))</f>
        <v/>
      </c>
      <c r="S28" s="23"/>
      <c r="U28" s="3"/>
      <c r="V28" s="24"/>
      <c r="W28" s="24"/>
    </row>
    <row r="29" spans="1:23" ht="15" customHeight="1" x14ac:dyDescent="0.2">
      <c r="J29" s="21"/>
      <c r="S29" s="23"/>
      <c r="U29" s="2"/>
      <c r="V29" s="24"/>
      <c r="W29" s="24"/>
    </row>
    <row r="30" spans="1:23" ht="15" customHeight="1" x14ac:dyDescent="0.2">
      <c r="A30" s="18" t="s">
        <v>14</v>
      </c>
      <c r="C30" s="25" t="s">
        <v>29</v>
      </c>
      <c r="D30" s="25"/>
      <c r="E30" s="25"/>
      <c r="F30" s="25"/>
      <c r="G30" s="25"/>
      <c r="H30" s="25"/>
      <c r="I30" s="25"/>
      <c r="J30" s="21"/>
      <c r="K30" s="25" t="s">
        <v>41</v>
      </c>
      <c r="L30" s="25"/>
      <c r="M30" s="25"/>
      <c r="N30" s="25"/>
      <c r="O30" s="25"/>
      <c r="P30" s="25"/>
      <c r="Q30" s="25"/>
      <c r="S30" s="23"/>
      <c r="U30" s="10"/>
      <c r="V30" s="24"/>
      <c r="W30" s="24"/>
    </row>
    <row r="31" spans="1:23" ht="15" customHeight="1" x14ac:dyDescent="0.2">
      <c r="A31" s="18" t="s">
        <v>15</v>
      </c>
      <c r="C31" s="11" t="s">
        <v>26</v>
      </c>
      <c r="D31" s="11" t="s">
        <v>32</v>
      </c>
      <c r="E31" s="11" t="s">
        <v>33</v>
      </c>
      <c r="F31" s="11" t="s">
        <v>34</v>
      </c>
      <c r="G31" s="11" t="s">
        <v>35</v>
      </c>
      <c r="H31" s="11" t="s">
        <v>36</v>
      </c>
      <c r="I31" s="11" t="s">
        <v>37</v>
      </c>
      <c r="J31" s="21"/>
      <c r="K31" s="11" t="s">
        <v>26</v>
      </c>
      <c r="L31" s="11" t="s">
        <v>32</v>
      </c>
      <c r="M31" s="11" t="s">
        <v>33</v>
      </c>
      <c r="N31" s="11" t="s">
        <v>34</v>
      </c>
      <c r="O31" s="11" t="s">
        <v>35</v>
      </c>
      <c r="P31" s="11" t="s">
        <v>36</v>
      </c>
      <c r="Q31" s="11" t="s">
        <v>37</v>
      </c>
      <c r="S31" s="23"/>
      <c r="U31" s="3"/>
      <c r="V31" s="24"/>
      <c r="W31" s="24"/>
    </row>
    <row r="32" spans="1:23" ht="15" customHeight="1" x14ac:dyDescent="0.2">
      <c r="A32" s="18"/>
      <c r="C32" s="29" t="str">
        <f>IF(DAY(heinäsu1)=1,"",IF(AND(YEAR(heinäsu1+1)=Kalenterivuosi,MONTH(heinäsu1+1)=7),heinäsu1+1,""))</f>
        <v/>
      </c>
      <c r="D32" s="29" t="str">
        <f>IF(DAY(heinäsu1)=1,"",IF(AND(YEAR(heinäsu1+2)=Kalenterivuosi,MONTH(heinäsu1+2)=7),heinäsu1+2,""))</f>
        <v/>
      </c>
      <c r="E32" s="29">
        <f>IF(DAY(heinäsu1)=1,"",IF(AND(YEAR(heinäsu1+3)=Kalenterivuosi,MONTH(heinäsu1+3)=7),heinäsu1+3,""))</f>
        <v>44013</v>
      </c>
      <c r="F32" s="29">
        <f>IF(DAY(heinäsu1)=1,"",IF(AND(YEAR(heinäsu1+4)=Kalenterivuosi,MONTH(heinäsu1+4)=7),heinäsu1+4,""))</f>
        <v>44014</v>
      </c>
      <c r="G32" s="29">
        <f>IF(DAY(heinäsu1)=1,"",IF(AND(YEAR(heinäsu1+5)=Kalenterivuosi,MONTH(heinäsu1+5)=7),heinäsu1+5,""))</f>
        <v>44015</v>
      </c>
      <c r="H32" s="29">
        <f>IF(DAY(heinäsu1)=1,"",IF(AND(YEAR(heinäsu1+6)=Kalenterivuosi,MONTH(heinäsu1+6)=7),heinäsu1+6,""))</f>
        <v>44016</v>
      </c>
      <c r="I32" s="29">
        <f>IF(DAY(heinäsu1)=1,IF(AND(YEAR(heinäsu1)=Kalenterivuosi,MONTH(heinäsu1)=7),heinäsu1,""),IF(AND(YEAR(heinäsu1+7)=Kalenterivuosi,MONTH(heinäsu1+7)=7),heinäsu1+7,""))</f>
        <v>44017</v>
      </c>
      <c r="K32" s="29" t="str">
        <f>IF(DAY(elosu1)=1,"",IF(AND(YEAR(elosu1+1)=Kalenterivuosi,MONTH(elosu1+1)=8),elosu1+1,""))</f>
        <v/>
      </c>
      <c r="L32" s="29" t="str">
        <f>IF(DAY(elosu1)=1,"",IF(AND(YEAR(elosu1+2)=Kalenterivuosi,MONTH(elosu1+2)=8),elosu1+2,""))</f>
        <v/>
      </c>
      <c r="M32" s="29" t="str">
        <f>IF(DAY(elosu1)=1,"",IF(AND(YEAR(elosu1+3)=Kalenterivuosi,MONTH(elosu1+3)=8),elosu1+3,""))</f>
        <v/>
      </c>
      <c r="N32" s="29" t="str">
        <f>IF(DAY(elosu1)=1,"",IF(AND(YEAR(elosu1+4)=Kalenterivuosi,MONTH(elosu1+4)=8),elosu1+4,""))</f>
        <v/>
      </c>
      <c r="O32" s="29" t="str">
        <f>IF(DAY(elosu1)=1,"",IF(AND(YEAR(elosu1+5)=Kalenterivuosi,MONTH(elosu1+5)=8),elosu1+5,""))</f>
        <v/>
      </c>
      <c r="P32" s="29">
        <f>IF(DAY(elosu1)=1,"",IF(AND(YEAR(elosu1+6)=Kalenterivuosi,MONTH(elosu1+6)=8),elosu1+6,""))</f>
        <v>44044</v>
      </c>
      <c r="Q32" s="29">
        <f>IF(DAY(elosu1)=1,IF(AND(YEAR(elosu1)=Kalenterivuosi,MONTH(elosu1)=8),elosu1,""),IF(AND(YEAR(elosu1+7)=Kalenterivuosi,MONTH(elosu1+7)=8),elosu1+7,""))</f>
        <v>44045</v>
      </c>
      <c r="S32" s="23"/>
      <c r="U32" s="2"/>
      <c r="V32" s="24"/>
      <c r="W32" s="24"/>
    </row>
    <row r="33" spans="1:23" ht="15" customHeight="1" x14ac:dyDescent="0.2">
      <c r="A33" s="18"/>
      <c r="C33" s="29">
        <f>IF(DAY(heinäsu1)=1,IF(AND(YEAR(heinäsu1+1)=Kalenterivuosi,MONTH(heinäsu1+1)=7),heinäsu1+1,""),IF(AND(YEAR(heinäsu1+8)=Kalenterivuosi,MONTH(heinäsu1+8)=7),heinäsu1+8,""))</f>
        <v>44018</v>
      </c>
      <c r="D33" s="29">
        <f>IF(DAY(heinäsu1)=1,IF(AND(YEAR(heinäsu1+2)=Kalenterivuosi,MONTH(heinäsu1+2)=7),heinäsu1+2,""),IF(AND(YEAR(heinäsu1+9)=Kalenterivuosi,MONTH(heinäsu1+9)=7),heinäsu1+9,""))</f>
        <v>44019</v>
      </c>
      <c r="E33" s="29">
        <f>IF(DAY(heinäsu1)=1,IF(AND(YEAR(heinäsu1+3)=Kalenterivuosi,MONTH(heinäsu1+3)=7),heinäsu1+3,""),IF(AND(YEAR(heinäsu1+10)=Kalenterivuosi,MONTH(heinäsu1+10)=7),heinäsu1+10,""))</f>
        <v>44020</v>
      </c>
      <c r="F33" s="29">
        <f>IF(DAY(heinäsu1)=1,IF(AND(YEAR(heinäsu1+4)=Kalenterivuosi,MONTH(heinäsu1+4)=7),heinäsu1+4,""),IF(AND(YEAR(heinäsu1+11)=Kalenterivuosi,MONTH(heinäsu1+11)=7),heinäsu1+11,""))</f>
        <v>44021</v>
      </c>
      <c r="G33" s="29">
        <f>IF(DAY(heinäsu1)=1,IF(AND(YEAR(heinäsu1+5)=Kalenterivuosi,MONTH(heinäsu1+5)=7),heinäsu1+5,""),IF(AND(YEAR(heinäsu1+12)=Kalenterivuosi,MONTH(heinäsu1+12)=7),heinäsu1+12,""))</f>
        <v>44022</v>
      </c>
      <c r="H33" s="29">
        <f>IF(DAY(heinäsu1)=1,IF(AND(YEAR(heinäsu1+6)=Kalenterivuosi,MONTH(heinäsu1+6)=7),heinäsu1+6,""),IF(AND(YEAR(heinäsu1+13)=Kalenterivuosi,MONTH(heinäsu1+13)=7),heinäsu1+13,""))</f>
        <v>44023</v>
      </c>
      <c r="I33" s="29">
        <f>IF(DAY(heinäsu1)=1,IF(AND(YEAR(heinäsu1+7)=Kalenterivuosi,MONTH(heinäsu1+7)=7),heinäsu1+7,""),IF(AND(YEAR(heinäsu1+14)=Kalenterivuosi,MONTH(heinäsu1+14)=7),heinäsu1+14,""))</f>
        <v>44024</v>
      </c>
      <c r="K33" s="29">
        <f>IF(DAY(elosu1)=1,IF(AND(YEAR(elosu1+1)=Kalenterivuosi,MONTH(elosu1+1)=8),elosu1+1,""),IF(AND(YEAR(elosu1+8)=Kalenterivuosi,MONTH(elosu1+8)=8),elosu1+8,""))</f>
        <v>44046</v>
      </c>
      <c r="L33" s="29">
        <f>IF(DAY(elosu1)=1,IF(AND(YEAR(elosu1+2)=Kalenterivuosi,MONTH(elosu1+2)=8),elosu1+2,""),IF(AND(YEAR(elosu1+9)=Kalenterivuosi,MONTH(elosu1+9)=8),elosu1+9,""))</f>
        <v>44047</v>
      </c>
      <c r="M33" s="29">
        <f>IF(DAY(elosu1)=1,IF(AND(YEAR(elosu1+3)=Kalenterivuosi,MONTH(elosu1+3)=8),elosu1+3,""),IF(AND(YEAR(elosu1+10)=Kalenterivuosi,MONTH(elosu1+10)=8),elosu1+10,""))</f>
        <v>44048</v>
      </c>
      <c r="N33" s="29">
        <f>IF(DAY(elosu1)=1,IF(AND(YEAR(elosu1+4)=Kalenterivuosi,MONTH(elosu1+4)=8),elosu1+4,""),IF(AND(YEAR(elosu1+11)=Kalenterivuosi,MONTH(elosu1+11)=8),elosu1+11,""))</f>
        <v>44049</v>
      </c>
      <c r="O33" s="29">
        <f>IF(DAY(elosu1)=1,IF(AND(YEAR(elosu1+5)=Kalenterivuosi,MONTH(elosu1+5)=8),elosu1+5,""),IF(AND(YEAR(elosu1+12)=Kalenterivuosi,MONTH(elosu1+12)=8),elosu1+12,""))</f>
        <v>44050</v>
      </c>
      <c r="P33" s="29">
        <f>IF(DAY(elosu1)=1,IF(AND(YEAR(elosu1+6)=Kalenterivuosi,MONTH(elosu1+6)=8),elosu1+6,""),IF(AND(YEAR(elosu1+13)=Kalenterivuosi,MONTH(elosu1+13)=8),elosu1+13,""))</f>
        <v>44051</v>
      </c>
      <c r="Q33" s="29">
        <f>IF(DAY(elosu1)=1,IF(AND(YEAR(elosu1+7)=Kalenterivuosi,MONTH(elosu1+7)=8),elosu1+7,""),IF(AND(YEAR(elosu1+14)=Kalenterivuosi,MONTH(elosu1+14)=8),elosu1+14,""))</f>
        <v>44052</v>
      </c>
      <c r="S33" s="23"/>
      <c r="U33" s="10"/>
      <c r="V33" s="24"/>
      <c r="W33" s="24"/>
    </row>
    <row r="34" spans="1:23" ht="15" customHeight="1" x14ac:dyDescent="0.2">
      <c r="C34" s="29">
        <f>IF(DAY(heinäsu1)=1,IF(AND(YEAR(heinäsu1+8)=Kalenterivuosi,MONTH(heinäsu1+8)=7),heinäsu1+8,""),IF(AND(YEAR(heinäsu1+15)=Kalenterivuosi,MONTH(heinäsu1+15)=7),heinäsu1+15,""))</f>
        <v>44025</v>
      </c>
      <c r="D34" s="29">
        <f>IF(DAY(heinäsu1)=1,IF(AND(YEAR(heinäsu1+9)=Kalenterivuosi,MONTH(heinäsu1+9)=7),heinäsu1+9,""),IF(AND(YEAR(heinäsu1+16)=Kalenterivuosi,MONTH(heinäsu1+16)=7),heinäsu1+16,""))</f>
        <v>44026</v>
      </c>
      <c r="E34" s="29">
        <f>IF(DAY(heinäsu1)=1,IF(AND(YEAR(heinäsu1+10)=Kalenterivuosi,MONTH(heinäsu1+10)=7),heinäsu1+10,""),IF(AND(YEAR(heinäsu1+17)=Kalenterivuosi,MONTH(heinäsu1+17)=7),heinäsu1+17,""))</f>
        <v>44027</v>
      </c>
      <c r="F34" s="29">
        <f>IF(DAY(heinäsu1)=1,IF(AND(YEAR(heinäsu1+11)=Kalenterivuosi,MONTH(heinäsu1+11)=7),heinäsu1+11,""),IF(AND(YEAR(heinäsu1+18)=Kalenterivuosi,MONTH(heinäsu1+18)=7),heinäsu1+18,""))</f>
        <v>44028</v>
      </c>
      <c r="G34" s="29">
        <f>IF(DAY(heinäsu1)=1,IF(AND(YEAR(heinäsu1+12)=Kalenterivuosi,MONTH(heinäsu1+12)=7),heinäsu1+12,""),IF(AND(YEAR(heinäsu1+19)=Kalenterivuosi,MONTH(heinäsu1+19)=7),heinäsu1+19,""))</f>
        <v>44029</v>
      </c>
      <c r="H34" s="29">
        <f>IF(DAY(heinäsu1)=1,IF(AND(YEAR(heinäsu1+13)=Kalenterivuosi,MONTH(heinäsu1+13)=7),heinäsu1+13,""),IF(AND(YEAR(heinäsu1+20)=Kalenterivuosi,MONTH(heinäsu1+20)=7),heinäsu1+20,""))</f>
        <v>44030</v>
      </c>
      <c r="I34" s="29">
        <f>IF(DAY(heinäsu1)=1,IF(AND(YEAR(heinäsu1+14)=Kalenterivuosi,MONTH(heinäsu1+14)=7),heinäsu1+14,""),IF(AND(YEAR(heinäsu1+21)=Kalenterivuosi,MONTH(heinäsu1+21)=7),heinäsu1+21,""))</f>
        <v>44031</v>
      </c>
      <c r="K34" s="29">
        <f>IF(DAY(elosu1)=1,IF(AND(YEAR(elosu1+8)=Kalenterivuosi,MONTH(elosu1+8)=8),elosu1+8,""),IF(AND(YEAR(elosu1+15)=Kalenterivuosi,MONTH(elosu1+15)=8),elosu1+15,""))</f>
        <v>44053</v>
      </c>
      <c r="L34" s="29">
        <f>IF(DAY(elosu1)=1,IF(AND(YEAR(elosu1+9)=Kalenterivuosi,MONTH(elosu1+9)=8),elosu1+9,""),IF(AND(YEAR(elosu1+16)=Kalenterivuosi,MONTH(elosu1+16)=8),elosu1+16,""))</f>
        <v>44054</v>
      </c>
      <c r="M34" s="29">
        <f>IF(DAY(elosu1)=1,IF(AND(YEAR(elosu1+10)=Kalenterivuosi,MONTH(elosu1+10)=8),elosu1+10,""),IF(AND(YEAR(elosu1+17)=Kalenterivuosi,MONTH(elosu1+17)=8),elosu1+17,""))</f>
        <v>44055</v>
      </c>
      <c r="N34" s="29">
        <f>IF(DAY(elosu1)=1,IF(AND(YEAR(elosu1+11)=Kalenterivuosi,MONTH(elosu1+11)=8),elosu1+11,""),IF(AND(YEAR(elosu1+18)=Kalenterivuosi,MONTH(elosu1+18)=8),elosu1+18,""))</f>
        <v>44056</v>
      </c>
      <c r="O34" s="29">
        <f>IF(DAY(elosu1)=1,IF(AND(YEAR(elosu1+12)=Kalenterivuosi,MONTH(elosu1+12)=8),elosu1+12,""),IF(AND(YEAR(elosu1+19)=Kalenterivuosi,MONTH(elosu1+19)=8),elosu1+19,""))</f>
        <v>44057</v>
      </c>
      <c r="P34" s="29">
        <f>IF(DAY(elosu1)=1,IF(AND(YEAR(elosu1+13)=Kalenterivuosi,MONTH(elosu1+13)=8),elosu1+13,""),IF(AND(YEAR(elosu1+20)=Kalenterivuosi,MONTH(elosu1+20)=8),elosu1+20,""))</f>
        <v>44058</v>
      </c>
      <c r="Q34" s="29">
        <f>IF(DAY(elosu1)=1,IF(AND(YEAR(elosu1+14)=Kalenterivuosi,MONTH(elosu1+14)=8),elosu1+14,""),IF(AND(YEAR(elosu1+21)=Kalenterivuosi,MONTH(elosu1+21)=8),elosu1+21,""))</f>
        <v>44059</v>
      </c>
      <c r="S34" s="23"/>
      <c r="U34" s="3"/>
      <c r="V34" s="24"/>
      <c r="W34" s="24"/>
    </row>
    <row r="35" spans="1:23" ht="15" customHeight="1" x14ac:dyDescent="0.2">
      <c r="C35" s="29">
        <f>IF(DAY(heinäsu1)=1,IF(AND(YEAR(heinäsu1+15)=Kalenterivuosi,MONTH(heinäsu1+15)=7),heinäsu1+15,""),IF(AND(YEAR(heinäsu1+22)=Kalenterivuosi,MONTH(heinäsu1+22)=7),heinäsu1+22,""))</f>
        <v>44032</v>
      </c>
      <c r="D35" s="29">
        <f>IF(DAY(heinäsu1)=1,IF(AND(YEAR(heinäsu1+16)=Kalenterivuosi,MONTH(heinäsu1+16)=7),heinäsu1+16,""),IF(AND(YEAR(heinäsu1+23)=Kalenterivuosi,MONTH(heinäsu1+23)=7),heinäsu1+23,""))</f>
        <v>44033</v>
      </c>
      <c r="E35" s="29">
        <f>IF(DAY(heinäsu1)=1,IF(AND(YEAR(heinäsu1+17)=Kalenterivuosi,MONTH(heinäsu1+17)=7),heinäsu1+17,""),IF(AND(YEAR(heinäsu1+24)=Kalenterivuosi,MONTH(heinäsu1+24)=7),heinäsu1+24,""))</f>
        <v>44034</v>
      </c>
      <c r="F35" s="29">
        <f>IF(DAY(heinäsu1)=1,IF(AND(YEAR(heinäsu1+18)=Kalenterivuosi,MONTH(heinäsu1+18)=7),heinäsu1+18,""),IF(AND(YEAR(heinäsu1+25)=Kalenterivuosi,MONTH(heinäsu1+25)=7),heinäsu1+25,""))</f>
        <v>44035</v>
      </c>
      <c r="G35" s="29">
        <f>IF(DAY(heinäsu1)=1,IF(AND(YEAR(heinäsu1+19)=Kalenterivuosi,MONTH(heinäsu1+19)=7),heinäsu1+19,""),IF(AND(YEAR(heinäsu1+26)=Kalenterivuosi,MONTH(heinäsu1+26)=7),heinäsu1+26,""))</f>
        <v>44036</v>
      </c>
      <c r="H35" s="29">
        <f>IF(DAY(heinäsu1)=1,IF(AND(YEAR(heinäsu1+20)=Kalenterivuosi,MONTH(heinäsu1+20)=7),heinäsu1+20,""),IF(AND(YEAR(heinäsu1+27)=Kalenterivuosi,MONTH(heinäsu1+27)=7),heinäsu1+27,""))</f>
        <v>44037</v>
      </c>
      <c r="I35" s="29">
        <f>IF(DAY(heinäsu1)=1,IF(AND(YEAR(heinäsu1+21)=Kalenterivuosi,MONTH(heinäsu1+21)=7),heinäsu1+21,""),IF(AND(YEAR(heinäsu1+28)=Kalenterivuosi,MONTH(heinäsu1+28)=7),heinäsu1+28,""))</f>
        <v>44038</v>
      </c>
      <c r="K35" s="29">
        <f>IF(DAY(elosu1)=1,IF(AND(YEAR(elosu1+15)=Kalenterivuosi,MONTH(elosu1+15)=8),elosu1+15,""),IF(AND(YEAR(elosu1+22)=Kalenterivuosi,MONTH(elosu1+22)=8),elosu1+22,""))</f>
        <v>44060</v>
      </c>
      <c r="L35" s="29">
        <f>IF(DAY(elosu1)=1,IF(AND(YEAR(elosu1+16)=Kalenterivuosi,MONTH(elosu1+16)=8),elosu1+16,""),IF(AND(YEAR(elosu1+23)=Kalenterivuosi,MONTH(elosu1+23)=8),elosu1+23,""))</f>
        <v>44061</v>
      </c>
      <c r="M35" s="29">
        <f>IF(DAY(elosu1)=1,IF(AND(YEAR(elosu1+17)=Kalenterivuosi,MONTH(elosu1+17)=8),elosu1+17,""),IF(AND(YEAR(elosu1+24)=Kalenterivuosi,MONTH(elosu1+24)=8),elosu1+24,""))</f>
        <v>44062</v>
      </c>
      <c r="N35" s="29">
        <f>IF(DAY(elosu1)=1,IF(AND(YEAR(elosu1+18)=Kalenterivuosi,MONTH(elosu1+18)=8),elosu1+18,""),IF(AND(YEAR(elosu1+25)=Kalenterivuosi,MONTH(elosu1+25)=8),elosu1+25,""))</f>
        <v>44063</v>
      </c>
      <c r="O35" s="29">
        <f>IF(DAY(elosu1)=1,IF(AND(YEAR(elosu1+19)=Kalenterivuosi,MONTH(elosu1+19)=8),elosu1+19,""),IF(AND(YEAR(elosu1+26)=Kalenterivuosi,MONTH(elosu1+26)=8),elosu1+26,""))</f>
        <v>44064</v>
      </c>
      <c r="P35" s="29">
        <f>IF(DAY(elosu1)=1,IF(AND(YEAR(elosu1+20)=Kalenterivuosi,MONTH(elosu1+20)=8),elosu1+20,""),IF(AND(YEAR(elosu1+27)=Kalenterivuosi,MONTH(elosu1+27)=8),elosu1+27,""))</f>
        <v>44065</v>
      </c>
      <c r="Q35" s="29">
        <f>IF(DAY(elosu1)=1,IF(AND(YEAR(elosu1+21)=Kalenterivuosi,MONTH(elosu1+21)=8),elosu1+21,""),IF(AND(YEAR(elosu1+28)=Kalenterivuosi,MONTH(elosu1+28)=8),elosu1+28,""))</f>
        <v>44066</v>
      </c>
      <c r="S35" s="23"/>
      <c r="U35" s="2"/>
      <c r="V35" s="24"/>
      <c r="W35" s="24"/>
    </row>
    <row r="36" spans="1:23" ht="15" customHeight="1" x14ac:dyDescent="0.2">
      <c r="C36" s="29">
        <f>IF(DAY(heinäsu1)=1,IF(AND(YEAR(heinäsu1+22)=Kalenterivuosi,MONTH(heinäsu1+22)=7),heinäsu1+22,""),IF(AND(YEAR(heinäsu1+29)=Kalenterivuosi,MONTH(heinäsu1+29)=7),heinäsu1+29,""))</f>
        <v>44039</v>
      </c>
      <c r="D36" s="29">
        <f>IF(DAY(heinäsu1)=1,IF(AND(YEAR(heinäsu1+23)=Kalenterivuosi,MONTH(heinäsu1+23)=7),heinäsu1+23,""),IF(AND(YEAR(heinäsu1+30)=Kalenterivuosi,MONTH(heinäsu1+30)=7),heinäsu1+30,""))</f>
        <v>44040</v>
      </c>
      <c r="E36" s="29">
        <f>IF(DAY(heinäsu1)=1,IF(AND(YEAR(heinäsu1+24)=Kalenterivuosi,MONTH(heinäsu1+24)=7),heinäsu1+24,""),IF(AND(YEAR(heinäsu1+31)=Kalenterivuosi,MONTH(heinäsu1+31)=7),heinäsu1+31,""))</f>
        <v>44041</v>
      </c>
      <c r="F36" s="29">
        <f>IF(DAY(heinäsu1)=1,IF(AND(YEAR(heinäsu1+25)=Kalenterivuosi,MONTH(heinäsu1+25)=7),heinäsu1+25,""),IF(AND(YEAR(heinäsu1+32)=Kalenterivuosi,MONTH(heinäsu1+32)=7),heinäsu1+32,""))</f>
        <v>44042</v>
      </c>
      <c r="G36" s="29">
        <f>IF(DAY(heinäsu1)=1,IF(AND(YEAR(heinäsu1+26)=Kalenterivuosi,MONTH(heinäsu1+26)=7),heinäsu1+26,""),IF(AND(YEAR(heinäsu1+33)=Kalenterivuosi,MONTH(heinäsu1+33)=7),heinäsu1+33,""))</f>
        <v>44043</v>
      </c>
      <c r="H36" s="29" t="str">
        <f>IF(DAY(heinäsu1)=1,IF(AND(YEAR(heinäsu1+27)=Kalenterivuosi,MONTH(heinäsu1+27)=7),heinäsu1+27,""),IF(AND(YEAR(heinäsu1+34)=Kalenterivuosi,MONTH(heinäsu1+34)=7),heinäsu1+34,""))</f>
        <v/>
      </c>
      <c r="I36" s="29" t="str">
        <f>IF(DAY(heinäsu1)=1,IF(AND(YEAR(heinäsu1+28)=Kalenterivuosi,MONTH(heinäsu1+28)=7),heinäsu1+28,""),IF(AND(YEAR(heinäsu1+35)=Kalenterivuosi,MONTH(heinäsu1+35)=7),heinäsu1+35,""))</f>
        <v/>
      </c>
      <c r="K36" s="29">
        <f>IF(DAY(elosu1)=1,IF(AND(YEAR(elosu1+22)=Kalenterivuosi,MONTH(elosu1+22)=8),elosu1+22,""),IF(AND(YEAR(elosu1+29)=Kalenterivuosi,MONTH(elosu1+29)=8),elosu1+29,""))</f>
        <v>44067</v>
      </c>
      <c r="L36" s="29">
        <f>IF(DAY(elosu1)=1,IF(AND(YEAR(elosu1+23)=Kalenterivuosi,MONTH(elosu1+23)=8),elosu1+23,""),IF(AND(YEAR(elosu1+30)=Kalenterivuosi,MONTH(elosu1+30)=8),elosu1+30,""))</f>
        <v>44068</v>
      </c>
      <c r="M36" s="29">
        <f>IF(DAY(elosu1)=1,IF(AND(YEAR(elosu1+24)=Kalenterivuosi,MONTH(elosu1+24)=8),elosu1+24,""),IF(AND(YEAR(elosu1+31)=Kalenterivuosi,MONTH(elosu1+31)=8),elosu1+31,""))</f>
        <v>44069</v>
      </c>
      <c r="N36" s="29">
        <f>IF(DAY(elosu1)=1,IF(AND(YEAR(elosu1+25)=Kalenterivuosi,MONTH(elosu1+25)=8),elosu1+25,""),IF(AND(YEAR(elosu1+32)=Kalenterivuosi,MONTH(elosu1+32)=8),elosu1+32,""))</f>
        <v>44070</v>
      </c>
      <c r="O36" s="29">
        <f>IF(DAY(elosu1)=1,IF(AND(YEAR(elosu1+26)=Kalenterivuosi,MONTH(elosu1+26)=8),elosu1+26,""),IF(AND(YEAR(elosu1+33)=Kalenterivuosi,MONTH(elosu1+33)=8),elosu1+33,""))</f>
        <v>44071</v>
      </c>
      <c r="P36" s="29">
        <f>IF(DAY(elosu1)=1,IF(AND(YEAR(elosu1+27)=Kalenterivuosi,MONTH(elosu1+27)=8),elosu1+27,""),IF(AND(YEAR(elosu1+34)=Kalenterivuosi,MONTH(elosu1+34)=8),elosu1+34,""))</f>
        <v>44072</v>
      </c>
      <c r="Q36" s="29">
        <f>IF(DAY(elosu1)=1,IF(AND(YEAR(elosu1+28)=Kalenterivuosi,MONTH(elosu1+28)=8),elosu1+28,""),IF(AND(YEAR(elosu1+35)=Kalenterivuosi,MONTH(elosu1+35)=8),elosu1+35,""))</f>
        <v>44073</v>
      </c>
      <c r="S36" s="23"/>
      <c r="U36" s="10"/>
      <c r="V36" s="24"/>
      <c r="W36" s="24"/>
    </row>
    <row r="37" spans="1:23" ht="15" customHeight="1" x14ac:dyDescent="0.2">
      <c r="C37" s="29" t="str">
        <f>IF(DAY(heinäsu1)=1,IF(AND(YEAR(heinäsu1+29)=Kalenterivuosi,MONTH(heinäsu1+29)=7),heinäsu1+29,""),IF(AND(YEAR(heinäsu1+36)=Kalenterivuosi,MONTH(heinäsu1+36)=7),heinäsu1+36,""))</f>
        <v/>
      </c>
      <c r="D37" s="29" t="str">
        <f>IF(DAY(heinäsu1)=1,IF(AND(YEAR(heinäsu1+30)=Kalenterivuosi,MONTH(heinäsu1+30)=7),heinäsu1+30,""),IF(AND(YEAR(heinäsu1+37)=Kalenterivuosi,MONTH(heinäsu1+37)=7),heinäsu1+37,""))</f>
        <v/>
      </c>
      <c r="E37" s="29" t="str">
        <f>IF(DAY(heinäsu1)=1,IF(AND(YEAR(heinäsu1+31)=Kalenterivuosi,MONTH(heinäsu1+31)=7),heinäsu1+31,""),IF(AND(YEAR(heinäsu1+38)=Kalenterivuosi,MONTH(heinäsu1+38)=7),heinäsu1+38,""))</f>
        <v/>
      </c>
      <c r="F37" s="29" t="str">
        <f>IF(DAY(heinäsu1)=1,IF(AND(YEAR(heinäsu1+32)=Kalenterivuosi,MONTH(heinäsu1+32)=7),heinäsu1+32,""),IF(AND(YEAR(heinäsu1+39)=Kalenterivuosi,MONTH(heinäsu1+39)=7),heinäsu1+39,""))</f>
        <v/>
      </c>
      <c r="G37" s="29" t="str">
        <f>IF(DAY(heinäsu1)=1,IF(AND(YEAR(heinäsu1+33)=Kalenterivuosi,MONTH(heinäsu1+33)=7),heinäsu1+33,""),IF(AND(YEAR(heinäsu1+40)=Kalenterivuosi,MONTH(heinäsu1+40)=7),heinäsu1+40,""))</f>
        <v/>
      </c>
      <c r="H37" s="29" t="str">
        <f>IF(DAY(heinäsu1)=1,IF(AND(YEAR(heinäsu1+34)=Kalenterivuosi,MONTH(heinäsu1+34)=7),heinäsu1+34,""),IF(AND(YEAR(heinäsu1+41)=Kalenterivuosi,MONTH(heinäsu1+41)=7),heinäsu1+41,""))</f>
        <v/>
      </c>
      <c r="I37" s="29" t="str">
        <f>IF(DAY(heinäsu1)=1,IF(AND(YEAR(heinäsu1+35)=Kalenterivuosi,MONTH(heinäsu1+35)=7),heinäsu1+35,""),IF(AND(YEAR(heinäsu1+42)=Kalenterivuosi,MONTH(heinäsu1+42)=7),heinäsu1+42,""))</f>
        <v/>
      </c>
      <c r="K37" s="29">
        <f>IF(DAY(elosu1)=1,IF(AND(YEAR(elosu1+29)=Kalenterivuosi,MONTH(elosu1+29)=8),elosu1+29,""),IF(AND(YEAR(elosu1+36)=Kalenterivuosi,MONTH(elosu1+36)=8),elosu1+36,""))</f>
        <v>44074</v>
      </c>
      <c r="L37" s="29" t="str">
        <f>IF(DAY(elosu1)=1,IF(AND(YEAR(elosu1+30)=Kalenterivuosi,MONTH(elosu1+30)=8),elosu1+30,""),IF(AND(YEAR(elosu1+37)=Kalenterivuosi,MONTH(elosu1+37)=8),elosu1+37,""))</f>
        <v/>
      </c>
      <c r="M37" s="29" t="str">
        <f>IF(DAY(elosu1)=1,IF(AND(YEAR(elosu1+31)=Kalenterivuosi,MONTH(elosu1+31)=8),elosu1+31,""),IF(AND(YEAR(elosu1+38)=Kalenterivuosi,MONTH(elosu1+38)=8),elosu1+38,""))</f>
        <v/>
      </c>
      <c r="N37" s="29" t="str">
        <f>IF(DAY(elosu1)=1,IF(AND(YEAR(elosu1+32)=Kalenterivuosi,MONTH(elosu1+32)=8),elosu1+32,""),IF(AND(YEAR(elosu1+39)=Kalenterivuosi,MONTH(elosu1+39)=8),elosu1+39,""))</f>
        <v/>
      </c>
      <c r="O37" s="29" t="str">
        <f>IF(DAY(elosu1)=1,IF(AND(YEAR(elosu1+33)=Kalenterivuosi,MONTH(elosu1+33)=8),elosu1+33,""),IF(AND(YEAR(elosu1+40)=Kalenterivuosi,MONTH(elosu1+40)=8),elosu1+40,""))</f>
        <v/>
      </c>
      <c r="P37" s="29" t="str">
        <f>IF(DAY(elosu1)=1,IF(AND(YEAR(elosu1+34)=Kalenterivuosi,MONTH(elosu1+34)=8),elosu1+34,""),IF(AND(YEAR(elosu1+41)=Kalenterivuosi,MONTH(elosu1+41)=8),elosu1+41,""))</f>
        <v/>
      </c>
      <c r="Q37" s="29" t="str">
        <f>IF(DAY(elosu1)=1,IF(AND(YEAR(elosu1+35)=Kalenterivuosi,MONTH(elosu1+35)=8),elosu1+35,""),IF(AND(YEAR(elosu1+42)=Kalenterivuosi,MONTH(elosu1+42)=8),elosu1+42,""))</f>
        <v/>
      </c>
      <c r="S37" s="23"/>
      <c r="U37" s="3"/>
      <c r="V37" s="24"/>
      <c r="W37" s="24"/>
    </row>
    <row r="38" spans="1:23" ht="15" customHeight="1" x14ac:dyDescent="0.2">
      <c r="C38" s="21"/>
      <c r="D38" s="21"/>
      <c r="E38" s="21"/>
      <c r="F38" s="21"/>
      <c r="G38" s="21"/>
      <c r="H38" s="21"/>
      <c r="I38" s="21"/>
      <c r="K38" s="21"/>
      <c r="L38" s="21"/>
      <c r="M38" s="21"/>
      <c r="N38" s="21"/>
      <c r="O38" s="21"/>
      <c r="P38" s="21"/>
      <c r="Q38" s="21"/>
      <c r="S38" s="23"/>
      <c r="U38" s="2"/>
      <c r="V38" s="24"/>
      <c r="W38" s="24"/>
    </row>
    <row r="39" spans="1:23" ht="15" customHeight="1" x14ac:dyDescent="0.2">
      <c r="A39" s="18" t="s">
        <v>16</v>
      </c>
      <c r="C39" s="25" t="s">
        <v>30</v>
      </c>
      <c r="D39" s="25"/>
      <c r="E39" s="25"/>
      <c r="F39" s="25"/>
      <c r="G39" s="25"/>
      <c r="H39" s="25"/>
      <c r="I39" s="25"/>
      <c r="K39" s="25" t="s">
        <v>42</v>
      </c>
      <c r="L39" s="25"/>
      <c r="M39" s="25"/>
      <c r="N39" s="25"/>
      <c r="O39" s="25"/>
      <c r="P39" s="25"/>
      <c r="Q39" s="25"/>
      <c r="S39" s="23"/>
      <c r="U39" s="10"/>
      <c r="V39" s="24"/>
      <c r="W39" s="24"/>
    </row>
    <row r="40" spans="1:23" ht="15" customHeight="1" x14ac:dyDescent="0.2">
      <c r="A40" s="18" t="s">
        <v>17</v>
      </c>
      <c r="C40" s="11" t="s">
        <v>26</v>
      </c>
      <c r="D40" s="11" t="s">
        <v>32</v>
      </c>
      <c r="E40" s="11" t="s">
        <v>33</v>
      </c>
      <c r="F40" s="11" t="s">
        <v>34</v>
      </c>
      <c r="G40" s="11" t="s">
        <v>35</v>
      </c>
      <c r="H40" s="11" t="s">
        <v>36</v>
      </c>
      <c r="I40" s="11" t="s">
        <v>37</v>
      </c>
      <c r="K40" s="11" t="s">
        <v>26</v>
      </c>
      <c r="L40" s="11" t="s">
        <v>32</v>
      </c>
      <c r="M40" s="11" t="s">
        <v>33</v>
      </c>
      <c r="N40" s="11" t="s">
        <v>34</v>
      </c>
      <c r="O40" s="11" t="s">
        <v>35</v>
      </c>
      <c r="P40" s="11" t="s">
        <v>36</v>
      </c>
      <c r="Q40" s="11" t="s">
        <v>37</v>
      </c>
      <c r="S40" s="23"/>
      <c r="U40" s="3"/>
      <c r="V40" s="24"/>
      <c r="W40" s="24"/>
    </row>
    <row r="41" spans="1:23" ht="15" customHeight="1" x14ac:dyDescent="0.2">
      <c r="C41" s="29" t="str">
        <f>IF(DAY(syyssu1)=1,"",IF(AND(YEAR(syyssu1+1)=Kalenterivuosi,MONTH(syyssu1+1)=9),syyssu1+1,""))</f>
        <v/>
      </c>
      <c r="D41" s="29">
        <f>IF(DAY(syyssu1)=1,"",IF(AND(YEAR(syyssu1+2)=Kalenterivuosi,MONTH(syyssu1+2)=9),syyssu1+2,""))</f>
        <v>44075</v>
      </c>
      <c r="E41" s="29">
        <f>IF(DAY(syyssu1)=1,"",IF(AND(YEAR(syyssu1+3)=Kalenterivuosi,MONTH(syyssu1+3)=9),syyssu1+3,""))</f>
        <v>44076</v>
      </c>
      <c r="F41" s="29">
        <f>IF(DAY(syyssu1)=1,"",IF(AND(YEAR(syyssu1+4)=Kalenterivuosi,MONTH(syyssu1+4)=9),syyssu1+4,""))</f>
        <v>44077</v>
      </c>
      <c r="G41" s="29">
        <f>IF(DAY(syyssu1)=1,"",IF(AND(YEAR(syyssu1+5)=Kalenterivuosi,MONTH(syyssu1+5)=9),syyssu1+5,""))</f>
        <v>44078</v>
      </c>
      <c r="H41" s="29">
        <f>IF(DAY(syyssu1)=1,"",IF(AND(YEAR(syyssu1+6)=Kalenterivuosi,MONTH(syyssu1+6)=9),syyssu1+6,""))</f>
        <v>44079</v>
      </c>
      <c r="I41" s="29">
        <f>IF(DAY(syyssu1)=1,IF(AND(YEAR(syyssu1)=Kalenterivuosi,MONTH(syyssu1)=9),syyssu1,""),IF(AND(YEAR(syyssu1+7)=Kalenterivuosi,MONTH(syyssu1+7)=9),syyssu1+7,""))</f>
        <v>44080</v>
      </c>
      <c r="K41" s="29" t="str">
        <f>IF(DAY(lokasu1)=1,"",IF(AND(YEAR(lokasu1+1)=Kalenterivuosi,MONTH(lokasu1+1)=10),lokasu1+1,""))</f>
        <v/>
      </c>
      <c r="L41" s="29" t="str">
        <f>IF(DAY(lokasu1)=1,"",IF(AND(YEAR(lokasu1+2)=Kalenterivuosi,MONTH(lokasu1+2)=10),lokasu1+2,""))</f>
        <v/>
      </c>
      <c r="M41" s="29" t="str">
        <f>IF(DAY(lokasu1)=1,"",IF(AND(YEAR(lokasu1+3)=Kalenterivuosi,MONTH(lokasu1+3)=10),lokasu1+3,""))</f>
        <v/>
      </c>
      <c r="N41" s="29">
        <f>IF(DAY(lokasu1)=1,"",IF(AND(YEAR(lokasu1+4)=Kalenterivuosi,MONTH(lokasu1+4)=10),lokasu1+4,""))</f>
        <v>44105</v>
      </c>
      <c r="O41" s="29">
        <f>IF(DAY(lokasu1)=1,"",IF(AND(YEAR(lokasu1+5)=Kalenterivuosi,MONTH(lokasu1+5)=10),lokasu1+5,""))</f>
        <v>44106</v>
      </c>
      <c r="P41" s="29">
        <f>IF(DAY(lokasu1)=1,"",IF(AND(YEAR(lokasu1+6)=Kalenterivuosi,MONTH(lokasu1+6)=10),lokasu1+6,""))</f>
        <v>44107</v>
      </c>
      <c r="Q41" s="29">
        <f>IF(DAY(lokasu1)=1,IF(AND(YEAR(lokasu1)=Kalenterivuosi,MONTH(lokasu1)=10),lokasu1,""),IF(AND(YEAR(lokasu1+7)=Kalenterivuosi,MONTH(lokasu1+7)=10),lokasu1+7,""))</f>
        <v>44108</v>
      </c>
      <c r="S41" s="23"/>
      <c r="U41" s="2"/>
      <c r="V41" s="24"/>
      <c r="W41" s="24"/>
    </row>
    <row r="42" spans="1:23" ht="15" customHeight="1" x14ac:dyDescent="0.2">
      <c r="C42" s="29">
        <f>IF(DAY(syyssu1)=1,IF(AND(YEAR(syyssu1+1)=Kalenterivuosi,MONTH(syyssu1+1)=9),syyssu1+1,""),IF(AND(YEAR(syyssu1+8)=Kalenterivuosi,MONTH(syyssu1+8)=9),syyssu1+8,""))</f>
        <v>44081</v>
      </c>
      <c r="D42" s="29">
        <f>IF(DAY(syyssu1)=1,IF(AND(YEAR(syyssu1+2)=Kalenterivuosi,MONTH(syyssu1+2)=9),syyssu1+2,""),IF(AND(YEAR(syyssu1+9)=Kalenterivuosi,MONTH(syyssu1+9)=9),syyssu1+9,""))</f>
        <v>44082</v>
      </c>
      <c r="E42" s="29">
        <f>IF(DAY(syyssu1)=1,IF(AND(YEAR(syyssu1+3)=Kalenterivuosi,MONTH(syyssu1+3)=9),syyssu1+3,""),IF(AND(YEAR(syyssu1+10)=Kalenterivuosi,MONTH(syyssu1+10)=9),syyssu1+10,""))</f>
        <v>44083</v>
      </c>
      <c r="F42" s="29">
        <f>IF(DAY(syyssu1)=1,IF(AND(YEAR(syyssu1+4)=Kalenterivuosi,MONTH(syyssu1+4)=9),syyssu1+4,""),IF(AND(YEAR(syyssu1+11)=Kalenterivuosi,MONTH(syyssu1+11)=9),syyssu1+11,""))</f>
        <v>44084</v>
      </c>
      <c r="G42" s="29">
        <f>IF(DAY(syyssu1)=1,IF(AND(YEAR(syyssu1+5)=Kalenterivuosi,MONTH(syyssu1+5)=9),syyssu1+5,""),IF(AND(YEAR(syyssu1+12)=Kalenterivuosi,MONTH(syyssu1+12)=9),syyssu1+12,""))</f>
        <v>44085</v>
      </c>
      <c r="H42" s="29">
        <f>IF(DAY(syyssu1)=1,IF(AND(YEAR(syyssu1+6)=Kalenterivuosi,MONTH(syyssu1+6)=9),syyssu1+6,""),IF(AND(YEAR(syyssu1+13)=Kalenterivuosi,MONTH(syyssu1+13)=9),syyssu1+13,""))</f>
        <v>44086</v>
      </c>
      <c r="I42" s="29">
        <f>IF(DAY(syyssu1)=1,IF(AND(YEAR(syyssu1+7)=Kalenterivuosi,MONTH(syyssu1+7)=9),syyssu1+7,""),IF(AND(YEAR(syyssu1+14)=Kalenterivuosi,MONTH(syyssu1+14)=9),syyssu1+14,""))</f>
        <v>44087</v>
      </c>
      <c r="K42" s="29">
        <f>IF(DAY(lokasu1)=1,IF(AND(YEAR(lokasu1+1)=Kalenterivuosi,MONTH(lokasu1+1)=10),lokasu1+1,""),IF(AND(YEAR(lokasu1+8)=Kalenterivuosi,MONTH(lokasu1+8)=10),lokasu1+8,""))</f>
        <v>44109</v>
      </c>
      <c r="L42" s="29">
        <f>IF(DAY(lokasu1)=1,IF(AND(YEAR(lokasu1+2)=Kalenterivuosi,MONTH(lokasu1+2)=10),lokasu1+2,""),IF(AND(YEAR(lokasu1+9)=Kalenterivuosi,MONTH(lokasu1+9)=10),lokasu1+9,""))</f>
        <v>44110</v>
      </c>
      <c r="M42" s="29">
        <f>IF(DAY(lokasu1)=1,IF(AND(YEAR(lokasu1+3)=Kalenterivuosi,MONTH(lokasu1+3)=10),lokasu1+3,""),IF(AND(YEAR(lokasu1+10)=Kalenterivuosi,MONTH(lokasu1+10)=10),lokasu1+10,""))</f>
        <v>44111</v>
      </c>
      <c r="N42" s="29">
        <f>IF(DAY(lokasu1)=1,IF(AND(YEAR(lokasu1+4)=Kalenterivuosi,MONTH(lokasu1+4)=10),lokasu1+4,""),IF(AND(YEAR(lokasu1+11)=Kalenterivuosi,MONTH(lokasu1+11)=10),lokasu1+11,""))</f>
        <v>44112</v>
      </c>
      <c r="O42" s="29">
        <f>IF(DAY(lokasu1)=1,IF(AND(YEAR(lokasu1+5)=Kalenterivuosi,MONTH(lokasu1+5)=10),lokasu1+5,""),IF(AND(YEAR(lokasu1+12)=Kalenterivuosi,MONTH(lokasu1+12)=10),lokasu1+12,""))</f>
        <v>44113</v>
      </c>
      <c r="P42" s="29">
        <f>IF(DAY(lokasu1)=1,IF(AND(YEAR(lokasu1+6)=Kalenterivuosi,MONTH(lokasu1+6)=10),lokasu1+6,""),IF(AND(YEAR(lokasu1+13)=Kalenterivuosi,MONTH(lokasu1+13)=10),lokasu1+13,""))</f>
        <v>44114</v>
      </c>
      <c r="Q42" s="29">
        <f>IF(DAY(lokasu1)=1,IF(AND(YEAR(lokasu1+7)=Kalenterivuosi,MONTH(lokasu1+7)=10),lokasu1+7,""),IF(AND(YEAR(lokasu1+14)=Kalenterivuosi,MONTH(lokasu1+14)=10),lokasu1+14,""))</f>
        <v>44115</v>
      </c>
      <c r="S42" s="23"/>
      <c r="U42" s="10"/>
      <c r="V42" s="24"/>
      <c r="W42" s="24"/>
    </row>
    <row r="43" spans="1:23" ht="15" customHeight="1" x14ac:dyDescent="0.2">
      <c r="C43" s="29">
        <f>IF(DAY(syyssu1)=1,IF(AND(YEAR(syyssu1+8)=Kalenterivuosi,MONTH(syyssu1+8)=9),syyssu1+8,""),IF(AND(YEAR(syyssu1+15)=Kalenterivuosi,MONTH(syyssu1+15)=9),syyssu1+15,""))</f>
        <v>44088</v>
      </c>
      <c r="D43" s="29">
        <f>IF(DAY(syyssu1)=1,IF(AND(YEAR(syyssu1+9)=Kalenterivuosi,MONTH(syyssu1+9)=9),syyssu1+9,""),IF(AND(YEAR(syyssu1+16)=Kalenterivuosi,MONTH(syyssu1+16)=9),syyssu1+16,""))</f>
        <v>44089</v>
      </c>
      <c r="E43" s="29">
        <f>IF(DAY(syyssu1)=1,IF(AND(YEAR(syyssu1+10)=Kalenterivuosi,MONTH(syyssu1+10)=9),syyssu1+10,""),IF(AND(YEAR(syyssu1+17)=Kalenterivuosi,MONTH(syyssu1+17)=9),syyssu1+17,""))</f>
        <v>44090</v>
      </c>
      <c r="F43" s="29">
        <f>IF(DAY(syyssu1)=1,IF(AND(YEAR(syyssu1+11)=Kalenterivuosi,MONTH(syyssu1+11)=9),syyssu1+11,""),IF(AND(YEAR(syyssu1+18)=Kalenterivuosi,MONTH(syyssu1+18)=9),syyssu1+18,""))</f>
        <v>44091</v>
      </c>
      <c r="G43" s="29">
        <f>IF(DAY(syyssu1)=1,IF(AND(YEAR(syyssu1+12)=Kalenterivuosi,MONTH(syyssu1+12)=9),syyssu1+12,""),IF(AND(YEAR(syyssu1+19)=Kalenterivuosi,MONTH(syyssu1+19)=9),syyssu1+19,""))</f>
        <v>44092</v>
      </c>
      <c r="H43" s="29">
        <f>IF(DAY(syyssu1)=1,IF(AND(YEAR(syyssu1+13)=Kalenterivuosi,MONTH(syyssu1+13)=9),syyssu1+13,""),IF(AND(YEAR(syyssu1+20)=Kalenterivuosi,MONTH(syyssu1+20)=9),syyssu1+20,""))</f>
        <v>44093</v>
      </c>
      <c r="I43" s="29">
        <f>IF(DAY(syyssu1)=1,IF(AND(YEAR(syyssu1+14)=Kalenterivuosi,MONTH(syyssu1+14)=9),syyssu1+14,""),IF(AND(YEAR(syyssu1+21)=Kalenterivuosi,MONTH(syyssu1+21)=9),syyssu1+21,""))</f>
        <v>44094</v>
      </c>
      <c r="K43" s="29">
        <f>IF(DAY(lokasu1)=1,IF(AND(YEAR(lokasu1+8)=Kalenterivuosi,MONTH(lokasu1+8)=10),lokasu1+8,""),IF(AND(YEAR(lokasu1+15)=Kalenterivuosi,MONTH(lokasu1+15)=10),lokasu1+15,""))</f>
        <v>44116</v>
      </c>
      <c r="L43" s="29">
        <f>IF(DAY(lokasu1)=1,IF(AND(YEAR(lokasu1+9)=Kalenterivuosi,MONTH(lokasu1+9)=10),lokasu1+9,""),IF(AND(YEAR(lokasu1+16)=Kalenterivuosi,MONTH(lokasu1+16)=10),lokasu1+16,""))</f>
        <v>44117</v>
      </c>
      <c r="M43" s="29">
        <f>IF(DAY(lokasu1)=1,IF(AND(YEAR(lokasu1+10)=Kalenterivuosi,MONTH(lokasu1+10)=10),lokasu1+10,""),IF(AND(YEAR(lokasu1+17)=Kalenterivuosi,MONTH(lokasu1+17)=10),lokasu1+17,""))</f>
        <v>44118</v>
      </c>
      <c r="N43" s="29">
        <f>IF(DAY(lokasu1)=1,IF(AND(YEAR(lokasu1+11)=Kalenterivuosi,MONTH(lokasu1+11)=10),lokasu1+11,""),IF(AND(YEAR(lokasu1+18)=Kalenterivuosi,MONTH(lokasu1+18)=10),lokasu1+18,""))</f>
        <v>44119</v>
      </c>
      <c r="O43" s="29">
        <f>IF(DAY(lokasu1)=1,IF(AND(YEAR(lokasu1+12)=Kalenterivuosi,MONTH(lokasu1+12)=10),lokasu1+12,""),IF(AND(YEAR(lokasu1+19)=Kalenterivuosi,MONTH(lokasu1+19)=10),lokasu1+19,""))</f>
        <v>44120</v>
      </c>
      <c r="P43" s="29">
        <f>IF(DAY(lokasu1)=1,IF(AND(YEAR(lokasu1+13)=Kalenterivuosi,MONTH(lokasu1+13)=10),lokasu1+13,""),IF(AND(YEAR(lokasu1+20)=Kalenterivuosi,MONTH(lokasu1+20)=10),lokasu1+20,""))</f>
        <v>44121</v>
      </c>
      <c r="Q43" s="29">
        <f>IF(DAY(lokasu1)=1,IF(AND(YEAR(lokasu1+14)=Kalenterivuosi,MONTH(lokasu1+14)=10),lokasu1+14,""),IF(AND(YEAR(lokasu1+21)=Kalenterivuosi,MONTH(lokasu1+21)=10),lokasu1+21,""))</f>
        <v>44122</v>
      </c>
      <c r="S43" s="23"/>
      <c r="U43" s="3"/>
      <c r="V43" s="24"/>
      <c r="W43" s="24"/>
    </row>
    <row r="44" spans="1:23" ht="15" customHeight="1" x14ac:dyDescent="0.2">
      <c r="A44" s="18" t="s">
        <v>18</v>
      </c>
      <c r="C44" s="29">
        <f>IF(DAY(syyssu1)=1,IF(AND(YEAR(syyssu1+15)=Kalenterivuosi,MONTH(syyssu1+15)=9),syyssu1+15,""),IF(AND(YEAR(syyssu1+22)=Kalenterivuosi,MONTH(syyssu1+22)=9),syyssu1+22,""))</f>
        <v>44095</v>
      </c>
      <c r="D44" s="29">
        <f>IF(DAY(syyssu1)=1,IF(AND(YEAR(syyssu1+16)=Kalenterivuosi,MONTH(syyssu1+16)=9),syyssu1+16,""),IF(AND(YEAR(syyssu1+23)=Kalenterivuosi,MONTH(syyssu1+23)=9),syyssu1+23,""))</f>
        <v>44096</v>
      </c>
      <c r="E44" s="29">
        <f>IF(DAY(syyssu1)=1,IF(AND(YEAR(syyssu1+17)=Kalenterivuosi,MONTH(syyssu1+17)=9),syyssu1+17,""),IF(AND(YEAR(syyssu1+24)=Kalenterivuosi,MONTH(syyssu1+24)=9),syyssu1+24,""))</f>
        <v>44097</v>
      </c>
      <c r="F44" s="29">
        <f>IF(DAY(syyssu1)=1,IF(AND(YEAR(syyssu1+18)=Kalenterivuosi,MONTH(syyssu1+18)=9),syyssu1+18,""),IF(AND(YEAR(syyssu1+25)=Kalenterivuosi,MONTH(syyssu1+25)=9),syyssu1+25,""))</f>
        <v>44098</v>
      </c>
      <c r="G44" s="29">
        <f>IF(DAY(syyssu1)=1,IF(AND(YEAR(syyssu1+19)=Kalenterivuosi,MONTH(syyssu1+19)=9),syyssu1+19,""),IF(AND(YEAR(syyssu1+26)=Kalenterivuosi,MONTH(syyssu1+26)=9),syyssu1+26,""))</f>
        <v>44099</v>
      </c>
      <c r="H44" s="29">
        <f>IF(DAY(syyssu1)=1,IF(AND(YEAR(syyssu1+20)=Kalenterivuosi,MONTH(syyssu1+20)=9),syyssu1+20,""),IF(AND(YEAR(syyssu1+27)=Kalenterivuosi,MONTH(syyssu1+27)=9),syyssu1+27,""))</f>
        <v>44100</v>
      </c>
      <c r="I44" s="29">
        <f>IF(DAY(syyssu1)=1,IF(AND(YEAR(syyssu1+21)=Kalenterivuosi,MONTH(syyssu1+21)=9),syyssu1+21,""),IF(AND(YEAR(syyssu1+28)=Kalenterivuosi,MONTH(syyssu1+28)=9),syyssu1+28,""))</f>
        <v>44101</v>
      </c>
      <c r="K44" s="29">
        <f>IF(DAY(lokasu1)=1,IF(AND(YEAR(lokasu1+15)=Kalenterivuosi,MONTH(lokasu1+15)=10),lokasu1+15,""),IF(AND(YEAR(lokasu1+22)=Kalenterivuosi,MONTH(lokasu1+22)=10),lokasu1+22,""))</f>
        <v>44123</v>
      </c>
      <c r="L44" s="29">
        <f>IF(DAY(lokasu1)=1,IF(AND(YEAR(lokasu1+16)=Kalenterivuosi,MONTH(lokasu1+16)=10),lokasu1+16,""),IF(AND(YEAR(lokasu1+23)=Kalenterivuosi,MONTH(lokasu1+23)=10),lokasu1+23,""))</f>
        <v>44124</v>
      </c>
      <c r="M44" s="29">
        <f>IF(DAY(lokasu1)=1,IF(AND(YEAR(lokasu1+17)=Kalenterivuosi,MONTH(lokasu1+17)=10),lokasu1+17,""),IF(AND(YEAR(lokasu1+24)=Kalenterivuosi,MONTH(lokasu1+24)=10),lokasu1+24,""))</f>
        <v>44125</v>
      </c>
      <c r="N44" s="29">
        <f>IF(DAY(lokasu1)=1,IF(AND(YEAR(lokasu1+18)=Kalenterivuosi,MONTH(lokasu1+18)=10),lokasu1+18,""),IF(AND(YEAR(lokasu1+25)=Kalenterivuosi,MONTH(lokasu1+25)=10),lokasu1+25,""))</f>
        <v>44126</v>
      </c>
      <c r="O44" s="29">
        <f>IF(DAY(lokasu1)=1,IF(AND(YEAR(lokasu1+19)=Kalenterivuosi,MONTH(lokasu1+19)=10),lokasu1+19,""),IF(AND(YEAR(lokasu1+26)=Kalenterivuosi,MONTH(lokasu1+26)=10),lokasu1+26,""))</f>
        <v>44127</v>
      </c>
      <c r="P44" s="29">
        <f>IF(DAY(lokasu1)=1,IF(AND(YEAR(lokasu1+20)=Kalenterivuosi,MONTH(lokasu1+20)=10),lokasu1+20,""),IF(AND(YEAR(lokasu1+27)=Kalenterivuosi,MONTH(lokasu1+27)=10),lokasu1+27,""))</f>
        <v>44128</v>
      </c>
      <c r="Q44" s="29">
        <f>IF(DAY(lokasu1)=1,IF(AND(YEAR(lokasu1+21)=Kalenterivuosi,MONTH(lokasu1+21)=10),lokasu1+21,""),IF(AND(YEAR(lokasu1+28)=Kalenterivuosi,MONTH(lokasu1+28)=10),lokasu1+28,""))</f>
        <v>44129</v>
      </c>
      <c r="S44" s="23"/>
      <c r="U44" s="8" t="s">
        <v>51</v>
      </c>
      <c r="V44" s="24"/>
      <c r="W44" s="24"/>
    </row>
    <row r="45" spans="1:23" ht="15" customHeight="1" x14ac:dyDescent="0.2">
      <c r="A45" s="18" t="s">
        <v>19</v>
      </c>
      <c r="C45" s="29">
        <f>IF(DAY(syyssu1)=1,IF(AND(YEAR(syyssu1+22)=Kalenterivuosi,MONTH(syyssu1+22)=9),syyssu1+22,""),IF(AND(YEAR(syyssu1+29)=Kalenterivuosi,MONTH(syyssu1+29)=9),syyssu1+29,""))</f>
        <v>44102</v>
      </c>
      <c r="D45" s="29">
        <f>IF(DAY(syyssu1)=1,IF(AND(YEAR(syyssu1+23)=Kalenterivuosi,MONTH(syyssu1+23)=9),syyssu1+23,""),IF(AND(YEAR(syyssu1+30)=Kalenterivuosi,MONTH(syyssu1+30)=9),syyssu1+30,""))</f>
        <v>44103</v>
      </c>
      <c r="E45" s="29">
        <f>IF(DAY(syyssu1)=1,IF(AND(YEAR(syyssu1+24)=Kalenterivuosi,MONTH(syyssu1+24)=9),syyssu1+24,""),IF(AND(YEAR(syyssu1+31)=Kalenterivuosi,MONTH(syyssu1+31)=9),syyssu1+31,""))</f>
        <v>44104</v>
      </c>
      <c r="F45" s="29" t="str">
        <f>IF(DAY(syyssu1)=1,IF(AND(YEAR(syyssu1+25)=Kalenterivuosi,MONTH(syyssu1+25)=9),syyssu1+25,""),IF(AND(YEAR(syyssu1+32)=Kalenterivuosi,MONTH(syyssu1+32)=9),syyssu1+32,""))</f>
        <v/>
      </c>
      <c r="G45" s="29" t="str">
        <f>IF(DAY(syyssu1)=1,IF(AND(YEAR(syyssu1+26)=Kalenterivuosi,MONTH(syyssu1+26)=9),syyssu1+26,""),IF(AND(YEAR(syyssu1+33)=Kalenterivuosi,MONTH(syyssu1+33)=9),syyssu1+33,""))</f>
        <v/>
      </c>
      <c r="H45" s="29" t="str">
        <f>IF(DAY(syyssu1)=1,IF(AND(YEAR(syyssu1+27)=Kalenterivuosi,MONTH(syyssu1+27)=9),syyssu1+27,""),IF(AND(YEAR(syyssu1+34)=Kalenterivuosi,MONTH(syyssu1+34)=9),syyssu1+34,""))</f>
        <v/>
      </c>
      <c r="I45" s="29" t="str">
        <f>IF(DAY(syyssu1)=1,IF(AND(YEAR(syyssu1+28)=Kalenterivuosi,MONTH(syyssu1+28)=9),syyssu1+28,""),IF(AND(YEAR(syyssu1+35)=Kalenterivuosi,MONTH(syyssu1+35)=9),syyssu1+35,""))</f>
        <v/>
      </c>
      <c r="K45" s="29">
        <f>IF(DAY(lokasu1)=1,IF(AND(YEAR(lokasu1+22)=Kalenterivuosi,MONTH(lokasu1+22)=10),lokasu1+22,""),IF(AND(YEAR(lokasu1+29)=Kalenterivuosi,MONTH(lokasu1+29)=10),lokasu1+29,""))</f>
        <v>44130</v>
      </c>
      <c r="L45" s="29">
        <f>IF(DAY(lokasu1)=1,IF(AND(YEAR(lokasu1+23)=Kalenterivuosi,MONTH(lokasu1+23)=10),lokasu1+23,""),IF(AND(YEAR(lokasu1+30)=Kalenterivuosi,MONTH(lokasu1+30)=10),lokasu1+30,""))</f>
        <v>44131</v>
      </c>
      <c r="M45" s="29">
        <f>IF(DAY(lokasu1)=1,IF(AND(YEAR(lokasu1+24)=Kalenterivuosi,MONTH(lokasu1+24)=10),lokasu1+24,""),IF(AND(YEAR(lokasu1+31)=Kalenterivuosi,MONTH(lokasu1+31)=10),lokasu1+31,""))</f>
        <v>44132</v>
      </c>
      <c r="N45" s="29">
        <f>IF(DAY(lokasu1)=1,IF(AND(YEAR(lokasu1+25)=Kalenterivuosi,MONTH(lokasu1+25)=10),lokasu1+25,""),IF(AND(YEAR(lokasu1+32)=Kalenterivuosi,MONTH(lokasu1+32)=10),lokasu1+32,""))</f>
        <v>44133</v>
      </c>
      <c r="O45" s="29">
        <f>IF(DAY(lokasu1)=1,IF(AND(YEAR(lokasu1+26)=Kalenterivuosi,MONTH(lokasu1+26)=10),lokasu1+26,""),IF(AND(YEAR(lokasu1+33)=Kalenterivuosi,MONTH(lokasu1+33)=10),lokasu1+33,""))</f>
        <v>44134</v>
      </c>
      <c r="P45" s="29">
        <f>IF(DAY(lokasu1)=1,IF(AND(YEAR(lokasu1+27)=Kalenterivuosi,MONTH(lokasu1+27)=10),lokasu1+27,""),IF(AND(YEAR(lokasu1+34)=Kalenterivuosi,MONTH(lokasu1+34)=10),lokasu1+34,""))</f>
        <v>44135</v>
      </c>
      <c r="Q45" s="29" t="str">
        <f>IF(DAY(lokasu1)=1,IF(AND(YEAR(lokasu1+28)=Kalenterivuosi,MONTH(lokasu1+28)=10),lokasu1+28,""),IF(AND(YEAR(lokasu1+35)=Kalenterivuosi,MONTH(lokasu1+35)=10),lokasu1+35,""))</f>
        <v/>
      </c>
      <c r="S45" s="23"/>
      <c r="U45" s="9" t="s">
        <v>52</v>
      </c>
      <c r="V45" s="24"/>
      <c r="W45" s="24"/>
    </row>
    <row r="46" spans="1:23" ht="15" customHeight="1" x14ac:dyDescent="0.2">
      <c r="A46" s="18"/>
      <c r="C46" s="29" t="str">
        <f>IF(DAY(syyssu1)=1,IF(AND(YEAR(syyssu1+29)=Kalenterivuosi,MONTH(syyssu1+29)=9),syyssu1+29,""),IF(AND(YEAR(syyssu1+36)=Kalenterivuosi,MONTH(syyssu1+36)=9),syyssu1+36,""))</f>
        <v/>
      </c>
      <c r="D46" s="29" t="str">
        <f>IF(DAY(syyssu1)=1,IF(AND(YEAR(syyssu1+30)=Kalenterivuosi,MONTH(syyssu1+30)=9),syyssu1+30,""),IF(AND(YEAR(syyssu1+37)=Kalenterivuosi,MONTH(syyssu1+37)=9),syyssu1+37,""))</f>
        <v/>
      </c>
      <c r="E46" s="29" t="str">
        <f>IF(DAY(syyssu1)=1,IF(AND(YEAR(syyssu1+31)=Kalenterivuosi,MONTH(syyssu1+31)=9),syyssu1+31,""),IF(AND(YEAR(syyssu1+38)=Kalenterivuosi,MONTH(syyssu1+38)=9),syyssu1+38,""))</f>
        <v/>
      </c>
      <c r="F46" s="29" t="str">
        <f>IF(DAY(syyssu1)=1,IF(AND(YEAR(syyssu1+32)=Kalenterivuosi,MONTH(syyssu1+32)=9),syyssu1+32,""),IF(AND(YEAR(syyssu1+39)=Kalenterivuosi,MONTH(syyssu1+39)=9),syyssu1+39,""))</f>
        <v/>
      </c>
      <c r="G46" s="29" t="str">
        <f>IF(DAY(syyssu1)=1,IF(AND(YEAR(syyssu1+33)=Kalenterivuosi,MONTH(syyssu1+33)=9),syyssu1+33,""),IF(AND(YEAR(syyssu1+40)=Kalenterivuosi,MONTH(syyssu1+40)=9),syyssu1+40,""))</f>
        <v/>
      </c>
      <c r="H46" s="29" t="str">
        <f>IF(DAY(syyssu1)=1,IF(AND(YEAR(syyssu1+34)=Kalenterivuosi,MONTH(syyssu1+34)=9),syyssu1+34,""),IF(AND(YEAR(syyssu1+41)=Kalenterivuosi,MONTH(syyssu1+41)=9),syyssu1+41,""))</f>
        <v/>
      </c>
      <c r="I46" s="29" t="str">
        <f>IF(DAY(syyssu1)=1,IF(AND(YEAR(syyssu1+35)=Kalenterivuosi,MONTH(syyssu1+35)=9),syyssu1+35,""),IF(AND(YEAR(syyssu1+42)=Kalenterivuosi,MONTH(syyssu1+42)=9),syyssu1+42,""))</f>
        <v/>
      </c>
      <c r="K46" s="29" t="str">
        <f>IF(DAY(lokasu1)=1,IF(AND(YEAR(lokasu1+29)=Kalenterivuosi,MONTH(lokasu1+29)=10),lokasu1+29,""),IF(AND(YEAR(lokasu1+36)=Kalenterivuosi,MONTH(lokasu1+36)=10),lokasu1+36,""))</f>
        <v/>
      </c>
      <c r="L46" s="29" t="str">
        <f>IF(DAY(lokasu1)=1,IF(AND(YEAR(lokasu1+30)=Kalenterivuosi,MONTH(lokasu1+30)=10),lokasu1+30,""),IF(AND(YEAR(lokasu1+37)=Kalenterivuosi,MONTH(lokasu1+37)=10),lokasu1+37,""))</f>
        <v/>
      </c>
      <c r="M46" s="29" t="str">
        <f>IF(DAY(lokasu1)=1,IF(AND(YEAR(lokasu1+31)=Kalenterivuosi,MONTH(lokasu1+31)=10),lokasu1+31,""),IF(AND(YEAR(lokasu1+38)=Kalenterivuosi,MONTH(lokasu1+38)=10),lokasu1+38,""))</f>
        <v/>
      </c>
      <c r="N46" s="29" t="str">
        <f>IF(DAY(lokasu1)=1,IF(AND(YEAR(lokasu1+32)=Kalenterivuosi,MONTH(lokasu1+32)=10),lokasu1+32,""),IF(AND(YEAR(lokasu1+39)=Kalenterivuosi,MONTH(lokasu1+39)=10),lokasu1+39,""))</f>
        <v/>
      </c>
      <c r="O46" s="29" t="str">
        <f>IF(DAY(lokasu1)=1,IF(AND(YEAR(lokasu1+33)=Kalenterivuosi,MONTH(lokasu1+33)=10),lokasu1+33,""),IF(AND(YEAR(lokasu1+40)=Kalenterivuosi,MONTH(lokasu1+40)=10),lokasu1+40,""))</f>
        <v/>
      </c>
      <c r="P46" s="29" t="str">
        <f>IF(DAY(lokasu1)=1,IF(AND(YEAR(lokasu1+34)=Kalenterivuosi,MONTH(lokasu1+34)=10),lokasu1+34,""),IF(AND(YEAR(lokasu1+41)=Kalenterivuosi,MONTH(lokasu1+41)=10),lokasu1+41,""))</f>
        <v/>
      </c>
      <c r="Q46" s="29" t="str">
        <f>IF(DAY(lokasu1)=1,IF(AND(YEAR(lokasu1+35)=Kalenterivuosi,MONTH(lokasu1+35)=10),lokasu1+35,""),IF(AND(YEAR(lokasu1+42)=Kalenterivuosi,MONTH(lokasu1+42)=10),lokasu1+42,""))</f>
        <v/>
      </c>
      <c r="S46" s="23"/>
      <c r="U46" s="9"/>
      <c r="V46" s="24"/>
      <c r="W46" s="24"/>
    </row>
    <row r="47" spans="1:23" ht="15" customHeight="1" x14ac:dyDescent="0.2">
      <c r="A47" s="18" t="s">
        <v>20</v>
      </c>
      <c r="S47" s="23"/>
      <c r="U47" s="9" t="s">
        <v>53</v>
      </c>
      <c r="V47" s="24"/>
      <c r="W47" s="24"/>
    </row>
    <row r="48" spans="1:23" ht="15" customHeight="1" x14ac:dyDescent="0.2">
      <c r="A48" s="18" t="s">
        <v>21</v>
      </c>
      <c r="C48" s="25" t="s">
        <v>31</v>
      </c>
      <c r="D48" s="25"/>
      <c r="E48" s="25"/>
      <c r="F48" s="25"/>
      <c r="G48" s="25"/>
      <c r="H48" s="25"/>
      <c r="I48" s="25"/>
      <c r="K48" s="25" t="s">
        <v>43</v>
      </c>
      <c r="L48" s="25"/>
      <c r="M48" s="25"/>
      <c r="N48" s="25"/>
      <c r="O48" s="25"/>
      <c r="P48" s="25"/>
      <c r="Q48" s="25"/>
      <c r="S48" s="23"/>
      <c r="U48" s="9" t="s">
        <v>54</v>
      </c>
      <c r="V48" s="24"/>
      <c r="W48" s="24"/>
    </row>
    <row r="49" spans="1:21" ht="15" customHeight="1" x14ac:dyDescent="0.2">
      <c r="A49" s="18" t="s">
        <v>22</v>
      </c>
      <c r="C49" s="11" t="s">
        <v>26</v>
      </c>
      <c r="D49" s="11" t="s">
        <v>32</v>
      </c>
      <c r="E49" s="11" t="s">
        <v>33</v>
      </c>
      <c r="F49" s="11" t="s">
        <v>34</v>
      </c>
      <c r="G49" s="11" t="s">
        <v>35</v>
      </c>
      <c r="H49" s="11" t="s">
        <v>36</v>
      </c>
      <c r="I49" s="11" t="s">
        <v>37</v>
      </c>
      <c r="J49" s="22"/>
      <c r="K49" s="11" t="s">
        <v>26</v>
      </c>
      <c r="L49" s="11" t="s">
        <v>32</v>
      </c>
      <c r="M49" s="11" t="s">
        <v>33</v>
      </c>
      <c r="N49" s="11" t="s">
        <v>34</v>
      </c>
      <c r="O49" s="11" t="s">
        <v>35</v>
      </c>
      <c r="P49" s="11" t="s">
        <v>36</v>
      </c>
      <c r="Q49" s="11" t="s">
        <v>37</v>
      </c>
      <c r="S49" s="23"/>
      <c r="U49" s="9" t="s">
        <v>55</v>
      </c>
    </row>
    <row r="50" spans="1:21" ht="15" customHeight="1" x14ac:dyDescent="0.2">
      <c r="A50" s="18"/>
      <c r="C50" s="29" t="str">
        <f>IF(DAY(marrassu1)=1,"",IF(AND(YEAR(marrassu1+1)=Kalenterivuosi,MONTH(marrassu1+1)=11),marrassu1+1,""))</f>
        <v/>
      </c>
      <c r="D50" s="29" t="str">
        <f>IF(DAY(marrassu1)=1,"",IF(AND(YEAR(marrassu1+2)=Kalenterivuosi,MONTH(marrassu1+2)=11),marrassu1+2,""))</f>
        <v/>
      </c>
      <c r="E50" s="29" t="str">
        <f>IF(DAY(marrassu1)=1,"",IF(AND(YEAR(marrassu1+3)=Kalenterivuosi,MONTH(marrassu1+3)=11),marrassu1+3,""))</f>
        <v/>
      </c>
      <c r="F50" s="29" t="str">
        <f>IF(DAY(marrassu1)=1,"",IF(AND(YEAR(marrassu1+4)=Kalenterivuosi,MONTH(marrassu1+4)=11),marrassu1+4,""))</f>
        <v/>
      </c>
      <c r="G50" s="29" t="str">
        <f>IF(DAY(marrassu1)=1,"",IF(AND(YEAR(marrassu1+5)=Kalenterivuosi,MONTH(marrassu1+5)=11),marrassu1+5,""))</f>
        <v/>
      </c>
      <c r="H50" s="29" t="str">
        <f>IF(DAY(marrassu1)=1,"",IF(AND(YEAR(marrassu1+6)=Kalenterivuosi,MONTH(marrassu1+6)=11),marrassu1+6,""))</f>
        <v/>
      </c>
      <c r="I50" s="29">
        <f>IF(DAY(marrassu1)=1,IF(AND(YEAR(marrassu1)=Kalenterivuosi,MONTH(marrassu1)=11),marrassu1,""),IF(AND(YEAR(marrassu1+7)=Kalenterivuosi,MONTH(marrassu1+7)=11),marrassu1+7,""))</f>
        <v>44136</v>
      </c>
      <c r="K50" s="29" t="str">
        <f>IF(DAY(joulusu1)=1,"",IF(AND(YEAR(joulusu1+1)=Kalenterivuosi,MONTH(joulusu1+1)=12),joulusu1+1,""))</f>
        <v/>
      </c>
      <c r="L50" s="29">
        <f>IF(DAY(joulusu1)=1,"",IF(AND(YEAR(joulusu1+2)=Kalenterivuosi,MONTH(joulusu1+2)=12),joulusu1+2,""))</f>
        <v>44166</v>
      </c>
      <c r="M50" s="29">
        <f>IF(DAY(joulusu1)=1,"",IF(AND(YEAR(joulusu1+3)=Kalenterivuosi,MONTH(joulusu1+3)=12),joulusu1+3,""))</f>
        <v>44167</v>
      </c>
      <c r="N50" s="29">
        <f>IF(DAY(joulusu1)=1,"",IF(AND(YEAR(joulusu1+4)=Kalenterivuosi,MONTH(joulusu1+4)=12),joulusu1+4,""))</f>
        <v>44168</v>
      </c>
      <c r="O50" s="29">
        <f>IF(DAY(joulusu1)=1,"",IF(AND(YEAR(joulusu1+5)=Kalenterivuosi,MONTH(joulusu1+5)=12),joulusu1+5,""))</f>
        <v>44169</v>
      </c>
      <c r="P50" s="29">
        <f>IF(DAY(joulusu1)=1,"",IF(AND(YEAR(joulusu1+6)=Kalenterivuosi,MONTH(joulusu1+6)=12),joulusu1+6,""))</f>
        <v>44170</v>
      </c>
      <c r="Q50" s="29">
        <f>IF(DAY(joulusu1)=1,IF(AND(YEAR(joulusu1)=Kalenterivuosi,MONTH(joulusu1)=12),joulusu1,""),IF(AND(YEAR(joulusu1+7)=Kalenterivuosi,MONTH(joulusu1+7)=12),joulusu1+7,""))</f>
        <v>44171</v>
      </c>
      <c r="S50" s="23"/>
      <c r="U50" s="1"/>
    </row>
    <row r="51" spans="1:21" ht="15" customHeight="1" x14ac:dyDescent="0.2">
      <c r="A51" s="18" t="s">
        <v>23</v>
      </c>
      <c r="C51" s="29">
        <f>IF(DAY(marrassu1)=1,IF(AND(YEAR(marrassu1+1)=Kalenterivuosi,MONTH(marrassu1+1)=11),marrassu1+1,""),IF(AND(YEAR(marrassu1+8)=Kalenterivuosi,MONTH(marrassu1+8)=11),marrassu1+8,""))</f>
        <v>44137</v>
      </c>
      <c r="D51" s="29">
        <f>IF(DAY(marrassu1)=1,IF(AND(YEAR(marrassu1+2)=Kalenterivuosi,MONTH(marrassu1+2)=11),marrassu1+2,""),IF(AND(YEAR(marrassu1+9)=Kalenterivuosi,MONTH(marrassu1+9)=11),marrassu1+9,""))</f>
        <v>44138</v>
      </c>
      <c r="E51" s="29">
        <f>IF(DAY(marrassu1)=1,IF(AND(YEAR(marrassu1+3)=Kalenterivuosi,MONTH(marrassu1+3)=11),marrassu1+3,""),IF(AND(YEAR(marrassu1+10)=Kalenterivuosi,MONTH(marrassu1+10)=11),marrassu1+10,""))</f>
        <v>44139</v>
      </c>
      <c r="F51" s="29">
        <f>IF(DAY(marrassu1)=1,IF(AND(YEAR(marrassu1+4)=Kalenterivuosi,MONTH(marrassu1+4)=11),marrassu1+4,""),IF(AND(YEAR(marrassu1+11)=Kalenterivuosi,MONTH(marrassu1+11)=11),marrassu1+11,""))</f>
        <v>44140</v>
      </c>
      <c r="G51" s="29">
        <f>IF(DAY(marrassu1)=1,IF(AND(YEAR(marrassu1+5)=Kalenterivuosi,MONTH(marrassu1+5)=11),marrassu1+5,""),IF(AND(YEAR(marrassu1+12)=Kalenterivuosi,MONTH(marrassu1+12)=11),marrassu1+12,""))</f>
        <v>44141</v>
      </c>
      <c r="H51" s="29">
        <f>IF(DAY(marrassu1)=1,IF(AND(YEAR(marrassu1+6)=Kalenterivuosi,MONTH(marrassu1+6)=11),marrassu1+6,""),IF(AND(YEAR(marrassu1+13)=Kalenterivuosi,MONTH(marrassu1+13)=11),marrassu1+13,""))</f>
        <v>44142</v>
      </c>
      <c r="I51" s="29">
        <f>IF(DAY(marrassu1)=1,IF(AND(YEAR(marrassu1+7)=Kalenterivuosi,MONTH(marrassu1+7)=11),marrassu1+7,""),IF(AND(YEAR(marrassu1+14)=Kalenterivuosi,MONTH(marrassu1+14)=11),marrassu1+14,""))</f>
        <v>44143</v>
      </c>
      <c r="K51" s="29">
        <f>IF(DAY(joulusu1)=1,IF(AND(YEAR(joulusu1+1)=Kalenterivuosi,MONTH(joulusu1+1)=12),joulusu1+1,""),IF(AND(YEAR(joulusu1+8)=Kalenterivuosi,MONTH(joulusu1+8)=12),joulusu1+8,""))</f>
        <v>44172</v>
      </c>
      <c r="L51" s="29">
        <f>IF(DAY(joulusu1)=1,IF(AND(YEAR(joulusu1+2)=Kalenterivuosi,MONTH(joulusu1+2)=12),joulusu1+2,""),IF(AND(YEAR(joulusu1+9)=Kalenterivuosi,MONTH(joulusu1+9)=12),joulusu1+9,""))</f>
        <v>44173</v>
      </c>
      <c r="M51" s="29">
        <f>IF(DAY(joulusu1)=1,IF(AND(YEAR(joulusu1+3)=Kalenterivuosi,MONTH(joulusu1+3)=12),joulusu1+3,""),IF(AND(YEAR(joulusu1+10)=Kalenterivuosi,MONTH(joulusu1+10)=12),joulusu1+10,""))</f>
        <v>44174</v>
      </c>
      <c r="N51" s="29">
        <f>IF(DAY(joulusu1)=1,IF(AND(YEAR(joulusu1+4)=Kalenterivuosi,MONTH(joulusu1+4)=12),joulusu1+4,""),IF(AND(YEAR(joulusu1+11)=Kalenterivuosi,MONTH(joulusu1+11)=12),joulusu1+11,""))</f>
        <v>44175</v>
      </c>
      <c r="O51" s="29">
        <f>IF(DAY(joulusu1)=1,IF(AND(YEAR(joulusu1+5)=Kalenterivuosi,MONTH(joulusu1+5)=12),joulusu1+5,""),IF(AND(YEAR(joulusu1+12)=Kalenterivuosi,MONTH(joulusu1+12)=12),joulusu1+12,""))</f>
        <v>44176</v>
      </c>
      <c r="P51" s="29">
        <f>IF(DAY(joulusu1)=1,IF(AND(YEAR(joulusu1+6)=Kalenterivuosi,MONTH(joulusu1+6)=12),joulusu1+6,""),IF(AND(YEAR(joulusu1+13)=Kalenterivuosi,MONTH(joulusu1+13)=12),joulusu1+13,""))</f>
        <v>44177</v>
      </c>
      <c r="Q51" s="29">
        <f>IF(DAY(joulusu1)=1,IF(AND(YEAR(joulusu1+7)=Kalenterivuosi,MONTH(joulusu1+7)=12),joulusu1+7,""),IF(AND(YEAR(joulusu1+14)=Kalenterivuosi,MONTH(joulusu1+14)=12),joulusu1+14,""))</f>
        <v>44178</v>
      </c>
      <c r="S51" s="23"/>
      <c r="U51" s="28" t="s">
        <v>56</v>
      </c>
    </row>
    <row r="52" spans="1:21" ht="15" customHeight="1" x14ac:dyDescent="0.2">
      <c r="C52" s="29">
        <f>IF(DAY(marrassu1)=1,IF(AND(YEAR(marrassu1+8)=Kalenterivuosi,MONTH(marrassu1+8)=11),marrassu1+8,""),IF(AND(YEAR(marrassu1+15)=Kalenterivuosi,MONTH(marrassu1+15)=11),marrassu1+15,""))</f>
        <v>44144</v>
      </c>
      <c r="D52" s="29">
        <f>IF(DAY(marrassu1)=1,IF(AND(YEAR(marrassu1+9)=Kalenterivuosi,MONTH(marrassu1+9)=11),marrassu1+9,""),IF(AND(YEAR(marrassu1+16)=Kalenterivuosi,MONTH(marrassu1+16)=11),marrassu1+16,""))</f>
        <v>44145</v>
      </c>
      <c r="E52" s="29">
        <f>IF(DAY(marrassu1)=1,IF(AND(YEAR(marrassu1+10)=Kalenterivuosi,MONTH(marrassu1+10)=11),marrassu1+10,""),IF(AND(YEAR(marrassu1+17)=Kalenterivuosi,MONTH(marrassu1+17)=11),marrassu1+17,""))</f>
        <v>44146</v>
      </c>
      <c r="F52" s="29">
        <f>IF(DAY(marrassu1)=1,IF(AND(YEAR(marrassu1+11)=Kalenterivuosi,MONTH(marrassu1+11)=11),marrassu1+11,""),IF(AND(YEAR(marrassu1+18)=Kalenterivuosi,MONTH(marrassu1+18)=11),marrassu1+18,""))</f>
        <v>44147</v>
      </c>
      <c r="G52" s="29">
        <f>IF(DAY(marrassu1)=1,IF(AND(YEAR(marrassu1+12)=Kalenterivuosi,MONTH(marrassu1+12)=11),marrassu1+12,""),IF(AND(YEAR(marrassu1+19)=Kalenterivuosi,MONTH(marrassu1+19)=11),marrassu1+19,""))</f>
        <v>44148</v>
      </c>
      <c r="H52" s="29">
        <f>IF(DAY(marrassu1)=1,IF(AND(YEAR(marrassu1+13)=Kalenterivuosi,MONTH(marrassu1+13)=11),marrassu1+13,""),IF(AND(YEAR(marrassu1+20)=Kalenterivuosi,MONTH(marrassu1+20)=11),marrassu1+20,""))</f>
        <v>44149</v>
      </c>
      <c r="I52" s="29">
        <f>IF(DAY(marrassu1)=1,IF(AND(YEAR(marrassu1+14)=Kalenterivuosi,MONTH(marrassu1+14)=11),marrassu1+14,""),IF(AND(YEAR(marrassu1+21)=Kalenterivuosi,MONTH(marrassu1+21)=11),marrassu1+21,""))</f>
        <v>44150</v>
      </c>
      <c r="K52" s="29">
        <f>IF(DAY(joulusu1)=1,IF(AND(YEAR(joulusu1+8)=Kalenterivuosi,MONTH(joulusu1+8)=12),joulusu1+8,""),IF(AND(YEAR(joulusu1+15)=Kalenterivuosi,MONTH(joulusu1+15)=12),joulusu1+15,""))</f>
        <v>44179</v>
      </c>
      <c r="L52" s="29">
        <f>IF(DAY(joulusu1)=1,IF(AND(YEAR(joulusu1+9)=Kalenterivuosi,MONTH(joulusu1+9)=12),joulusu1+9,""),IF(AND(YEAR(joulusu1+16)=Kalenterivuosi,MONTH(joulusu1+16)=12),joulusu1+16,""))</f>
        <v>44180</v>
      </c>
      <c r="M52" s="29">
        <f>IF(DAY(joulusu1)=1,IF(AND(YEAR(joulusu1+10)=Kalenterivuosi,MONTH(joulusu1+10)=12),joulusu1+10,""),IF(AND(YEAR(joulusu1+17)=Kalenterivuosi,MONTH(joulusu1+17)=12),joulusu1+17,""))</f>
        <v>44181</v>
      </c>
      <c r="N52" s="29">
        <f>IF(DAY(joulusu1)=1,IF(AND(YEAR(joulusu1+11)=Kalenterivuosi,MONTH(joulusu1+11)=12),joulusu1+11,""),IF(AND(YEAR(joulusu1+18)=Kalenterivuosi,MONTH(joulusu1+18)=12),joulusu1+18,""))</f>
        <v>44182</v>
      </c>
      <c r="O52" s="29">
        <f>IF(DAY(joulusu1)=1,IF(AND(YEAR(joulusu1+12)=Kalenterivuosi,MONTH(joulusu1+12)=12),joulusu1+12,""),IF(AND(YEAR(joulusu1+19)=Kalenterivuosi,MONTH(joulusu1+19)=12),joulusu1+19,""))</f>
        <v>44183</v>
      </c>
      <c r="P52" s="29">
        <f>IF(DAY(joulusu1)=1,IF(AND(YEAR(joulusu1+13)=Kalenterivuosi,MONTH(joulusu1+13)=12),joulusu1+13,""),IF(AND(YEAR(joulusu1+20)=Kalenterivuosi,MONTH(joulusu1+20)=12),joulusu1+20,""))</f>
        <v>44184</v>
      </c>
      <c r="Q52" s="29">
        <f>IF(DAY(joulusu1)=1,IF(AND(YEAR(joulusu1+14)=Kalenterivuosi,MONTH(joulusu1+14)=12),joulusu1+14,""),IF(AND(YEAR(joulusu1+21)=Kalenterivuosi,MONTH(joulusu1+21)=12),joulusu1+21,""))</f>
        <v>44185</v>
      </c>
      <c r="S52" s="23"/>
      <c r="U52" s="28"/>
    </row>
    <row r="53" spans="1:21" ht="15" customHeight="1" x14ac:dyDescent="0.2">
      <c r="C53" s="29">
        <f>IF(DAY(marrassu1)=1,IF(AND(YEAR(marrassu1+15)=Kalenterivuosi,MONTH(marrassu1+15)=11),marrassu1+15,""),IF(AND(YEAR(marrassu1+22)=Kalenterivuosi,MONTH(marrassu1+22)=11),marrassu1+22,""))</f>
        <v>44151</v>
      </c>
      <c r="D53" s="29">
        <f>IF(DAY(marrassu1)=1,IF(AND(YEAR(marrassu1+16)=Kalenterivuosi,MONTH(marrassu1+16)=11),marrassu1+16,""),IF(AND(YEAR(marrassu1+23)=Kalenterivuosi,MONTH(marrassu1+23)=11),marrassu1+23,""))</f>
        <v>44152</v>
      </c>
      <c r="E53" s="29">
        <f>IF(DAY(marrassu1)=1,IF(AND(YEAR(marrassu1+17)=Kalenterivuosi,MONTH(marrassu1+17)=11),marrassu1+17,""),IF(AND(YEAR(marrassu1+24)=Kalenterivuosi,MONTH(marrassu1+24)=11),marrassu1+24,""))</f>
        <v>44153</v>
      </c>
      <c r="F53" s="29">
        <f>IF(DAY(marrassu1)=1,IF(AND(YEAR(marrassu1+18)=Kalenterivuosi,MONTH(marrassu1+18)=11),marrassu1+18,""),IF(AND(YEAR(marrassu1+25)=Kalenterivuosi,MONTH(marrassu1+25)=11),marrassu1+25,""))</f>
        <v>44154</v>
      </c>
      <c r="G53" s="29">
        <f>IF(DAY(marrassu1)=1,IF(AND(YEAR(marrassu1+19)=Kalenterivuosi,MONTH(marrassu1+19)=11),marrassu1+19,""),IF(AND(YEAR(marrassu1+26)=Kalenterivuosi,MONTH(marrassu1+26)=11),marrassu1+26,""))</f>
        <v>44155</v>
      </c>
      <c r="H53" s="29">
        <f>IF(DAY(marrassu1)=1,IF(AND(YEAR(marrassu1+20)=Kalenterivuosi,MONTH(marrassu1+20)=11),marrassu1+20,""),IF(AND(YEAR(marrassu1+27)=Kalenterivuosi,MONTH(marrassu1+27)=11),marrassu1+27,""))</f>
        <v>44156</v>
      </c>
      <c r="I53" s="29">
        <f>IF(DAY(marrassu1)=1,IF(AND(YEAR(marrassu1+21)=Kalenterivuosi,MONTH(marrassu1+21)=11),marrassu1+21,""),IF(AND(YEAR(marrassu1+28)=Kalenterivuosi,MONTH(marrassu1+28)=11),marrassu1+28,""))</f>
        <v>44157</v>
      </c>
      <c r="K53" s="29">
        <f>IF(DAY(joulusu1)=1,IF(AND(YEAR(joulusu1+15)=Kalenterivuosi,MONTH(joulusu1+15)=12),joulusu1+15,""),IF(AND(YEAR(joulusu1+22)=Kalenterivuosi,MONTH(joulusu1+22)=12),joulusu1+22,""))</f>
        <v>44186</v>
      </c>
      <c r="L53" s="29">
        <f>IF(DAY(joulusu1)=1,IF(AND(YEAR(joulusu1+16)=Kalenterivuosi,MONTH(joulusu1+16)=12),joulusu1+16,""),IF(AND(YEAR(joulusu1+23)=Kalenterivuosi,MONTH(joulusu1+23)=12),joulusu1+23,""))</f>
        <v>44187</v>
      </c>
      <c r="M53" s="29">
        <f>IF(DAY(joulusu1)=1,IF(AND(YEAR(joulusu1+17)=Kalenterivuosi,MONTH(joulusu1+17)=12),joulusu1+17,""),IF(AND(YEAR(joulusu1+24)=Kalenterivuosi,MONTH(joulusu1+24)=12),joulusu1+24,""))</f>
        <v>44188</v>
      </c>
      <c r="N53" s="29">
        <f>IF(DAY(joulusu1)=1,IF(AND(YEAR(joulusu1+18)=Kalenterivuosi,MONTH(joulusu1+18)=12),joulusu1+18,""),IF(AND(YEAR(joulusu1+25)=Kalenterivuosi,MONTH(joulusu1+25)=12),joulusu1+25,""))</f>
        <v>44189</v>
      </c>
      <c r="O53" s="29">
        <f>IF(DAY(joulusu1)=1,IF(AND(YEAR(joulusu1+19)=Kalenterivuosi,MONTH(joulusu1+19)=12),joulusu1+19,""),IF(AND(YEAR(joulusu1+26)=Kalenterivuosi,MONTH(joulusu1+26)=12),joulusu1+26,""))</f>
        <v>44190</v>
      </c>
      <c r="P53" s="29">
        <f>IF(DAY(joulusu1)=1,IF(AND(YEAR(joulusu1+20)=Kalenterivuosi,MONTH(joulusu1+20)=12),joulusu1+20,""),IF(AND(YEAR(joulusu1+27)=Kalenterivuosi,MONTH(joulusu1+27)=12),joulusu1+27,""))</f>
        <v>44191</v>
      </c>
      <c r="Q53" s="29">
        <f>IF(DAY(joulusu1)=1,IF(AND(YEAR(joulusu1+21)=Kalenterivuosi,MONTH(joulusu1+21)=12),joulusu1+21,""),IF(AND(YEAR(joulusu1+28)=Kalenterivuosi,MONTH(joulusu1+28)=12),joulusu1+28,""))</f>
        <v>44192</v>
      </c>
      <c r="S53" s="23"/>
      <c r="U53" s="28"/>
    </row>
    <row r="54" spans="1:21" ht="15" customHeight="1" x14ac:dyDescent="0.2">
      <c r="C54" s="29">
        <f>IF(DAY(marrassu1)=1,IF(AND(YEAR(marrassu1+22)=Kalenterivuosi,MONTH(marrassu1+22)=11),marrassu1+22,""),IF(AND(YEAR(marrassu1+29)=Kalenterivuosi,MONTH(marrassu1+29)=11),marrassu1+29,""))</f>
        <v>44158</v>
      </c>
      <c r="D54" s="29">
        <f>IF(DAY(marrassu1)=1,IF(AND(YEAR(marrassu1+23)=Kalenterivuosi,MONTH(marrassu1+23)=11),marrassu1+23,""),IF(AND(YEAR(marrassu1+30)=Kalenterivuosi,MONTH(marrassu1+30)=11),marrassu1+30,""))</f>
        <v>44159</v>
      </c>
      <c r="E54" s="29">
        <f>IF(DAY(marrassu1)=1,IF(AND(YEAR(marrassu1+24)=Kalenterivuosi,MONTH(marrassu1+24)=11),marrassu1+24,""),IF(AND(YEAR(marrassu1+31)=Kalenterivuosi,MONTH(marrassu1+31)=11),marrassu1+31,""))</f>
        <v>44160</v>
      </c>
      <c r="F54" s="29">
        <f>IF(DAY(marrassu1)=1,IF(AND(YEAR(marrassu1+25)=Kalenterivuosi,MONTH(marrassu1+25)=11),marrassu1+25,""),IF(AND(YEAR(marrassu1+32)=Kalenterivuosi,MONTH(marrassu1+32)=11),marrassu1+32,""))</f>
        <v>44161</v>
      </c>
      <c r="G54" s="29">
        <f>IF(DAY(marrassu1)=1,IF(AND(YEAR(marrassu1+26)=Kalenterivuosi,MONTH(marrassu1+26)=11),marrassu1+26,""),IF(AND(YEAR(marrassu1+33)=Kalenterivuosi,MONTH(marrassu1+33)=11),marrassu1+33,""))</f>
        <v>44162</v>
      </c>
      <c r="H54" s="29">
        <f>IF(DAY(marrassu1)=1,IF(AND(YEAR(marrassu1+27)=Kalenterivuosi,MONTH(marrassu1+27)=11),marrassu1+27,""),IF(AND(YEAR(marrassu1+34)=Kalenterivuosi,MONTH(marrassu1+34)=11),marrassu1+34,""))</f>
        <v>44163</v>
      </c>
      <c r="I54" s="29">
        <f>IF(DAY(marrassu1)=1,IF(AND(YEAR(marrassu1+28)=Kalenterivuosi,MONTH(marrassu1+28)=11),marrassu1+28,""),IF(AND(YEAR(marrassu1+35)=Kalenterivuosi,MONTH(marrassu1+35)=11),marrassu1+35,""))</f>
        <v>44164</v>
      </c>
      <c r="K54" s="29">
        <f>IF(DAY(joulusu1)=1,IF(AND(YEAR(joulusu1+22)=Kalenterivuosi,MONTH(joulusu1+22)=12),joulusu1+22,""),IF(AND(YEAR(joulusu1+29)=Kalenterivuosi,MONTH(joulusu1+29)=12),joulusu1+29,""))</f>
        <v>44193</v>
      </c>
      <c r="L54" s="29">
        <f>IF(DAY(joulusu1)=1,IF(AND(YEAR(joulusu1+23)=Kalenterivuosi,MONTH(joulusu1+23)=12),joulusu1+23,""),IF(AND(YEAR(joulusu1+30)=Kalenterivuosi,MONTH(joulusu1+30)=12),joulusu1+30,""))</f>
        <v>44194</v>
      </c>
      <c r="M54" s="29">
        <f>IF(DAY(joulusu1)=1,IF(AND(YEAR(joulusu1+24)=Kalenterivuosi,MONTH(joulusu1+24)=12),joulusu1+24,""),IF(AND(YEAR(joulusu1+31)=Kalenterivuosi,MONTH(joulusu1+31)=12),joulusu1+31,""))</f>
        <v>44195</v>
      </c>
      <c r="N54" s="29">
        <f>IF(DAY(joulusu1)=1,IF(AND(YEAR(joulusu1+25)=Kalenterivuosi,MONTH(joulusu1+25)=12),joulusu1+25,""),IF(AND(YEAR(joulusu1+32)=Kalenterivuosi,MONTH(joulusu1+32)=12),joulusu1+32,""))</f>
        <v>44196</v>
      </c>
      <c r="O54" s="29" t="str">
        <f>IF(DAY(joulusu1)=1,IF(AND(YEAR(joulusu1+26)=Kalenterivuosi,MONTH(joulusu1+26)=12),joulusu1+26,""),IF(AND(YEAR(joulusu1+33)=Kalenterivuosi,MONTH(joulusu1+33)=12),joulusu1+33,""))</f>
        <v/>
      </c>
      <c r="P54" s="29" t="str">
        <f>IF(DAY(joulusu1)=1,IF(AND(YEAR(joulusu1+27)=Kalenterivuosi,MONTH(joulusu1+27)=12),joulusu1+27,""),IF(AND(YEAR(joulusu1+34)=Kalenterivuosi,MONTH(joulusu1+34)=12),joulusu1+34,""))</f>
        <v/>
      </c>
      <c r="Q54" s="29" t="str">
        <f>IF(DAY(joulusu1)=1,IF(AND(YEAR(joulusu1+28)=Kalenterivuosi,MONTH(joulusu1+28)=12),joulusu1+28,""),IF(AND(YEAR(joulusu1+35)=Kalenterivuosi,MONTH(joulusu1+35)=12),joulusu1+35,""))</f>
        <v/>
      </c>
      <c r="S54" s="23"/>
      <c r="U54" s="28"/>
    </row>
    <row r="55" spans="1:21" ht="15" customHeight="1" x14ac:dyDescent="0.2">
      <c r="C55" s="29">
        <f>IF(DAY(marrassu1)=1,IF(AND(YEAR(marrassu1+29)=Kalenterivuosi,MONTH(marrassu1+29)=11),marrassu1+29,""),IF(AND(YEAR(marrassu1+36)=Kalenterivuosi,MONTH(marrassu1+36)=11),marrassu1+36,""))</f>
        <v>44165</v>
      </c>
      <c r="D55" s="29" t="str">
        <f>IF(DAY(marrassu1)=1,IF(AND(YEAR(marrassu1+30)=Kalenterivuosi,MONTH(marrassu1+30)=11),marrassu1+30,""),IF(AND(YEAR(marrassu1+37)=Kalenterivuosi,MONTH(marrassu1+37)=11),marrassu1+37,""))</f>
        <v/>
      </c>
      <c r="E55" s="29" t="str">
        <f>IF(DAY(marrassu1)=1,IF(AND(YEAR(marrassu1+31)=Kalenterivuosi,MONTH(marrassu1+31)=11),marrassu1+31,""),IF(AND(YEAR(marrassu1+38)=Kalenterivuosi,MONTH(marrassu1+38)=11),marrassu1+38,""))</f>
        <v/>
      </c>
      <c r="F55" s="29" t="str">
        <f>IF(DAY(marrassu1)=1,IF(AND(YEAR(marrassu1+32)=Kalenterivuosi,MONTH(marrassu1+32)=11),marrassu1+32,""),IF(AND(YEAR(marrassu1+39)=Kalenterivuosi,MONTH(marrassu1+39)=11),marrassu1+39,""))</f>
        <v/>
      </c>
      <c r="G55" s="29" t="str">
        <f>IF(DAY(marrassu1)=1,IF(AND(YEAR(marrassu1+33)=Kalenterivuosi,MONTH(marrassu1+33)=11),marrassu1+33,""),IF(AND(YEAR(marrassu1+40)=Kalenterivuosi,MONTH(marrassu1+40)=11),marrassu1+40,""))</f>
        <v/>
      </c>
      <c r="H55" s="29" t="str">
        <f>IF(DAY(marrassu1)=1,IF(AND(YEAR(marrassu1+34)=Kalenterivuosi,MONTH(marrassu1+34)=11),marrassu1+34,""),IF(AND(YEAR(marrassu1+41)=Kalenterivuosi,MONTH(marrassu1+41)=11),marrassu1+41,""))</f>
        <v/>
      </c>
      <c r="I55" s="29" t="str">
        <f>IF(DAY(marrassu1)=1,IF(AND(YEAR(marrassu1+35)=Kalenterivuosi,MONTH(marrassu1+35)=11),marrassu1+35,""),IF(AND(YEAR(marrassu1+42)=Kalenterivuosi,MONTH(marrassu1+42)=11),marrassu1+42,""))</f>
        <v/>
      </c>
      <c r="K55" s="29" t="str">
        <f>IF(DAY(joulusu1)=1,IF(AND(YEAR(joulusu1+29)=Kalenterivuosi,MONTH(joulusu1+29)=12),joulusu1+29,""),IF(AND(YEAR(joulusu1+36)=Kalenterivuosi,MONTH(joulusu1+36)=12),joulusu1+36,""))</f>
        <v/>
      </c>
      <c r="L55" s="29" t="str">
        <f>IF(DAY(joulusu1)=1,IF(AND(YEAR(joulusu1+30)=Kalenterivuosi,MONTH(joulusu1+30)=12),joulusu1+30,""),IF(AND(YEAR(joulusu1+37)=Kalenterivuosi,MONTH(joulusu1+37)=12),joulusu1+37,""))</f>
        <v/>
      </c>
      <c r="M55" s="29" t="str">
        <f>IF(DAY(joulusu1)=1,IF(AND(YEAR(joulusu1+31)=Kalenterivuosi,MONTH(joulusu1+31)=12),joulusu1+31,""),IF(AND(YEAR(joulusu1+38)=Kalenterivuosi,MONTH(joulusu1+38)=12),joulusu1+38,""))</f>
        <v/>
      </c>
      <c r="N55" s="29" t="str">
        <f>IF(DAY(joulusu1)=1,IF(AND(YEAR(joulusu1+32)=Kalenterivuosi,MONTH(joulusu1+32)=12),joulusu1+32,""),IF(AND(YEAR(joulusu1+39)=Kalenterivuosi,MONTH(joulusu1+39)=12),joulusu1+39,""))</f>
        <v/>
      </c>
      <c r="O55" s="29" t="str">
        <f>IF(DAY(joulusu1)=1,IF(AND(YEAR(joulusu1+33)=Kalenterivuosi,MONTH(joulusu1+33)=12),joulusu1+33,""),IF(AND(YEAR(joulusu1+40)=Kalenterivuosi,MONTH(joulusu1+40)=12),joulusu1+40,""))</f>
        <v/>
      </c>
      <c r="P55" s="29" t="str">
        <f>IF(DAY(joulusu1)=1,IF(AND(YEAR(joulusu1+34)=Kalenterivuosi,MONTH(joulusu1+34)=12),joulusu1+34,""),IF(AND(YEAR(joulusu1+41)=Kalenterivuosi,MONTH(joulusu1+41)=12),joulusu1+41,""))</f>
        <v/>
      </c>
      <c r="Q55" s="29" t="str">
        <f>IF(DAY(joulusu1)=1,IF(AND(YEAR(joulusu1+35)=Kalenterivuosi,MONTH(joulusu1+35)=12),joulusu1+35,""),IF(AND(YEAR(joulusu1+42)=Kalenterivuosi,MONTH(joulusu1+42)=12),joulusu1+42,""))</f>
        <v/>
      </c>
      <c r="S55" s="23"/>
      <c r="U55" s="28"/>
    </row>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V3:W48"/>
    <mergeCell ref="C12:I12"/>
    <mergeCell ref="K12:Q12"/>
    <mergeCell ref="C21:I21"/>
    <mergeCell ref="K21:Q21"/>
    <mergeCell ref="C30:I30"/>
    <mergeCell ref="K30:Q30"/>
  </mergeCells>
  <phoneticPr fontId="6" type="noConversion"/>
  <dataValidations count="1">
    <dataValidation allowBlank="1" showInputMessage="1" showErrorMessage="1" errorTitle="Virheellinen vuosi" error="Kirjoita vuosi väliltä 1900–9999 tai etsi vuosi vierityspalkin avulla." sqref="C1" xr:uid="{00000000-0002-0000-0100-000000000000}"/>
  </dataValidations>
  <printOptions horizontalCentered="1" verticalCentered="1"/>
  <pageMargins left="0.5" right="0.5" top="0.5" bottom="0.5" header="0.3" footer="0.3"/>
  <pageSetup paperSize="9" scale="83"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Askellin">
              <controlPr defaultSize="0" print="0" autoPict="0" altText="Vaihda kalenterin vuosi askellinpainikkeen avulla tai kirjoita vuosi soluun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Aloitus</vt:lpstr>
      <vt:lpstr>Vuosikalenteri</vt:lpstr>
      <vt:lpstr>Kalenterivuosi</vt:lpstr>
      <vt:lpstr>Vuosikalenteri!Tulostusalue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2020-02-14T06:28:53Z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