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9"/>
  <workbookPr filterPrivacy="1" autoCompressPictures="0"/>
  <xr:revisionPtr revIDLastSave="0" documentId="13_ncr:1_{10EAEB0B-9F4C-4873-A1EC-CF69C839610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očetak" sheetId="2" r:id="rId1"/>
    <sheet name="Godišnji kalendar" sheetId="1" r:id="rId2"/>
  </sheets>
  <definedNames>
    <definedName name="AprSun1">DATE(KalendarskaGodina,4,1)-WEEKDAY(DATE(KalendarskaGodina,4,1))+1</definedName>
    <definedName name="AugSun1">DATE(KalendarskaGodina,8,1)-WEEKDAY(DATE(KalendarskaGodina,8,1))+1</definedName>
    <definedName name="DecSun1">DATE(KalendarskaGodina,12,1)-WEEKDAY(DATE(KalendarskaGodina,12,1))+1</definedName>
    <definedName name="FebSun1">DATE(KalendarskaGodina,2,1)-WEEKDAY(DATE(KalendarskaGodina,2,1))+1</definedName>
    <definedName name="JanSun1">DATE(KalendarskaGodina,1,1)-WEEKDAY(DATE(KalendarskaGodina,1,1))+1</definedName>
    <definedName name="JulSun1">DATE(KalendarskaGodina,7,1)-WEEKDAY(DATE(KalendarskaGodina,7,1))+1</definedName>
    <definedName name="JunSun1">DATE(KalendarskaGodina,6,1)-WEEKDAY(DATE(KalendarskaGodina,6,1))+1</definedName>
    <definedName name="KalendarskaGodina">'Godišnji kalendar'!$C$1</definedName>
    <definedName name="MarSun1">DATE(KalendarskaGodina,3,1)-WEEKDAY(DATE(KalendarskaGodina,3,1))+1</definedName>
    <definedName name="MaySun1">DATE(KalendarskaGodina,5,1)-WEEKDAY(DATE(KalendarskaGodina,5,1))+1</definedName>
    <definedName name="NovSun1">DATE(KalendarskaGodina,11,1)-WEEKDAY(DATE(KalendarskaGodina,11,1))+1</definedName>
    <definedName name="OctSun1">DATE(KalendarskaGodina,10,1)-WEEKDAY(DATE(KalendarskaGodina,10,1))+1</definedName>
    <definedName name="_xlnm.Print_Area" localSheetId="1">'Godišnji kalendar'!$B$1:$W$55</definedName>
    <definedName name="SepSun1">DATE(KalendarskaGodina,9,1)-WEEKDAY(DATE(KalendarskaGodina,9,1))+1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I10" i="1"/>
  <c r="H10" i="1"/>
  <c r="G10" i="1"/>
  <c r="F10" i="1"/>
  <c r="E10" i="1"/>
  <c r="D10" i="1"/>
  <c r="C10" i="1"/>
  <c r="Q9" i="1"/>
  <c r="P9" i="1"/>
  <c r="O9" i="1"/>
  <c r="N9" i="1"/>
  <c r="M9" i="1"/>
  <c r="L9" i="1"/>
  <c r="K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Q7" i="1"/>
  <c r="P7" i="1"/>
  <c r="O7" i="1"/>
  <c r="N7" i="1"/>
  <c r="M7" i="1"/>
  <c r="L7" i="1"/>
  <c r="K7" i="1"/>
  <c r="I7" i="1"/>
  <c r="H7" i="1"/>
  <c r="G7" i="1"/>
  <c r="F7" i="1"/>
  <c r="E7" i="1"/>
  <c r="D7" i="1"/>
  <c r="C7" i="1"/>
  <c r="Q6" i="1"/>
  <c r="P6" i="1"/>
  <c r="O6" i="1"/>
  <c r="N6" i="1"/>
  <c r="M6" i="1"/>
  <c r="L6" i="1"/>
  <c r="K6" i="1"/>
  <c r="I6" i="1"/>
  <c r="H6" i="1"/>
  <c r="G6" i="1"/>
  <c r="F6" i="1"/>
  <c r="E6" i="1"/>
  <c r="D6" i="1"/>
  <c r="C6" i="1"/>
  <c r="Q5" i="1"/>
  <c r="P5" i="1"/>
  <c r="O5" i="1"/>
  <c r="N5" i="1"/>
  <c r="M5" i="1"/>
  <c r="L5" i="1"/>
  <c r="K5" i="1"/>
  <c r="I5" i="1"/>
  <c r="H5" i="1"/>
  <c r="G5" i="1"/>
  <c r="F5" i="1"/>
  <c r="E5" i="1"/>
  <c r="D5" i="1"/>
  <c r="C5" i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<sst xmlns="http://schemas.openxmlformats.org/spreadsheetml/2006/main" count="135" uniqueCount="58">
  <si>
    <t>O OVOM PREDLOŠKU</t>
  </si>
  <si>
    <t>Pomoću ovog predloška možete kreirati osobni mali poslovni kalendar za bilo koju godinu.</t>
  </si>
  <si>
    <t>Unesite naziv tvrtke i podatke za kontakt te dodajte logotip tvrtke.</t>
  </si>
  <si>
    <t>Odaberite godinu te unesite važne datume i prilike.</t>
  </si>
  <si>
    <t>Napomena: </t>
  </si>
  <si>
    <t xml:space="preserve">dodatne su upute navedene u stupcu A na radnom listu GODIŠNJI KALENDAR. Ovaj je tekst namjerno skriven. Da biste uklonili tekst, odaberite stupac A, a zatim odaberite IZBRIŠI. </t>
  </si>
  <si>
    <t>Da biste saznali više o tablicama, pritisnite SHIFT, a zatim F10 unutar tablice pa odaberite mogućnost TABLICA, a potom ZAMJENSKI TEKST.</t>
  </si>
  <si>
    <t>Na ovom radnom listu stvorite mali poslovni kalendar za bilo koju godinu. U ćelijama u ovom stupcu nalaze se korisne upute za korištenje ovog radnog lista. Odaberite okretni gumb u ćeliji s desne strane da biste promijenili godinu u ćeliji C1. Oznaka Važni datumi nalazi se u ćeliji U1</t>
  </si>
  <si>
    <t>U ćeliji s desne strane nalazi se savjet</t>
  </si>
  <si>
    <t>Odabrani godišnji kalendar nalazi se u rasponu ćelija C3 do Q55, kalendar za siječanj u rasponu ćelija C4 do I10, a kalendar za veljaču u rasponu ćelija K4 do Q10. Oznaka Siječanj nalazi se u ćeliji C3, a Veljača u ćeliji K3. Unesite važne datume i prilike u raspon ćelija U3 do U42</t>
  </si>
  <si>
    <t>Tablica kalendara za siječanj nalazi se rasponu ćelija C4 do I10, a tablica kalendara za veljaču u rasponu ćelija K4 do Q10. Sljedeća se uputa nalazi u ćeliji A12</t>
  </si>
  <si>
    <t>Oznaka Ožujak nalazi se ćeliji C12, a Travanj u ćeliji K12</t>
  </si>
  <si>
    <t>Tablica kalendara za ožujak nalazi se u rasponu ćelija C13 do I19, a tablica kalendara za travanj u rasponu ćelija K13 do Q19. Sljedeća se uputa nalazi u ćeliji A21</t>
  </si>
  <si>
    <t>Oznaka Svibanj nalazi se u ćeliji C21, a Lipanj u ćeliji K21</t>
  </si>
  <si>
    <t>Tablica kalendara za svibanj nalazi se u rasponu ćelija C22 do I28, a tablica kalendara za lipanj u rasponu ćelija K22 do Q28. Sljedeća se uputa nalazi u ćeliji A30</t>
  </si>
  <si>
    <t>Oznaka Srpanj nalazi se u ćeliji C30, a Kolovoz u ćeliji K30</t>
  </si>
  <si>
    <t>Tablica kalendara za srpanj nalazi se u rasponu ćelija C31 do I37, a tablica kalendara za kolovoz u rasponu ćelija K31 do Q37. Sljedeća se uputa nalazi u ćeliji A39</t>
  </si>
  <si>
    <t>Oznaka Rujan nalazi se u ćeliji C39, a Listopad u ćeliji K39</t>
  </si>
  <si>
    <t>Tablica kalendara za rujan nalazi se u rasponu ćelija C40 do I46, a kalendara za listopad u rasponu ćelija K40 do Q46. Sljedeća se uputa nalazi u ćeliji A44</t>
  </si>
  <si>
    <t>U ćeliju U44 unesite adresu</t>
  </si>
  <si>
    <t>U ćeliju U45 unesite grad, županiju i poštanski broj. Sljedeća se uputa nalazi u ćeliji A47</t>
  </si>
  <si>
    <t>U ćeliju U47 unesite telefonski broj tvrtke</t>
  </si>
  <si>
    <t>Oznaka Studeni nalazi se u ćeliji C48, a Prosinac u ćeliji K48. U ćeliju U48 unesite adresu e-pošte</t>
  </si>
  <si>
    <t>Tablica kalendara za studeni nalazi se u rasponu ćelija C49 do I55, a kalendara za prosinac u rasponu ćelija K49 do Q55. Sljedeća se uputa nalazi u ćeliji A51</t>
  </si>
  <si>
    <t>U ćeliju U51 dodajte logotip tvrtke</t>
  </si>
  <si>
    <t>Da biste promijenili kalendarsku godinu, koristite okretni gumb.</t>
  </si>
  <si>
    <t>SIJEČANJ</t>
  </si>
  <si>
    <t>PON</t>
  </si>
  <si>
    <t>OŽUJAK</t>
  </si>
  <si>
    <t>SVIBANJ</t>
  </si>
  <si>
    <t>SRPANJ</t>
  </si>
  <si>
    <t>RUJAN</t>
  </si>
  <si>
    <t>STUDENI</t>
  </si>
  <si>
    <t>UTO</t>
  </si>
  <si>
    <t>SRI</t>
  </si>
  <si>
    <t>ČET</t>
  </si>
  <si>
    <t>PET</t>
  </si>
  <si>
    <t>SUB</t>
  </si>
  <si>
    <t>NED</t>
  </si>
  <si>
    <t>VELJAČA</t>
  </si>
  <si>
    <t>TRAVANJ</t>
  </si>
  <si>
    <t>LIPANJ</t>
  </si>
  <si>
    <t>KOLOVOZ</t>
  </si>
  <si>
    <t>LISTOPAD</t>
  </si>
  <si>
    <t>PROSINAC</t>
  </si>
  <si>
    <t>VAŽNI DATUMI</t>
  </si>
  <si>
    <t>1. SIJEČNJA</t>
  </si>
  <si>
    <t>NOVA GODINA</t>
  </si>
  <si>
    <t>14. VELJAČE</t>
  </si>
  <si>
    <t>VALENTINOVO</t>
  </si>
  <si>
    <t>22. VELJAČE</t>
  </si>
  <si>
    <t>DANI OTVORENIH VRATA</t>
  </si>
  <si>
    <t>Adresa</t>
  </si>
  <si>
    <t>Poštanski broj i grad</t>
  </si>
  <si>
    <t>Telefonski broj</t>
  </si>
  <si>
    <t>Adresa e-pošte</t>
  </si>
  <si>
    <t>Web-mjesto</t>
  </si>
  <si>
    <t>U ovoj se ćeliji nalazi rezervirano mjesto za logotip.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</si>
</sst>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;;;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9.5"/>
      <color theme="8" tint="-0.499984740745262"/>
      <name val="Calibri"/>
      <family val="2"/>
      <scheme val="major"/>
    </font>
    <font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8" fillId="0" borderId="2" applyNumberFormat="0" applyFill="0" applyAlignment="0" applyProtection="0"/>
  </cellStyleXfs>
  <cellXfs count="31">
    <xf numFmtId="0" fontId="0" fillId="0" borderId="0" xfId="0"/>
    <xf numFmtId="164" fontId="0" fillId="0" borderId="0" xfId="0" applyNumberFormat="1" applyAlignment="1">
      <alignment horizontal="center"/>
    </xf>
    <xf numFmtId="49" fontId="11" fillId="0" borderId="0" xfId="0" applyNumberFormat="1" applyFont="1"/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/>
    </xf>
    <xf numFmtId="0" fontId="0" fillId="3" borderId="0" xfId="0" applyFill="1"/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49" fontId="15" fillId="0" borderId="1" xfId="0" applyNumberFormat="1" applyFont="1" applyBorder="1"/>
    <xf numFmtId="49" fontId="15" fillId="0" borderId="0" xfId="0" applyNumberFormat="1" applyFont="1"/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0" fillId="3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wrapText="1"/>
    </xf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0" fontId="1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2" borderId="0" xfId="0" applyFill="1"/>
    <xf numFmtId="0" fontId="7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aslov 2" xfId="1" builtinId="17"/>
    <cellStyle name="Normalno" xfId="0" builtinId="0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$C$1" max="2999" min="1900" page="10" val="20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išće" descr="Šest listova razmještenih u parovima i samostalno na različitim udaljenostim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53350" y="685799"/>
          <a:ext cx="1085850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Okretni gumb" descr="Promijenite kalendarsku godinu pomoću okretnog gumba ili je unesite u ćeliju C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tip" descr="Rezervirano mjesto za dodavanje logotipa tvrtk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Rujan" displayName="Rujan" ref="C40:I46" totalsRowShown="0" headerRowDxfId="107" dataDxfId="106">
  <autoFilter ref="C40:I46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PON" dataDxfId="105"/>
    <tableColumn id="2" xr3:uid="{00000000-0010-0000-0000-000002000000}" name="UTO" dataDxfId="104"/>
    <tableColumn id="3" xr3:uid="{00000000-0010-0000-0000-000003000000}" name="SRI" dataDxfId="103"/>
    <tableColumn id="4" xr3:uid="{00000000-0010-0000-0000-000004000000}" name="ČET" dataDxfId="102"/>
    <tableColumn id="5" xr3:uid="{00000000-0010-0000-0000-000005000000}" name="PET" dataDxfId="101"/>
    <tableColumn id="6" xr3:uid="{00000000-0010-0000-0000-000006000000}" name="SUB" dataDxfId="100"/>
    <tableColumn id="7" xr3:uid="{00000000-0010-0000-0000-000007000000}" name="NED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rujan u ovoj tablici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ravanj" displayName="Travanj" ref="K13:Q19" totalsRowShown="0" headerRowDxfId="26" dataDxfId="25">
  <autoFilter ref="K13:Q19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PON" dataDxfId="24"/>
    <tableColumn id="2" xr3:uid="{00000000-0010-0000-0900-000002000000}" name="UTO" dataDxfId="23"/>
    <tableColumn id="3" xr3:uid="{00000000-0010-0000-0900-000003000000}" name="SRI" dataDxfId="22"/>
    <tableColumn id="4" xr3:uid="{00000000-0010-0000-0900-000004000000}" name="ČET" dataDxfId="21"/>
    <tableColumn id="5" xr3:uid="{00000000-0010-0000-0900-000005000000}" name="PET" dataDxfId="20"/>
    <tableColumn id="6" xr3:uid="{00000000-0010-0000-0900-000006000000}" name="SUB" dataDxfId="19"/>
    <tableColumn id="7" xr3:uid="{00000000-0010-0000-0900-000007000000}" name="NED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travanj u ovoj tablici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Veljača" displayName="Veljača" ref="K4:Q10" totalsRowShown="0" headerRowDxfId="17" dataDxfId="16">
  <autoFilter ref="K4:Q10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PON" dataDxfId="15"/>
    <tableColumn id="2" xr3:uid="{00000000-0010-0000-0A00-000002000000}" name="UTO" dataDxfId="14"/>
    <tableColumn id="3" xr3:uid="{00000000-0010-0000-0A00-000003000000}" name="SRI" dataDxfId="13"/>
    <tableColumn id="4" xr3:uid="{00000000-0010-0000-0A00-000004000000}" name="ČET" dataDxfId="12"/>
    <tableColumn id="5" xr3:uid="{00000000-0010-0000-0A00-000005000000}" name="PET" dataDxfId="11"/>
    <tableColumn id="6" xr3:uid="{00000000-0010-0000-0A00-000006000000}" name="SUB" dataDxfId="10"/>
    <tableColumn id="7" xr3:uid="{00000000-0010-0000-0A00-000007000000}" name="NED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veljaču u ovoj tablici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Siječanj" displayName="Siječanj" ref="C4:I10" totalsRowShown="0" headerRowDxfId="8" dataDxfId="7">
  <autoFilter ref="C4:I10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PON" dataDxfId="6"/>
    <tableColumn id="2" xr3:uid="{00000000-0010-0000-0B00-000002000000}" name="UTO" dataDxfId="5"/>
    <tableColumn id="3" xr3:uid="{00000000-0010-0000-0B00-000003000000}" name="SRI" dataDxfId="4"/>
    <tableColumn id="4" xr3:uid="{00000000-0010-0000-0B00-000004000000}" name="ČET" dataDxfId="3"/>
    <tableColumn id="5" xr3:uid="{00000000-0010-0000-0B00-000005000000}" name="PET" dataDxfId="2"/>
    <tableColumn id="6" xr3:uid="{00000000-0010-0000-0B00-000006000000}" name="SUB" dataDxfId="1"/>
    <tableColumn id="7" xr3:uid="{00000000-0010-0000-0B00-000007000000}" name="NED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siječanj u ovoj tablic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Listopad" displayName="Listopad" ref="K40:Q46" totalsRowShown="0" headerRowDxfId="98" dataDxfId="97">
  <autoFilter ref="K40:Q4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N" dataDxfId="96"/>
    <tableColumn id="2" xr3:uid="{00000000-0010-0000-0100-000002000000}" name="UTO" dataDxfId="95"/>
    <tableColumn id="3" xr3:uid="{00000000-0010-0000-0100-000003000000}" name="SRI" dataDxfId="94"/>
    <tableColumn id="4" xr3:uid="{00000000-0010-0000-0100-000004000000}" name="ČET" dataDxfId="93"/>
    <tableColumn id="5" xr3:uid="{00000000-0010-0000-0100-000005000000}" name="PET" dataDxfId="92"/>
    <tableColumn id="6" xr3:uid="{00000000-0010-0000-0100-000006000000}" name="SUB" dataDxfId="91"/>
    <tableColumn id="7" xr3:uid="{00000000-0010-0000-0100-000007000000}" name="NED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listopad u ovoj tablic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Prosinac" displayName="Prosinac" ref="K49:Q55" totalsRowShown="0" headerRowDxfId="89" dataDxfId="88">
  <autoFilter ref="K49:Q55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N" dataDxfId="87"/>
    <tableColumn id="2" xr3:uid="{00000000-0010-0000-0200-000002000000}" name="UTO" dataDxfId="86"/>
    <tableColumn id="3" xr3:uid="{00000000-0010-0000-0200-000003000000}" name="SRI" dataDxfId="85"/>
    <tableColumn id="4" xr3:uid="{00000000-0010-0000-0200-000004000000}" name="ČET" dataDxfId="84"/>
    <tableColumn id="5" xr3:uid="{00000000-0010-0000-0200-000005000000}" name="PET" dataDxfId="83"/>
    <tableColumn id="6" xr3:uid="{00000000-0010-0000-0200-000006000000}" name="SUB" dataDxfId="82"/>
    <tableColumn id="7" xr3:uid="{00000000-0010-0000-0200-000007000000}" name="NED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prosinac u ovoj tablic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Studeni" displayName="Studeni" ref="C49:I55" totalsRowShown="0" headerRowDxfId="80" dataDxfId="79">
  <autoFilter ref="C49:I55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PON" dataDxfId="78"/>
    <tableColumn id="2" xr3:uid="{00000000-0010-0000-0300-000002000000}" name="UTO" dataDxfId="77"/>
    <tableColumn id="3" xr3:uid="{00000000-0010-0000-0300-000003000000}" name="SRI" dataDxfId="76"/>
    <tableColumn id="4" xr3:uid="{00000000-0010-0000-0300-000004000000}" name="ČET" dataDxfId="75"/>
    <tableColumn id="5" xr3:uid="{00000000-0010-0000-0300-000005000000}" name="PET" dataDxfId="74"/>
    <tableColumn id="6" xr3:uid="{00000000-0010-0000-0300-000006000000}" name="SUB" dataDxfId="73"/>
    <tableColumn id="7" xr3:uid="{00000000-0010-0000-0300-000007000000}" name="NED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studeni u ovoj tablic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Kolovoz" displayName="Kolovoz" ref="K31:Q37" totalsRowShown="0" headerRowDxfId="71" dataDxfId="70">
  <autoFilter ref="K31:Q37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PON" dataDxfId="69"/>
    <tableColumn id="2" xr3:uid="{00000000-0010-0000-0400-000002000000}" name="UTO" dataDxfId="68"/>
    <tableColumn id="3" xr3:uid="{00000000-0010-0000-0400-000003000000}" name="SRI" dataDxfId="67"/>
    <tableColumn id="4" xr3:uid="{00000000-0010-0000-0400-000004000000}" name="ČET" dataDxfId="66"/>
    <tableColumn id="5" xr3:uid="{00000000-0010-0000-0400-000005000000}" name="PET" dataDxfId="65"/>
    <tableColumn id="6" xr3:uid="{00000000-0010-0000-0400-000006000000}" name="SUB" dataDxfId="64"/>
    <tableColumn id="7" xr3:uid="{00000000-0010-0000-0400-000007000000}" name="NED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kolovoz u ovoj tablic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Srpanj" displayName="Srpanj" ref="C31:I37" totalsRowShown="0" headerRowDxfId="62" dataDxfId="61">
  <autoFilter ref="C31:I37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PON" dataDxfId="60"/>
    <tableColumn id="2" xr3:uid="{00000000-0010-0000-0500-000002000000}" name="UTO" dataDxfId="59"/>
    <tableColumn id="3" xr3:uid="{00000000-0010-0000-0500-000003000000}" name="SRI" dataDxfId="58"/>
    <tableColumn id="4" xr3:uid="{00000000-0010-0000-0500-000004000000}" name="ČET" dataDxfId="57"/>
    <tableColumn id="5" xr3:uid="{00000000-0010-0000-0500-000005000000}" name="PET" dataDxfId="56"/>
    <tableColumn id="6" xr3:uid="{00000000-0010-0000-0500-000006000000}" name="SUB" dataDxfId="55"/>
    <tableColumn id="7" xr3:uid="{00000000-0010-0000-0500-000007000000}" name="NED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srpanj u ovoj tablici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Lipanj" displayName="Lipanj" ref="K22:Q28" totalsRowShown="0" headerRowDxfId="53" dataDxfId="52">
  <autoFilter ref="K22:Q28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PON" dataDxfId="51"/>
    <tableColumn id="2" xr3:uid="{00000000-0010-0000-0600-000002000000}" name="UTO" dataDxfId="50"/>
    <tableColumn id="3" xr3:uid="{00000000-0010-0000-0600-000003000000}" name="SRI" dataDxfId="49"/>
    <tableColumn id="4" xr3:uid="{00000000-0010-0000-0600-000004000000}" name="ČET" dataDxfId="48"/>
    <tableColumn id="5" xr3:uid="{00000000-0010-0000-0600-000005000000}" name="PET" dataDxfId="47"/>
    <tableColumn id="6" xr3:uid="{00000000-0010-0000-0600-000006000000}" name="SUB" dataDxfId="46"/>
    <tableColumn id="7" xr3:uid="{00000000-0010-0000-0600-000007000000}" name="NED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lipanj u ovoj tablici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Svibanj" displayName="Svibanj" ref="C22:I28" totalsRowShown="0" headerRowDxfId="44" dataDxfId="43">
  <autoFilter ref="C22:I2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PON" dataDxfId="42"/>
    <tableColumn id="2" xr3:uid="{00000000-0010-0000-0700-000002000000}" name="UTO" dataDxfId="41"/>
    <tableColumn id="3" xr3:uid="{00000000-0010-0000-0700-000003000000}" name="SRI" dataDxfId="40"/>
    <tableColumn id="4" xr3:uid="{00000000-0010-0000-0700-000004000000}" name="ČET" dataDxfId="39"/>
    <tableColumn id="5" xr3:uid="{00000000-0010-0000-0700-000005000000}" name="PET" dataDxfId="38"/>
    <tableColumn id="6" xr3:uid="{00000000-0010-0000-0700-000006000000}" name="SUB" dataDxfId="37"/>
    <tableColumn id="7" xr3:uid="{00000000-0010-0000-0700-000007000000}" name="NED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svibanj u ovoj tablici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Ožujak" displayName="Ožujak" ref="C13:I19" totalsRowShown="0" headerRowDxfId="35" dataDxfId="34">
  <autoFilter ref="C13:I19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PON" dataDxfId="33"/>
    <tableColumn id="2" xr3:uid="{00000000-0010-0000-0800-000002000000}" name="UTO" dataDxfId="32"/>
    <tableColumn id="3" xr3:uid="{00000000-0010-0000-0800-000003000000}" name="SRI" dataDxfId="31"/>
    <tableColumn id="4" xr3:uid="{00000000-0010-0000-0800-000004000000}" name="ČET" dataDxfId="30"/>
    <tableColumn id="5" xr3:uid="{00000000-0010-0000-0800-000005000000}" name="PET" dataDxfId="29"/>
    <tableColumn id="6" xr3:uid="{00000000-0010-0000-0800-000006000000}" name="SUB" dataDxfId="28"/>
    <tableColumn id="7" xr3:uid="{00000000-0010-0000-0800-000007000000}" name="NED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azivi dana u tjednu i datumi automatski se ažuriraju u kalendaru za ožujak u ovoj tablici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B1:B8"/>
  <sheetViews>
    <sheetView showGridLines="0" tabSelected="1" workbookViewId="0"/>
  </sheetViews>
  <sheetFormatPr defaultRowHeight="11.25" x14ac:dyDescent="0.2"/>
  <cols>
    <col min="1" max="1" width="2.83203125" customWidth="1"/>
    <col min="2" max="2" width="97.33203125" style="17" customWidth="1"/>
    <col min="3" max="3" width="2.83203125" customWidth="1"/>
  </cols>
  <sheetData>
    <row r="1" spans="2:2" ht="30" customHeight="1" x14ac:dyDescent="0.2">
      <c r="B1" s="14" t="s">
        <v>0</v>
      </c>
    </row>
    <row r="2" spans="2:2" ht="30" customHeight="1" x14ac:dyDescent="0.2">
      <c r="B2" s="13" t="s">
        <v>1</v>
      </c>
    </row>
    <row r="3" spans="2:2" ht="30" customHeight="1" x14ac:dyDescent="0.2">
      <c r="B3" s="13" t="s">
        <v>2</v>
      </c>
    </row>
    <row r="4" spans="2:2" ht="30" customHeight="1" x14ac:dyDescent="0.2">
      <c r="B4" s="13" t="s">
        <v>3</v>
      </c>
    </row>
    <row r="5" spans="2:2" ht="30" customHeight="1" x14ac:dyDescent="0.25">
      <c r="B5" s="16" t="s">
        <v>4</v>
      </c>
    </row>
    <row r="6" spans="2:2" ht="65.25" customHeight="1" x14ac:dyDescent="0.2">
      <c r="B6" s="21" t="s">
        <v>5</v>
      </c>
    </row>
    <row r="7" spans="2:2" ht="30" x14ac:dyDescent="0.2">
      <c r="B7" s="15" t="s">
        <v>6</v>
      </c>
    </row>
    <row r="8" spans="2:2" ht="15" x14ac:dyDescent="0.2">
      <c r="B8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W69"/>
  <sheetViews>
    <sheetView showGridLines="0" zoomScaleNormal="100" workbookViewId="0"/>
  </sheetViews>
  <sheetFormatPr defaultColWidth="9.5" defaultRowHeight="11.25" x14ac:dyDescent="0.2"/>
  <cols>
    <col min="1" max="1" width="2.5" style="20" customWidth="1"/>
    <col min="2" max="2" width="5.1640625" customWidth="1"/>
    <col min="3" max="17" width="5" customWidth="1"/>
    <col min="18" max="18" width="2.1640625" customWidth="1"/>
    <col min="19" max="19" width="1.1640625" customWidth="1"/>
    <col min="20" max="20" width="5.1640625" customWidth="1"/>
    <col min="21" max="21" width="42" customWidth="1"/>
    <col min="22" max="22" width="9.33203125" customWidth="1"/>
    <col min="23" max="23" width="13.5" customWidth="1"/>
    <col min="24" max="24" width="2.83203125" customWidth="1"/>
    <col min="25" max="43" width="9.33203125" customWidth="1"/>
    <col min="44" max="44" width="9.5" customWidth="1"/>
  </cols>
  <sheetData>
    <row r="1" spans="1:23" ht="30" customHeight="1" x14ac:dyDescent="0.2">
      <c r="A1" s="18" t="s">
        <v>7</v>
      </c>
      <c r="B1" s="5"/>
      <c r="C1" s="26">
        <v>2020</v>
      </c>
      <c r="D1" s="26"/>
      <c r="E1" s="26"/>
      <c r="F1" s="2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5"/>
      <c r="T1" s="5"/>
      <c r="U1" s="8" t="s">
        <v>45</v>
      </c>
      <c r="V1" s="5"/>
      <c r="W1" s="5"/>
    </row>
    <row r="2" spans="1:23" ht="15" customHeight="1" x14ac:dyDescent="0.2">
      <c r="A2" s="19" t="s">
        <v>8</v>
      </c>
      <c r="B2" s="29" t="s">
        <v>25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S2" s="25"/>
    </row>
    <row r="3" spans="1:23" ht="15" customHeight="1" x14ac:dyDescent="0.25">
      <c r="A3" s="20" t="s">
        <v>9</v>
      </c>
      <c r="C3" s="27" t="s">
        <v>26</v>
      </c>
      <c r="D3" s="27"/>
      <c r="E3" s="27"/>
      <c r="F3" s="27"/>
      <c r="G3" s="27"/>
      <c r="H3" s="27"/>
      <c r="I3" s="27"/>
      <c r="J3" s="22"/>
      <c r="K3" s="27" t="s">
        <v>39</v>
      </c>
      <c r="L3" s="27"/>
      <c r="M3" s="27"/>
      <c r="N3" s="27"/>
      <c r="O3" s="27"/>
      <c r="P3" s="27"/>
      <c r="Q3" s="27"/>
      <c r="S3" s="25"/>
      <c r="U3" s="11" t="s">
        <v>46</v>
      </c>
      <c r="V3" s="30"/>
      <c r="W3" s="30"/>
    </row>
    <row r="4" spans="1:23" ht="15" customHeight="1" x14ac:dyDescent="0.2">
      <c r="A4" s="19" t="s">
        <v>10</v>
      </c>
      <c r="C4" s="12" t="s">
        <v>27</v>
      </c>
      <c r="D4" s="12" t="s">
        <v>33</v>
      </c>
      <c r="E4" s="12" t="s">
        <v>34</v>
      </c>
      <c r="F4" s="12" t="s">
        <v>35</v>
      </c>
      <c r="G4" s="12" t="s">
        <v>36</v>
      </c>
      <c r="H4" s="12" t="s">
        <v>37</v>
      </c>
      <c r="I4" s="12" t="s">
        <v>38</v>
      </c>
      <c r="J4" s="23"/>
      <c r="K4" s="12" t="s">
        <v>27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37</v>
      </c>
      <c r="Q4" s="12" t="s">
        <v>38</v>
      </c>
      <c r="S4" s="25"/>
      <c r="U4" s="4" t="s">
        <v>47</v>
      </c>
      <c r="V4" s="30"/>
      <c r="W4" s="30"/>
    </row>
    <row r="5" spans="1:23" ht="15" customHeight="1" x14ac:dyDescent="0.2">
      <c r="A5" s="19"/>
      <c r="C5" s="1" t="str">
        <f>IF(DAY(JanSun1)=1,"",IF(AND(YEAR(JanSun1+1)=KalendarskaGodina,MONTH(JanSun1+1)=1),JanSun1+1,""))</f>
        <v/>
      </c>
      <c r="D5" s="1" t="str">
        <f>IF(DAY(JanSun1)=1,"",IF(AND(YEAR(JanSun1+2)=KalendarskaGodina,MONTH(JanSun1+2)=1),JanSun1+2,""))</f>
        <v/>
      </c>
      <c r="E5" s="1">
        <f>IF(DAY(JanSun1)=1,"",IF(AND(YEAR(JanSun1+3)=KalendarskaGodina,MONTH(JanSun1+3)=1),JanSun1+3,""))</f>
        <v>43831</v>
      </c>
      <c r="F5" s="1">
        <f>IF(DAY(JanSun1)=1,"",IF(AND(YEAR(JanSun1+4)=KalendarskaGodina,MONTH(JanSun1+4)=1),JanSun1+4,""))</f>
        <v>43832</v>
      </c>
      <c r="G5" s="1">
        <f>IF(DAY(JanSun1)=1,"",IF(AND(YEAR(JanSun1+5)=KalendarskaGodina,MONTH(JanSun1+5)=1),JanSun1+5,""))</f>
        <v>43833</v>
      </c>
      <c r="H5" s="1">
        <f>IF(DAY(JanSun1)=1,"",IF(AND(YEAR(JanSun1+6)=KalendarskaGodina,MONTH(JanSun1+6)=1),JanSun1+6,""))</f>
        <v>43834</v>
      </c>
      <c r="I5" s="1">
        <f>IF(DAY(JanSun1)=1,IF(AND(YEAR(JanSun1)=KalendarskaGodina,MONTH(JanSun1)=1),JanSun1,""),IF(AND(YEAR(JanSun1+7)=KalendarskaGodina,MONTH(JanSun1+7)=1),JanSun1+7,""))</f>
        <v>43835</v>
      </c>
      <c r="J5" s="23"/>
      <c r="K5" s="1" t="str">
        <f>IF(DAY(FebSun1)=1,"",IF(AND(YEAR(FebSun1+1)=KalendarskaGodina,MONTH(FebSun1+1)=2),FebSun1+1,""))</f>
        <v/>
      </c>
      <c r="L5" s="1" t="str">
        <f>IF(DAY(FebSun1)=1,"",IF(AND(YEAR(FebSun1+2)=KalendarskaGodina,MONTH(FebSun1+2)=2),FebSun1+2,""))</f>
        <v/>
      </c>
      <c r="M5" s="1" t="str">
        <f>IF(DAY(FebSun1)=1,"",IF(AND(YEAR(FebSun1+3)=KalendarskaGodina,MONTH(FebSun1+3)=2),FebSun1+3,""))</f>
        <v/>
      </c>
      <c r="N5" s="1" t="str">
        <f>IF(DAY(FebSun1)=1,"",IF(AND(YEAR(FebSun1+4)=KalendarskaGodina,MONTH(FebSun1+4)=2),FebSun1+4,""))</f>
        <v/>
      </c>
      <c r="O5" s="1" t="str">
        <f>IF(DAY(FebSun1)=1,"",IF(AND(YEAR(FebSun1+5)=KalendarskaGodina,MONTH(FebSun1+5)=2),FebSun1+5,""))</f>
        <v/>
      </c>
      <c r="P5" s="1">
        <f>IF(DAY(FebSun1)=1,"",IF(AND(YEAR(FebSun1+6)=KalendarskaGodina,MONTH(FebSun1+6)=2),FebSun1+6,""))</f>
        <v>43862</v>
      </c>
      <c r="Q5" s="1">
        <f>IF(DAY(FebSun1)=1,IF(AND(YEAR(FebSun1)=KalendarskaGodina,MONTH(FebSun1)=2),FebSun1,""),IF(AND(YEAR(FebSun1+7)=KalendarskaGodina,MONTH(FebSun1+7)=2),FebSun1+7,""))</f>
        <v>43863</v>
      </c>
      <c r="S5" s="25"/>
      <c r="U5" s="3"/>
      <c r="V5" s="30"/>
      <c r="W5" s="30"/>
    </row>
    <row r="6" spans="1:23" ht="15" customHeight="1" x14ac:dyDescent="0.2">
      <c r="A6" s="19"/>
      <c r="C6" s="1">
        <f>IF(DAY(JanSun1)=1,IF(AND(YEAR(JanSun1+1)=KalendarskaGodina,MONTH(JanSun1+1)=1),JanSun1+1,""),IF(AND(YEAR(JanSun1+8)=KalendarskaGodina,MONTH(JanSun1+8)=1),JanSun1+8,""))</f>
        <v>43836</v>
      </c>
      <c r="D6" s="1">
        <f>IF(DAY(JanSun1)=1,IF(AND(YEAR(JanSun1+2)=KalendarskaGodina,MONTH(JanSun1+2)=1),JanSun1+2,""),IF(AND(YEAR(JanSun1+9)=KalendarskaGodina,MONTH(JanSun1+9)=1),JanSun1+9,""))</f>
        <v>43837</v>
      </c>
      <c r="E6" s="1">
        <f>IF(DAY(JanSun1)=1,IF(AND(YEAR(JanSun1+3)=KalendarskaGodina,MONTH(JanSun1+3)=1),JanSun1+3,""),IF(AND(YEAR(JanSun1+10)=KalendarskaGodina,MONTH(JanSun1+10)=1),JanSun1+10,""))</f>
        <v>43838</v>
      </c>
      <c r="F6" s="1">
        <f>IF(DAY(JanSun1)=1,IF(AND(YEAR(JanSun1+4)=KalendarskaGodina,MONTH(JanSun1+4)=1),JanSun1+4,""),IF(AND(YEAR(JanSun1+11)=KalendarskaGodina,MONTH(JanSun1+11)=1),JanSun1+11,""))</f>
        <v>43839</v>
      </c>
      <c r="G6" s="1">
        <f>IF(DAY(JanSun1)=1,IF(AND(YEAR(JanSun1+5)=KalendarskaGodina,MONTH(JanSun1+5)=1),JanSun1+5,""),IF(AND(YEAR(JanSun1+12)=KalendarskaGodina,MONTH(JanSun1+12)=1),JanSun1+12,""))</f>
        <v>43840</v>
      </c>
      <c r="H6" s="1">
        <f>IF(DAY(JanSun1)=1,IF(AND(YEAR(JanSun1+6)=KalendarskaGodina,MONTH(JanSun1+6)=1),JanSun1+6,""),IF(AND(YEAR(JanSun1+13)=KalendarskaGodina,MONTH(JanSun1+13)=1),JanSun1+13,""))</f>
        <v>43841</v>
      </c>
      <c r="I6" s="1">
        <f>IF(DAY(JanSun1)=1,IF(AND(YEAR(JanSun1+7)=KalendarskaGodina,MONTH(JanSun1+7)=1),JanSun1+7,""),IF(AND(YEAR(JanSun1+14)=KalendarskaGodina,MONTH(JanSun1+14)=1),JanSun1+14,""))</f>
        <v>43842</v>
      </c>
      <c r="J6" s="23"/>
      <c r="K6" s="1">
        <f>IF(DAY(FebSun1)=1,IF(AND(YEAR(FebSun1+1)=KalendarskaGodina,MONTH(FebSun1+1)=2),FebSun1+1,""),IF(AND(YEAR(FebSun1+8)=KalendarskaGodina,MONTH(FebSun1+8)=2),FebSun1+8,""))</f>
        <v>43864</v>
      </c>
      <c r="L6" s="1">
        <f>IF(DAY(FebSun1)=1,IF(AND(YEAR(FebSun1+2)=KalendarskaGodina,MONTH(FebSun1+2)=2),FebSun1+2,""),IF(AND(YEAR(FebSun1+9)=KalendarskaGodina,MONTH(FebSun1+9)=2),FebSun1+9,""))</f>
        <v>43865</v>
      </c>
      <c r="M6" s="1">
        <f>IF(DAY(FebSun1)=1,IF(AND(YEAR(FebSun1+3)=KalendarskaGodina,MONTH(FebSun1+3)=2),FebSun1+3,""),IF(AND(YEAR(FebSun1+10)=KalendarskaGodina,MONTH(FebSun1+10)=2),FebSun1+10,""))</f>
        <v>43866</v>
      </c>
      <c r="N6" s="1">
        <f>IF(DAY(FebSun1)=1,IF(AND(YEAR(FebSun1+4)=KalendarskaGodina,MONTH(FebSun1+4)=2),FebSun1+4,""),IF(AND(YEAR(FebSun1+11)=KalendarskaGodina,MONTH(FebSun1+11)=2),FebSun1+11,""))</f>
        <v>43867</v>
      </c>
      <c r="O6" s="1">
        <f>IF(DAY(FebSun1)=1,IF(AND(YEAR(FebSun1+5)=KalendarskaGodina,MONTH(FebSun1+5)=2),FebSun1+5,""),IF(AND(YEAR(FebSun1+12)=KalendarskaGodina,MONTH(FebSun1+12)=2),FebSun1+12,""))</f>
        <v>43868</v>
      </c>
      <c r="P6" s="1">
        <f>IF(DAY(FebSun1)=1,IF(AND(YEAR(FebSun1+6)=KalendarskaGodina,MONTH(FebSun1+6)=2),FebSun1+6,""),IF(AND(YEAR(FebSun1+13)=KalendarskaGodina,MONTH(FebSun1+13)=2),FebSun1+13,""))</f>
        <v>43869</v>
      </c>
      <c r="Q6" s="1">
        <f>IF(DAY(FebSun1)=1,IF(AND(YEAR(FebSun1+7)=KalendarskaGodina,MONTH(FebSun1+7)=2),FebSun1+7,""),IF(AND(YEAR(FebSun1+14)=KalendarskaGodina,MONTH(FebSun1+14)=2),FebSun1+14,""))</f>
        <v>43870</v>
      </c>
      <c r="S6" s="25"/>
      <c r="U6" s="11" t="s">
        <v>48</v>
      </c>
      <c r="V6" s="30"/>
      <c r="W6" s="30"/>
    </row>
    <row r="7" spans="1:23" ht="15" customHeight="1" x14ac:dyDescent="0.2">
      <c r="C7" s="1">
        <f>IF(DAY(JanSun1)=1,IF(AND(YEAR(JanSun1+8)=KalendarskaGodina,MONTH(JanSun1+8)=1),JanSun1+8,""),IF(AND(YEAR(JanSun1+15)=KalendarskaGodina,MONTH(JanSun1+15)=1),JanSun1+15,""))</f>
        <v>43843</v>
      </c>
      <c r="D7" s="1">
        <f>IF(DAY(JanSun1)=1,IF(AND(YEAR(JanSun1+9)=KalendarskaGodina,MONTH(JanSun1+9)=1),JanSun1+9,""),IF(AND(YEAR(JanSun1+16)=KalendarskaGodina,MONTH(JanSun1+16)=1),JanSun1+16,""))</f>
        <v>43844</v>
      </c>
      <c r="E7" s="1">
        <f>IF(DAY(JanSun1)=1,IF(AND(YEAR(JanSun1+10)=KalendarskaGodina,MONTH(JanSun1+10)=1),JanSun1+10,""),IF(AND(YEAR(JanSun1+17)=KalendarskaGodina,MONTH(JanSun1+17)=1),JanSun1+17,""))</f>
        <v>43845</v>
      </c>
      <c r="F7" s="1">
        <f>IF(DAY(JanSun1)=1,IF(AND(YEAR(JanSun1+11)=KalendarskaGodina,MONTH(JanSun1+11)=1),JanSun1+11,""),IF(AND(YEAR(JanSun1+18)=KalendarskaGodina,MONTH(JanSun1+18)=1),JanSun1+18,""))</f>
        <v>43846</v>
      </c>
      <c r="G7" s="1">
        <f>IF(DAY(JanSun1)=1,IF(AND(YEAR(JanSun1+12)=KalendarskaGodina,MONTH(JanSun1+12)=1),JanSun1+12,""),IF(AND(YEAR(JanSun1+19)=KalendarskaGodina,MONTH(JanSun1+19)=1),JanSun1+19,""))</f>
        <v>43847</v>
      </c>
      <c r="H7" s="1">
        <f>IF(DAY(JanSun1)=1,IF(AND(YEAR(JanSun1+13)=KalendarskaGodina,MONTH(JanSun1+13)=1),JanSun1+13,""),IF(AND(YEAR(JanSun1+20)=KalendarskaGodina,MONTH(JanSun1+20)=1),JanSun1+20,""))</f>
        <v>43848</v>
      </c>
      <c r="I7" s="1">
        <f>IF(DAY(JanSun1)=1,IF(AND(YEAR(JanSun1+14)=KalendarskaGodina,MONTH(JanSun1+14)=1),JanSun1+14,""),IF(AND(YEAR(JanSun1+21)=KalendarskaGodina,MONTH(JanSun1+21)=1),JanSun1+21,""))</f>
        <v>43849</v>
      </c>
      <c r="J7" s="23"/>
      <c r="K7" s="1">
        <f>IF(DAY(FebSun1)=1,IF(AND(YEAR(FebSun1+8)=KalendarskaGodina,MONTH(FebSun1+8)=2),FebSun1+8,""),IF(AND(YEAR(FebSun1+15)=KalendarskaGodina,MONTH(FebSun1+15)=2),FebSun1+15,""))</f>
        <v>43871</v>
      </c>
      <c r="L7" s="1">
        <f>IF(DAY(FebSun1)=1,IF(AND(YEAR(FebSun1+9)=KalendarskaGodina,MONTH(FebSun1+9)=2),FebSun1+9,""),IF(AND(YEAR(FebSun1+16)=KalendarskaGodina,MONTH(FebSun1+16)=2),FebSun1+16,""))</f>
        <v>43872</v>
      </c>
      <c r="M7" s="1">
        <f>IF(DAY(FebSun1)=1,IF(AND(YEAR(FebSun1+10)=KalendarskaGodina,MONTH(FebSun1+10)=2),FebSun1+10,""),IF(AND(YEAR(FebSun1+17)=KalendarskaGodina,MONTH(FebSun1+17)=2),FebSun1+17,""))</f>
        <v>43873</v>
      </c>
      <c r="N7" s="1">
        <f>IF(DAY(FebSun1)=1,IF(AND(YEAR(FebSun1+11)=KalendarskaGodina,MONTH(FebSun1+11)=2),FebSun1+11,""),IF(AND(YEAR(FebSun1+18)=KalendarskaGodina,MONTH(FebSun1+18)=2),FebSun1+18,""))</f>
        <v>43874</v>
      </c>
      <c r="O7" s="1">
        <f>IF(DAY(FebSun1)=1,IF(AND(YEAR(FebSun1+12)=KalendarskaGodina,MONTH(FebSun1+12)=2),FebSun1+12,""),IF(AND(YEAR(FebSun1+19)=KalendarskaGodina,MONTH(FebSun1+19)=2),FebSun1+19,""))</f>
        <v>43875</v>
      </c>
      <c r="P7" s="1">
        <f>IF(DAY(FebSun1)=1,IF(AND(YEAR(FebSun1+13)=KalendarskaGodina,MONTH(FebSun1+13)=2),FebSun1+13,""),IF(AND(YEAR(FebSun1+20)=KalendarskaGodina,MONTH(FebSun1+20)=2),FebSun1+20,""))</f>
        <v>43876</v>
      </c>
      <c r="Q7" s="1">
        <f>IF(DAY(FebSun1)=1,IF(AND(YEAR(FebSun1+14)=KalendarskaGodina,MONTH(FebSun1+14)=2),FebSun1+14,""),IF(AND(YEAR(FebSun1+21)=KalendarskaGodina,MONTH(FebSun1+21)=2),FebSun1+21,""))</f>
        <v>43877</v>
      </c>
      <c r="S7" s="25"/>
      <c r="U7" s="4" t="s">
        <v>49</v>
      </c>
      <c r="V7" s="30"/>
      <c r="W7" s="30"/>
    </row>
    <row r="8" spans="1:23" ht="15" customHeight="1" x14ac:dyDescent="0.2">
      <c r="C8" s="1">
        <f>IF(DAY(JanSun1)=1,IF(AND(YEAR(JanSun1+15)=KalendarskaGodina,MONTH(JanSun1+15)=1),JanSun1+15,""),IF(AND(YEAR(JanSun1+22)=KalendarskaGodina,MONTH(JanSun1+22)=1),JanSun1+22,""))</f>
        <v>43850</v>
      </c>
      <c r="D8" s="1">
        <f>IF(DAY(JanSun1)=1,IF(AND(YEAR(JanSun1+16)=KalendarskaGodina,MONTH(JanSun1+16)=1),JanSun1+16,""),IF(AND(YEAR(JanSun1+23)=KalendarskaGodina,MONTH(JanSun1+23)=1),JanSun1+23,""))</f>
        <v>43851</v>
      </c>
      <c r="E8" s="1">
        <f>IF(DAY(JanSun1)=1,IF(AND(YEAR(JanSun1+17)=KalendarskaGodina,MONTH(JanSun1+17)=1),JanSun1+17,""),IF(AND(YEAR(JanSun1+24)=KalendarskaGodina,MONTH(JanSun1+24)=1),JanSun1+24,""))</f>
        <v>43852</v>
      </c>
      <c r="F8" s="1">
        <f>IF(DAY(JanSun1)=1,IF(AND(YEAR(JanSun1+18)=KalendarskaGodina,MONTH(JanSun1+18)=1),JanSun1+18,""),IF(AND(YEAR(JanSun1+25)=KalendarskaGodina,MONTH(JanSun1+25)=1),JanSun1+25,""))</f>
        <v>43853</v>
      </c>
      <c r="G8" s="1">
        <f>IF(DAY(JanSun1)=1,IF(AND(YEAR(JanSun1+19)=KalendarskaGodina,MONTH(JanSun1+19)=1),JanSun1+19,""),IF(AND(YEAR(JanSun1+26)=KalendarskaGodina,MONTH(JanSun1+26)=1),JanSun1+26,""))</f>
        <v>43854</v>
      </c>
      <c r="H8" s="1">
        <f>IF(DAY(JanSun1)=1,IF(AND(YEAR(JanSun1+20)=KalendarskaGodina,MONTH(JanSun1+20)=1),JanSun1+20,""),IF(AND(YEAR(JanSun1+27)=KalendarskaGodina,MONTH(JanSun1+27)=1),JanSun1+27,""))</f>
        <v>43855</v>
      </c>
      <c r="I8" s="1">
        <f>IF(DAY(JanSun1)=1,IF(AND(YEAR(JanSun1+21)=KalendarskaGodina,MONTH(JanSun1+21)=1),JanSun1+21,""),IF(AND(YEAR(JanSun1+28)=KalendarskaGodina,MONTH(JanSun1+28)=1),JanSun1+28,""))</f>
        <v>43856</v>
      </c>
      <c r="J8" s="23"/>
      <c r="K8" s="1">
        <f>IF(DAY(FebSun1)=1,IF(AND(YEAR(FebSun1+15)=KalendarskaGodina,MONTH(FebSun1+15)=2),FebSun1+15,""),IF(AND(YEAR(FebSun1+22)=KalendarskaGodina,MONTH(FebSun1+22)=2),FebSun1+22,""))</f>
        <v>43878</v>
      </c>
      <c r="L8" s="1">
        <f>IF(DAY(FebSun1)=1,IF(AND(YEAR(FebSun1+16)=KalendarskaGodina,MONTH(FebSun1+16)=2),FebSun1+16,""),IF(AND(YEAR(FebSun1+23)=KalendarskaGodina,MONTH(FebSun1+23)=2),FebSun1+23,""))</f>
        <v>43879</v>
      </c>
      <c r="M8" s="1">
        <f>IF(DAY(FebSun1)=1,IF(AND(YEAR(FebSun1+17)=KalendarskaGodina,MONTH(FebSun1+17)=2),FebSun1+17,""),IF(AND(YEAR(FebSun1+24)=KalendarskaGodina,MONTH(FebSun1+24)=2),FebSun1+24,""))</f>
        <v>43880</v>
      </c>
      <c r="N8" s="1">
        <f>IF(DAY(FebSun1)=1,IF(AND(YEAR(FebSun1+18)=KalendarskaGodina,MONTH(FebSun1+18)=2),FebSun1+18,""),IF(AND(YEAR(FebSun1+25)=KalendarskaGodina,MONTH(FebSun1+25)=2),FebSun1+25,""))</f>
        <v>43881</v>
      </c>
      <c r="O8" s="1">
        <f>IF(DAY(FebSun1)=1,IF(AND(YEAR(FebSun1+19)=KalendarskaGodina,MONTH(FebSun1+19)=2),FebSun1+19,""),IF(AND(YEAR(FebSun1+26)=KalendarskaGodina,MONTH(FebSun1+26)=2),FebSun1+26,""))</f>
        <v>43882</v>
      </c>
      <c r="P8" s="1">
        <f>IF(DAY(FebSun1)=1,IF(AND(YEAR(FebSun1+20)=KalendarskaGodina,MONTH(FebSun1+20)=2),FebSun1+20,""),IF(AND(YEAR(FebSun1+27)=KalendarskaGodina,MONTH(FebSun1+27)=2),FebSun1+27,""))</f>
        <v>43883</v>
      </c>
      <c r="Q8" s="1">
        <f>IF(DAY(FebSun1)=1,IF(AND(YEAR(FebSun1+21)=KalendarskaGodina,MONTH(FebSun1+21)=2),FebSun1+21,""),IF(AND(YEAR(FebSun1+28)=KalendarskaGodina,MONTH(FebSun1+28)=2),FebSun1+28,""))</f>
        <v>43884</v>
      </c>
      <c r="S8" s="25"/>
      <c r="U8" s="3"/>
      <c r="V8" s="30"/>
      <c r="W8" s="30"/>
    </row>
    <row r="9" spans="1:23" ht="15" customHeight="1" x14ac:dyDescent="0.2">
      <c r="C9" s="1">
        <f>IF(DAY(JanSun1)=1,IF(AND(YEAR(JanSun1+22)=KalendarskaGodina,MONTH(JanSun1+22)=1),JanSun1+22,""),IF(AND(YEAR(JanSun1+29)=KalendarskaGodina,MONTH(JanSun1+29)=1),JanSun1+29,""))</f>
        <v>43857</v>
      </c>
      <c r="D9" s="1">
        <f>IF(DAY(JanSun1)=1,IF(AND(YEAR(JanSun1+23)=KalendarskaGodina,MONTH(JanSun1+23)=1),JanSun1+23,""),IF(AND(YEAR(JanSun1+30)=KalendarskaGodina,MONTH(JanSun1+30)=1),JanSun1+30,""))</f>
        <v>43858</v>
      </c>
      <c r="E9" s="1">
        <f>IF(DAY(JanSun1)=1,IF(AND(YEAR(JanSun1+24)=KalendarskaGodina,MONTH(JanSun1+24)=1),JanSun1+24,""),IF(AND(YEAR(JanSun1+31)=KalendarskaGodina,MONTH(JanSun1+31)=1),JanSun1+31,""))</f>
        <v>43859</v>
      </c>
      <c r="F9" s="1">
        <f>IF(DAY(JanSun1)=1,IF(AND(YEAR(JanSun1+25)=KalendarskaGodina,MONTH(JanSun1+25)=1),JanSun1+25,""),IF(AND(YEAR(JanSun1+32)=KalendarskaGodina,MONTH(JanSun1+32)=1),JanSun1+32,""))</f>
        <v>43860</v>
      </c>
      <c r="G9" s="1">
        <f>IF(DAY(JanSun1)=1,IF(AND(YEAR(JanSun1+26)=KalendarskaGodina,MONTH(JanSun1+26)=1),JanSun1+26,""),IF(AND(YEAR(JanSun1+33)=KalendarskaGodina,MONTH(JanSun1+33)=1),JanSun1+33,""))</f>
        <v>43861</v>
      </c>
      <c r="H9" s="1" t="str">
        <f>IF(DAY(JanSun1)=1,IF(AND(YEAR(JanSun1+27)=KalendarskaGodina,MONTH(JanSun1+27)=1),JanSun1+27,""),IF(AND(YEAR(JanSun1+34)=KalendarskaGodina,MONTH(JanSun1+34)=1),JanSun1+34,""))</f>
        <v/>
      </c>
      <c r="I9" s="1" t="str">
        <f>IF(DAY(JanSun1)=1,IF(AND(YEAR(JanSun1+28)=KalendarskaGodina,MONTH(JanSun1+28)=1),JanSun1+28,""),IF(AND(YEAR(JanSun1+35)=KalendarskaGodina,MONTH(JanSun1+35)=1),JanSun1+35,""))</f>
        <v/>
      </c>
      <c r="J9" s="23"/>
      <c r="K9" s="1">
        <f>IF(DAY(FebSun1)=1,IF(AND(YEAR(FebSun1+22)=KalendarskaGodina,MONTH(FebSun1+22)=2),FebSun1+22,""),IF(AND(YEAR(FebSun1+29)=KalendarskaGodina,MONTH(FebSun1+29)=2),FebSun1+29,""))</f>
        <v>43885</v>
      </c>
      <c r="L9" s="1">
        <f>IF(DAY(FebSun1)=1,IF(AND(YEAR(FebSun1+23)=KalendarskaGodina,MONTH(FebSun1+23)=2),FebSun1+23,""),IF(AND(YEAR(FebSun1+30)=KalendarskaGodina,MONTH(FebSun1+30)=2),FebSun1+30,""))</f>
        <v>43886</v>
      </c>
      <c r="M9" s="1">
        <f>IF(DAY(FebSun1)=1,IF(AND(YEAR(FebSun1+24)=KalendarskaGodina,MONTH(FebSun1+24)=2),FebSun1+24,""),IF(AND(YEAR(FebSun1+31)=KalendarskaGodina,MONTH(FebSun1+31)=2),FebSun1+31,""))</f>
        <v>43887</v>
      </c>
      <c r="N9" s="1">
        <f>IF(DAY(FebSun1)=1,IF(AND(YEAR(FebSun1+25)=KalendarskaGodina,MONTH(FebSun1+25)=2),FebSun1+25,""),IF(AND(YEAR(FebSun1+32)=KalendarskaGodina,MONTH(FebSun1+32)=2),FebSun1+32,""))</f>
        <v>43888</v>
      </c>
      <c r="O9" s="1">
        <f>IF(DAY(FebSun1)=1,IF(AND(YEAR(FebSun1+26)=KalendarskaGodina,MONTH(FebSun1+26)=2),FebSun1+26,""),IF(AND(YEAR(FebSun1+33)=KalendarskaGodina,MONTH(FebSun1+33)=2),FebSun1+33,""))</f>
        <v>43889</v>
      </c>
      <c r="P9" s="1">
        <f>IF(DAY(FebSun1)=1,IF(AND(YEAR(FebSun1+27)=KalendarskaGodina,MONTH(FebSun1+27)=2),FebSun1+27,""),IF(AND(YEAR(FebSun1+34)=KalendarskaGodina,MONTH(FebSun1+34)=2),FebSun1+34,""))</f>
        <v>43890</v>
      </c>
      <c r="Q9" s="1" t="str">
        <f>IF(DAY(FebSun1)=1,IF(AND(YEAR(FebSun1+28)=KalendarskaGodina,MONTH(FebSun1+28)=2),FebSun1+28,""),IF(AND(YEAR(FebSun1+35)=KalendarskaGodina,MONTH(FebSun1+35)=2),FebSun1+35,""))</f>
        <v/>
      </c>
      <c r="S9" s="25"/>
      <c r="U9" s="11" t="s">
        <v>50</v>
      </c>
      <c r="V9" s="30"/>
      <c r="W9" s="30"/>
    </row>
    <row r="10" spans="1:23" ht="15" customHeight="1" x14ac:dyDescent="0.2">
      <c r="C10" s="1" t="str">
        <f>IF(DAY(JanSun1)=1,IF(AND(YEAR(JanSun1+29)=KalendarskaGodina,MONTH(JanSun1+29)=1),JanSun1+29,""),IF(AND(YEAR(JanSun1+36)=KalendarskaGodina,MONTH(JanSun1+36)=1),JanSun1+36,""))</f>
        <v/>
      </c>
      <c r="D10" s="1" t="str">
        <f>IF(DAY(JanSun1)=1,IF(AND(YEAR(JanSun1+30)=KalendarskaGodina,MONTH(JanSun1+30)=1),JanSun1+30,""),IF(AND(YEAR(JanSun1+37)=KalendarskaGodina,MONTH(JanSun1+37)=1),JanSun1+37,""))</f>
        <v/>
      </c>
      <c r="E10" s="1" t="str">
        <f>IF(DAY(JanSun1)=1,IF(AND(YEAR(JanSun1+31)=KalendarskaGodina,MONTH(JanSun1+31)=1),JanSun1+31,""),IF(AND(YEAR(JanSun1+38)=KalendarskaGodina,MONTH(JanSun1+38)=1),JanSun1+38,""))</f>
        <v/>
      </c>
      <c r="F10" s="1" t="str">
        <f>IF(DAY(JanSun1)=1,IF(AND(YEAR(JanSun1+32)=KalendarskaGodina,MONTH(JanSun1+32)=1),JanSun1+32,""),IF(AND(YEAR(JanSun1+39)=KalendarskaGodina,MONTH(JanSun1+39)=1),JanSun1+39,""))</f>
        <v/>
      </c>
      <c r="G10" s="1" t="str">
        <f>IF(DAY(JanSun1)=1,IF(AND(YEAR(JanSun1+33)=KalendarskaGodina,MONTH(JanSun1+33)=1),JanSun1+33,""),IF(AND(YEAR(JanSun1+40)=KalendarskaGodina,MONTH(JanSun1+40)=1),JanSun1+40,""))</f>
        <v/>
      </c>
      <c r="H10" s="1" t="str">
        <f>IF(DAY(JanSun1)=1,IF(AND(YEAR(JanSun1+34)=KalendarskaGodina,MONTH(JanSun1+34)=1),JanSun1+34,""),IF(AND(YEAR(JanSun1+41)=KalendarskaGodina,MONTH(JanSun1+41)=1),JanSun1+41,""))</f>
        <v/>
      </c>
      <c r="I10" s="1" t="str">
        <f>IF(DAY(JanSun1)=1,IF(AND(YEAR(JanSun1+35)=KalendarskaGodina,MONTH(JanSun1+35)=1),JanSun1+35,""),IF(AND(YEAR(JanSun1+42)=KalendarskaGodina,MONTH(JanSun1+42)=1),JanSun1+42,""))</f>
        <v/>
      </c>
      <c r="J10" s="23"/>
      <c r="K10" s="1" t="str">
        <f>IF(DAY(FebSun1)=1,IF(AND(YEAR(FebSun1+29)=KalendarskaGodina,MONTH(FebSun1+29)=2),FebSun1+29,""),IF(AND(YEAR(FebSun1+36)=KalendarskaGodina,MONTH(FebSun1+36)=2),FebSun1+36,""))</f>
        <v/>
      </c>
      <c r="L10" s="1" t="str">
        <f>IF(DAY(FebSun1)=1,IF(AND(YEAR(FebSun1+30)=KalendarskaGodina,MONTH(FebSun1+30)=2),FebSun1+30,""),IF(AND(YEAR(FebSun1+37)=KalendarskaGodina,MONTH(FebSun1+37)=2),FebSun1+37,""))</f>
        <v/>
      </c>
      <c r="M10" s="1" t="str">
        <f>IF(DAY(FebSun1)=1,IF(AND(YEAR(FebSun1+31)=KalendarskaGodina,MONTH(FebSun1+31)=2),FebSun1+31,""),IF(AND(YEAR(FebSun1+38)=KalendarskaGodina,MONTH(FebSun1+38)=2),FebSun1+38,""))</f>
        <v/>
      </c>
      <c r="N10" s="1" t="str">
        <f>IF(DAY(FebSun1)=1,IF(AND(YEAR(FebSun1+32)=KalendarskaGodina,MONTH(FebSun1+32)=2),FebSun1+32,""),IF(AND(YEAR(FebSun1+39)=KalendarskaGodina,MONTH(FebSun1+39)=2),FebSun1+39,""))</f>
        <v/>
      </c>
      <c r="O10" s="1" t="str">
        <f>IF(DAY(FebSun1)=1,IF(AND(YEAR(FebSun1+33)=KalendarskaGodina,MONTH(FebSun1+33)=2),FebSun1+33,""),IF(AND(YEAR(FebSun1+40)=KalendarskaGodina,MONTH(FebSun1+40)=2),FebSun1+40,""))</f>
        <v/>
      </c>
      <c r="P10" s="1" t="str">
        <f>IF(DAY(FebSun1)=1,IF(AND(YEAR(FebSun1+34)=KalendarskaGodina,MONTH(FebSun1+34)=2),FebSun1+34,""),IF(AND(YEAR(FebSun1+41)=KalendarskaGodina,MONTH(FebSun1+41)=2),FebSun1+41,""))</f>
        <v/>
      </c>
      <c r="Q10" s="1" t="str">
        <f>IF(DAY(FebSun1)=1,IF(AND(YEAR(FebSun1+35)=KalendarskaGodina,MONTH(FebSun1+35)=2),FebSun1+35,""),IF(AND(YEAR(FebSun1+42)=KalendarskaGodina,MONTH(FebSun1+42)=2),FebSun1+42,""))</f>
        <v/>
      </c>
      <c r="S10" s="25"/>
      <c r="U10" s="4" t="s">
        <v>51</v>
      </c>
      <c r="V10" s="30"/>
      <c r="W10" s="30"/>
    </row>
    <row r="11" spans="1:23" ht="15" customHeight="1" x14ac:dyDescent="0.2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S11" s="25"/>
      <c r="U11" s="3"/>
      <c r="V11" s="30"/>
      <c r="W11" s="30"/>
    </row>
    <row r="12" spans="1:23" ht="15" customHeight="1" x14ac:dyDescent="0.2">
      <c r="A12" s="19" t="s">
        <v>11</v>
      </c>
      <c r="C12" s="27" t="s">
        <v>28</v>
      </c>
      <c r="D12" s="27"/>
      <c r="E12" s="27"/>
      <c r="F12" s="27"/>
      <c r="G12" s="27"/>
      <c r="H12" s="27"/>
      <c r="I12" s="27"/>
      <c r="K12" s="27" t="s">
        <v>40</v>
      </c>
      <c r="L12" s="27"/>
      <c r="M12" s="27"/>
      <c r="N12" s="27"/>
      <c r="O12" s="27"/>
      <c r="P12" s="27"/>
      <c r="Q12" s="27"/>
      <c r="S12" s="25"/>
      <c r="U12" s="11"/>
      <c r="V12" s="30"/>
      <c r="W12" s="30"/>
    </row>
    <row r="13" spans="1:23" ht="15" customHeight="1" x14ac:dyDescent="0.25">
      <c r="A13" s="19" t="s">
        <v>12</v>
      </c>
      <c r="C13" s="12" t="s">
        <v>27</v>
      </c>
      <c r="D13" s="12" t="s">
        <v>33</v>
      </c>
      <c r="E13" s="12" t="s">
        <v>34</v>
      </c>
      <c r="F13" s="12" t="s">
        <v>35</v>
      </c>
      <c r="G13" s="12" t="s">
        <v>36</v>
      </c>
      <c r="H13" s="12" t="s">
        <v>37</v>
      </c>
      <c r="I13" s="12" t="s">
        <v>38</v>
      </c>
      <c r="J13" s="22"/>
      <c r="K13" s="12" t="s">
        <v>27</v>
      </c>
      <c r="L13" s="12" t="s">
        <v>33</v>
      </c>
      <c r="M13" s="12" t="s">
        <v>34</v>
      </c>
      <c r="N13" s="12" t="s">
        <v>35</v>
      </c>
      <c r="O13" s="12" t="s">
        <v>36</v>
      </c>
      <c r="P13" s="12" t="s">
        <v>37</v>
      </c>
      <c r="Q13" s="12" t="s">
        <v>38</v>
      </c>
      <c r="S13" s="25"/>
      <c r="U13" s="4"/>
      <c r="V13" s="30"/>
      <c r="W13" s="30"/>
    </row>
    <row r="14" spans="1:23" ht="15" customHeight="1" x14ac:dyDescent="0.2">
      <c r="C14" s="1" t="str">
        <f>IF(DAY(MarSun1)=1,"",IF(AND(YEAR(MarSun1+1)=KalendarskaGodina,MONTH(MarSun1+1)=3),MarSun1+1,""))</f>
        <v/>
      </c>
      <c r="D14" s="1" t="str">
        <f>IF(DAY(MarSun1)=1,"",IF(AND(YEAR(MarSun1+2)=KalendarskaGodina,MONTH(MarSun1+2)=3),MarSun1+2,""))</f>
        <v/>
      </c>
      <c r="E14" s="1" t="str">
        <f>IF(DAY(MarSun1)=1,"",IF(AND(YEAR(MarSun1+3)=KalendarskaGodina,MONTH(MarSun1+3)=3),MarSun1+3,""))</f>
        <v/>
      </c>
      <c r="F14" s="1" t="str">
        <f>IF(DAY(MarSun1)=1,"",IF(AND(YEAR(MarSun1+4)=KalendarskaGodina,MONTH(MarSun1+4)=3),MarSun1+4,""))</f>
        <v/>
      </c>
      <c r="G14" s="1" t="str">
        <f>IF(DAY(MarSun1)=1,"",IF(AND(YEAR(MarSun1+5)=KalendarskaGodina,MONTH(MarSun1+5)=3),MarSun1+5,""))</f>
        <v/>
      </c>
      <c r="H14" s="1" t="str">
        <f>IF(DAY(MarSun1)=1,"",IF(AND(YEAR(MarSun1+6)=KalendarskaGodina,MONTH(MarSun1+6)=3),MarSun1+6,""))</f>
        <v/>
      </c>
      <c r="I14" s="1">
        <f>IF(DAY(MarSun1)=1,IF(AND(YEAR(MarSun1)=KalendarskaGodina,MONTH(MarSun1)=3),MarSun1,""),IF(AND(YEAR(MarSun1+7)=KalendarskaGodina,MONTH(MarSun1+7)=3),MarSun1+7,""))</f>
        <v>43891</v>
      </c>
      <c r="J14" s="23"/>
      <c r="K14" s="1" t="str">
        <f>IF(DAY(AprSun1)=1,"",IF(AND(YEAR(AprSun1+1)=KalendarskaGodina,MONTH(AprSun1+1)=4),AprSun1+1,""))</f>
        <v/>
      </c>
      <c r="L14" s="1" t="str">
        <f>IF(DAY(AprSun1)=1,"",IF(AND(YEAR(AprSun1+2)=KalendarskaGodina,MONTH(AprSun1+2)=4),AprSun1+2,""))</f>
        <v/>
      </c>
      <c r="M14" s="1">
        <f>IF(DAY(AprSun1)=1,"",IF(AND(YEAR(AprSun1+3)=KalendarskaGodina,MONTH(AprSun1+3)=4),AprSun1+3,""))</f>
        <v>43922</v>
      </c>
      <c r="N14" s="1">
        <f>IF(DAY(AprSun1)=1,"",IF(AND(YEAR(AprSun1+4)=KalendarskaGodina,MONTH(AprSun1+4)=4),AprSun1+4,""))</f>
        <v>43923</v>
      </c>
      <c r="O14" s="1">
        <f>IF(DAY(AprSun1)=1,"",IF(AND(YEAR(AprSun1+5)=KalendarskaGodina,MONTH(AprSun1+5)=4),AprSun1+5,""))</f>
        <v>43924</v>
      </c>
      <c r="P14" s="1">
        <f>IF(DAY(AprSun1)=1,"",IF(AND(YEAR(AprSun1+6)=KalendarskaGodina,MONTH(AprSun1+6)=4),AprSun1+6,""))</f>
        <v>43925</v>
      </c>
      <c r="Q14" s="1">
        <f>IF(DAY(AprSun1)=1,IF(AND(YEAR(AprSun1)=KalendarskaGodina,MONTH(AprSun1)=4),AprSun1,""),IF(AND(YEAR(AprSun1+7)=KalendarskaGodina,MONTH(AprSun1+7)=4),AprSun1+7,""))</f>
        <v>43926</v>
      </c>
      <c r="S14" s="25"/>
      <c r="U14" s="3"/>
      <c r="V14" s="30"/>
      <c r="W14" s="30"/>
    </row>
    <row r="15" spans="1:23" ht="15" customHeight="1" x14ac:dyDescent="0.2">
      <c r="A15" s="19"/>
      <c r="C15" s="1">
        <f>IF(DAY(MarSun1)=1,IF(AND(YEAR(MarSun1+1)=KalendarskaGodina,MONTH(MarSun1+1)=3),MarSun1+1,""),IF(AND(YEAR(MarSun1+8)=KalendarskaGodina,MONTH(MarSun1+8)=3),MarSun1+8,""))</f>
        <v>43892</v>
      </c>
      <c r="D15" s="1">
        <f>IF(DAY(MarSun1)=1,IF(AND(YEAR(MarSun1+2)=KalendarskaGodina,MONTH(MarSun1+2)=3),MarSun1+2,""),IF(AND(YEAR(MarSun1+9)=KalendarskaGodina,MONTH(MarSun1+9)=3),MarSun1+9,""))</f>
        <v>43893</v>
      </c>
      <c r="E15" s="1">
        <f>IF(DAY(MarSun1)=1,IF(AND(YEAR(MarSun1+3)=KalendarskaGodina,MONTH(MarSun1+3)=3),MarSun1+3,""),IF(AND(YEAR(MarSun1+10)=KalendarskaGodina,MONTH(MarSun1+10)=3),MarSun1+10,""))</f>
        <v>43894</v>
      </c>
      <c r="F15" s="1">
        <f>IF(DAY(MarSun1)=1,IF(AND(YEAR(MarSun1+4)=KalendarskaGodina,MONTH(MarSun1+4)=3),MarSun1+4,""),IF(AND(YEAR(MarSun1+11)=KalendarskaGodina,MONTH(MarSun1+11)=3),MarSun1+11,""))</f>
        <v>43895</v>
      </c>
      <c r="G15" s="1">
        <f>IF(DAY(MarSun1)=1,IF(AND(YEAR(MarSun1+5)=KalendarskaGodina,MONTH(MarSun1+5)=3),MarSun1+5,""),IF(AND(YEAR(MarSun1+12)=KalendarskaGodina,MONTH(MarSun1+12)=3),MarSun1+12,""))</f>
        <v>43896</v>
      </c>
      <c r="H15" s="1">
        <f>IF(DAY(MarSun1)=1,IF(AND(YEAR(MarSun1+6)=KalendarskaGodina,MONTH(MarSun1+6)=3),MarSun1+6,""),IF(AND(YEAR(MarSun1+13)=KalendarskaGodina,MONTH(MarSun1+13)=3),MarSun1+13,""))</f>
        <v>43897</v>
      </c>
      <c r="I15" s="1">
        <f>IF(DAY(MarSun1)=1,IF(AND(YEAR(MarSun1+7)=KalendarskaGodina,MONTH(MarSun1+7)=3),MarSun1+7,""),IF(AND(YEAR(MarSun1+14)=KalendarskaGodina,MONTH(MarSun1+14)=3),MarSun1+14,""))</f>
        <v>43898</v>
      </c>
      <c r="J15" s="23"/>
      <c r="K15" s="1">
        <f>IF(DAY(AprSun1)=1,IF(AND(YEAR(AprSun1+1)=KalendarskaGodina,MONTH(AprSun1+1)=4),AprSun1+1,""),IF(AND(YEAR(AprSun1+8)=KalendarskaGodina,MONTH(AprSun1+8)=4),AprSun1+8,""))</f>
        <v>43927</v>
      </c>
      <c r="L15" s="1">
        <f>IF(DAY(AprSun1)=1,IF(AND(YEAR(AprSun1+2)=KalendarskaGodina,MONTH(AprSun1+2)=4),AprSun1+2,""),IF(AND(YEAR(AprSun1+9)=KalendarskaGodina,MONTH(AprSun1+9)=4),AprSun1+9,""))</f>
        <v>43928</v>
      </c>
      <c r="M15" s="1">
        <f>IF(DAY(AprSun1)=1,IF(AND(YEAR(AprSun1+3)=KalendarskaGodina,MONTH(AprSun1+3)=4),AprSun1+3,""),IF(AND(YEAR(AprSun1+10)=KalendarskaGodina,MONTH(AprSun1+10)=4),AprSun1+10,""))</f>
        <v>43929</v>
      </c>
      <c r="N15" s="1">
        <f>IF(DAY(AprSun1)=1,IF(AND(YEAR(AprSun1+4)=KalendarskaGodina,MONTH(AprSun1+4)=4),AprSun1+4,""),IF(AND(YEAR(AprSun1+11)=KalendarskaGodina,MONTH(AprSun1+11)=4),AprSun1+11,""))</f>
        <v>43930</v>
      </c>
      <c r="O15" s="1">
        <f>IF(DAY(AprSun1)=1,IF(AND(YEAR(AprSun1+5)=KalendarskaGodina,MONTH(AprSun1+5)=4),AprSun1+5,""),IF(AND(YEAR(AprSun1+12)=KalendarskaGodina,MONTH(AprSun1+12)=4),AprSun1+12,""))</f>
        <v>43931</v>
      </c>
      <c r="P15" s="1">
        <f>IF(DAY(AprSun1)=1,IF(AND(YEAR(AprSun1+6)=KalendarskaGodina,MONTH(AprSun1+6)=4),AprSun1+6,""),IF(AND(YEAR(AprSun1+13)=KalendarskaGodina,MONTH(AprSun1+13)=4),AprSun1+13,""))</f>
        <v>43932</v>
      </c>
      <c r="Q15" s="1">
        <f>IF(DAY(AprSun1)=1,IF(AND(YEAR(AprSun1+7)=KalendarskaGodina,MONTH(AprSun1+7)=4),AprSun1+7,""),IF(AND(YEAR(AprSun1+14)=KalendarskaGodina,MONTH(AprSun1+14)=4),AprSun1+14,""))</f>
        <v>43933</v>
      </c>
      <c r="S15" s="25"/>
      <c r="U15" s="11"/>
      <c r="V15" s="30"/>
      <c r="W15" s="30"/>
    </row>
    <row r="16" spans="1:23" ht="15" customHeight="1" x14ac:dyDescent="0.2">
      <c r="C16" s="1">
        <f>IF(DAY(MarSun1)=1,IF(AND(YEAR(MarSun1+8)=KalendarskaGodina,MONTH(MarSun1+8)=3),MarSun1+8,""),IF(AND(YEAR(MarSun1+15)=KalendarskaGodina,MONTH(MarSun1+15)=3),MarSun1+15,""))</f>
        <v>43899</v>
      </c>
      <c r="D16" s="1">
        <f>IF(DAY(MarSun1)=1,IF(AND(YEAR(MarSun1+9)=KalendarskaGodina,MONTH(MarSun1+9)=3),MarSun1+9,""),IF(AND(YEAR(MarSun1+16)=KalendarskaGodina,MONTH(MarSun1+16)=3),MarSun1+16,""))</f>
        <v>43900</v>
      </c>
      <c r="E16" s="1">
        <f>IF(DAY(MarSun1)=1,IF(AND(YEAR(MarSun1+10)=KalendarskaGodina,MONTH(MarSun1+10)=3),MarSun1+10,""),IF(AND(YEAR(MarSun1+17)=KalendarskaGodina,MONTH(MarSun1+17)=3),MarSun1+17,""))</f>
        <v>43901</v>
      </c>
      <c r="F16" s="1">
        <f>IF(DAY(MarSun1)=1,IF(AND(YEAR(MarSun1+11)=KalendarskaGodina,MONTH(MarSun1+11)=3),MarSun1+11,""),IF(AND(YEAR(MarSun1+18)=KalendarskaGodina,MONTH(MarSun1+18)=3),MarSun1+18,""))</f>
        <v>43902</v>
      </c>
      <c r="G16" s="1">
        <f>IF(DAY(MarSun1)=1,IF(AND(YEAR(MarSun1+12)=KalendarskaGodina,MONTH(MarSun1+12)=3),MarSun1+12,""),IF(AND(YEAR(MarSun1+19)=KalendarskaGodina,MONTH(MarSun1+19)=3),MarSun1+19,""))</f>
        <v>43903</v>
      </c>
      <c r="H16" s="1">
        <f>IF(DAY(MarSun1)=1,IF(AND(YEAR(MarSun1+13)=KalendarskaGodina,MONTH(MarSun1+13)=3),MarSun1+13,""),IF(AND(YEAR(MarSun1+20)=KalendarskaGodina,MONTH(MarSun1+20)=3),MarSun1+20,""))</f>
        <v>43904</v>
      </c>
      <c r="I16" s="1">
        <f>IF(DAY(MarSun1)=1,IF(AND(YEAR(MarSun1+14)=KalendarskaGodina,MONTH(MarSun1+14)=3),MarSun1+14,""),IF(AND(YEAR(MarSun1+21)=KalendarskaGodina,MONTH(MarSun1+21)=3),MarSun1+21,""))</f>
        <v>43905</v>
      </c>
      <c r="J16" s="23"/>
      <c r="K16" s="1">
        <f>IF(DAY(AprSun1)=1,IF(AND(YEAR(AprSun1+8)=KalendarskaGodina,MONTH(AprSun1+8)=4),AprSun1+8,""),IF(AND(YEAR(AprSun1+15)=KalendarskaGodina,MONTH(AprSun1+15)=4),AprSun1+15,""))</f>
        <v>43934</v>
      </c>
      <c r="L16" s="1">
        <f>IF(DAY(AprSun1)=1,IF(AND(YEAR(AprSun1+9)=KalendarskaGodina,MONTH(AprSun1+9)=4),AprSun1+9,""),IF(AND(YEAR(AprSun1+16)=KalendarskaGodina,MONTH(AprSun1+16)=4),AprSun1+16,""))</f>
        <v>43935</v>
      </c>
      <c r="M16" s="1">
        <f>IF(DAY(AprSun1)=1,IF(AND(YEAR(AprSun1+10)=KalendarskaGodina,MONTH(AprSun1+10)=4),AprSun1+10,""),IF(AND(YEAR(AprSun1+17)=KalendarskaGodina,MONTH(AprSun1+17)=4),AprSun1+17,""))</f>
        <v>43936</v>
      </c>
      <c r="N16" s="1">
        <f>IF(DAY(AprSun1)=1,IF(AND(YEAR(AprSun1+11)=KalendarskaGodina,MONTH(AprSun1+11)=4),AprSun1+11,""),IF(AND(YEAR(AprSun1+18)=KalendarskaGodina,MONTH(AprSun1+18)=4),AprSun1+18,""))</f>
        <v>43937</v>
      </c>
      <c r="O16" s="1">
        <f>IF(DAY(AprSun1)=1,IF(AND(YEAR(AprSun1+12)=KalendarskaGodina,MONTH(AprSun1+12)=4),AprSun1+12,""),IF(AND(YEAR(AprSun1+19)=KalendarskaGodina,MONTH(AprSun1+19)=4),AprSun1+19,""))</f>
        <v>43938</v>
      </c>
      <c r="P16" s="1">
        <f>IF(DAY(AprSun1)=1,IF(AND(YEAR(AprSun1+13)=KalendarskaGodina,MONTH(AprSun1+13)=4),AprSun1+13,""),IF(AND(YEAR(AprSun1+20)=KalendarskaGodina,MONTH(AprSun1+20)=4),AprSun1+20,""))</f>
        <v>43939</v>
      </c>
      <c r="Q16" s="1">
        <f>IF(DAY(AprSun1)=1,IF(AND(YEAR(AprSun1+14)=KalendarskaGodina,MONTH(AprSun1+14)=4),AprSun1+14,""),IF(AND(YEAR(AprSun1+21)=KalendarskaGodina,MONTH(AprSun1+21)=4),AprSun1+21,""))</f>
        <v>43940</v>
      </c>
      <c r="S16" s="25"/>
      <c r="U16" s="4"/>
      <c r="V16" s="30"/>
      <c r="W16" s="30"/>
    </row>
    <row r="17" spans="1:23" ht="15" customHeight="1" x14ac:dyDescent="0.2">
      <c r="C17" s="1">
        <f>IF(DAY(MarSun1)=1,IF(AND(YEAR(MarSun1+15)=KalendarskaGodina,MONTH(MarSun1+15)=3),MarSun1+15,""),IF(AND(YEAR(MarSun1+22)=KalendarskaGodina,MONTH(MarSun1+22)=3),MarSun1+22,""))</f>
        <v>43906</v>
      </c>
      <c r="D17" s="1">
        <f>IF(DAY(MarSun1)=1,IF(AND(YEAR(MarSun1+16)=KalendarskaGodina,MONTH(MarSun1+16)=3),MarSun1+16,""),IF(AND(YEAR(MarSun1+23)=KalendarskaGodina,MONTH(MarSun1+23)=3),MarSun1+23,""))</f>
        <v>43907</v>
      </c>
      <c r="E17" s="1">
        <f>IF(DAY(MarSun1)=1,IF(AND(YEAR(MarSun1+17)=KalendarskaGodina,MONTH(MarSun1+17)=3),MarSun1+17,""),IF(AND(YEAR(MarSun1+24)=KalendarskaGodina,MONTH(MarSun1+24)=3),MarSun1+24,""))</f>
        <v>43908</v>
      </c>
      <c r="F17" s="1">
        <f>IF(DAY(MarSun1)=1,IF(AND(YEAR(MarSun1+18)=KalendarskaGodina,MONTH(MarSun1+18)=3),MarSun1+18,""),IF(AND(YEAR(MarSun1+25)=KalendarskaGodina,MONTH(MarSun1+25)=3),MarSun1+25,""))</f>
        <v>43909</v>
      </c>
      <c r="G17" s="1">
        <f>IF(DAY(MarSun1)=1,IF(AND(YEAR(MarSun1+19)=KalendarskaGodina,MONTH(MarSun1+19)=3),MarSun1+19,""),IF(AND(YEAR(MarSun1+26)=KalendarskaGodina,MONTH(MarSun1+26)=3),MarSun1+26,""))</f>
        <v>43910</v>
      </c>
      <c r="H17" s="1">
        <f>IF(DAY(MarSun1)=1,IF(AND(YEAR(MarSun1+20)=KalendarskaGodina,MONTH(MarSun1+20)=3),MarSun1+20,""),IF(AND(YEAR(MarSun1+27)=KalendarskaGodina,MONTH(MarSun1+27)=3),MarSun1+27,""))</f>
        <v>43911</v>
      </c>
      <c r="I17" s="1">
        <f>IF(DAY(MarSun1)=1,IF(AND(YEAR(MarSun1+21)=KalendarskaGodina,MONTH(MarSun1+21)=3),MarSun1+21,""),IF(AND(YEAR(MarSun1+28)=KalendarskaGodina,MONTH(MarSun1+28)=3),MarSun1+28,""))</f>
        <v>43912</v>
      </c>
      <c r="J17" s="23"/>
      <c r="K17" s="1">
        <f>IF(DAY(AprSun1)=1,IF(AND(YEAR(AprSun1+15)=KalendarskaGodina,MONTH(AprSun1+15)=4),AprSun1+15,""),IF(AND(YEAR(AprSun1+22)=KalendarskaGodina,MONTH(AprSun1+22)=4),AprSun1+22,""))</f>
        <v>43941</v>
      </c>
      <c r="L17" s="1">
        <f>IF(DAY(AprSun1)=1,IF(AND(YEAR(AprSun1+16)=KalendarskaGodina,MONTH(AprSun1+16)=4),AprSun1+16,""),IF(AND(YEAR(AprSun1+23)=KalendarskaGodina,MONTH(AprSun1+23)=4),AprSun1+23,""))</f>
        <v>43942</v>
      </c>
      <c r="M17" s="1">
        <f>IF(DAY(AprSun1)=1,IF(AND(YEAR(AprSun1+17)=KalendarskaGodina,MONTH(AprSun1+17)=4),AprSun1+17,""),IF(AND(YEAR(AprSun1+24)=KalendarskaGodina,MONTH(AprSun1+24)=4),AprSun1+24,""))</f>
        <v>43943</v>
      </c>
      <c r="N17" s="1">
        <f>IF(DAY(AprSun1)=1,IF(AND(YEAR(AprSun1+18)=KalendarskaGodina,MONTH(AprSun1+18)=4),AprSun1+18,""),IF(AND(YEAR(AprSun1+25)=KalendarskaGodina,MONTH(AprSun1+25)=4),AprSun1+25,""))</f>
        <v>43944</v>
      </c>
      <c r="O17" s="1">
        <f>IF(DAY(AprSun1)=1,IF(AND(YEAR(AprSun1+19)=KalendarskaGodina,MONTH(AprSun1+19)=4),AprSun1+19,""),IF(AND(YEAR(AprSun1+26)=KalendarskaGodina,MONTH(AprSun1+26)=4),AprSun1+26,""))</f>
        <v>43945</v>
      </c>
      <c r="P17" s="1">
        <f>IF(DAY(AprSun1)=1,IF(AND(YEAR(AprSun1+20)=KalendarskaGodina,MONTH(AprSun1+20)=4),AprSun1+20,""),IF(AND(YEAR(AprSun1+27)=KalendarskaGodina,MONTH(AprSun1+27)=4),AprSun1+27,""))</f>
        <v>43946</v>
      </c>
      <c r="Q17" s="1">
        <f>IF(DAY(AprSun1)=1,IF(AND(YEAR(AprSun1+21)=KalendarskaGodina,MONTH(AprSun1+21)=4),AprSun1+21,""),IF(AND(YEAR(AprSun1+28)=KalendarskaGodina,MONTH(AprSun1+28)=4),AprSun1+28,""))</f>
        <v>43947</v>
      </c>
      <c r="S17" s="25"/>
      <c r="U17" s="3"/>
      <c r="V17" s="30"/>
      <c r="W17" s="30"/>
    </row>
    <row r="18" spans="1:23" ht="15" customHeight="1" x14ac:dyDescent="0.2">
      <c r="C18" s="1">
        <f>IF(DAY(MarSun1)=1,IF(AND(YEAR(MarSun1+22)=KalendarskaGodina,MONTH(MarSun1+22)=3),MarSun1+22,""),IF(AND(YEAR(MarSun1+29)=KalendarskaGodina,MONTH(MarSun1+29)=3),MarSun1+29,""))</f>
        <v>43913</v>
      </c>
      <c r="D18" s="1">
        <f>IF(DAY(MarSun1)=1,IF(AND(YEAR(MarSun1+23)=KalendarskaGodina,MONTH(MarSun1+23)=3),MarSun1+23,""),IF(AND(YEAR(MarSun1+30)=KalendarskaGodina,MONTH(MarSun1+30)=3),MarSun1+30,""))</f>
        <v>43914</v>
      </c>
      <c r="E18" s="1">
        <f>IF(DAY(MarSun1)=1,IF(AND(YEAR(MarSun1+24)=KalendarskaGodina,MONTH(MarSun1+24)=3),MarSun1+24,""),IF(AND(YEAR(MarSun1+31)=KalendarskaGodina,MONTH(MarSun1+31)=3),MarSun1+31,""))</f>
        <v>43915</v>
      </c>
      <c r="F18" s="1">
        <f>IF(DAY(MarSun1)=1,IF(AND(YEAR(MarSun1+25)=KalendarskaGodina,MONTH(MarSun1+25)=3),MarSun1+25,""),IF(AND(YEAR(MarSun1+32)=KalendarskaGodina,MONTH(MarSun1+32)=3),MarSun1+32,""))</f>
        <v>43916</v>
      </c>
      <c r="G18" s="1">
        <f>IF(DAY(MarSun1)=1,IF(AND(YEAR(MarSun1+26)=KalendarskaGodina,MONTH(MarSun1+26)=3),MarSun1+26,""),IF(AND(YEAR(MarSun1+33)=KalendarskaGodina,MONTH(MarSun1+33)=3),MarSun1+33,""))</f>
        <v>43917</v>
      </c>
      <c r="H18" s="1">
        <f>IF(DAY(MarSun1)=1,IF(AND(YEAR(MarSun1+27)=KalendarskaGodina,MONTH(MarSun1+27)=3),MarSun1+27,""),IF(AND(YEAR(MarSun1+34)=KalendarskaGodina,MONTH(MarSun1+34)=3),MarSun1+34,""))</f>
        <v>43918</v>
      </c>
      <c r="I18" s="1">
        <f>IF(DAY(MarSun1)=1,IF(AND(YEAR(MarSun1+28)=KalendarskaGodina,MONTH(MarSun1+28)=3),MarSun1+28,""),IF(AND(YEAR(MarSun1+35)=KalendarskaGodina,MONTH(MarSun1+35)=3),MarSun1+35,""))</f>
        <v>43919</v>
      </c>
      <c r="J18" s="23"/>
      <c r="K18" s="1">
        <f>IF(DAY(AprSun1)=1,IF(AND(YEAR(AprSun1+22)=KalendarskaGodina,MONTH(AprSun1+22)=4),AprSun1+22,""),IF(AND(YEAR(AprSun1+29)=KalendarskaGodina,MONTH(AprSun1+29)=4),AprSun1+29,""))</f>
        <v>43948</v>
      </c>
      <c r="L18" s="1">
        <f>IF(DAY(AprSun1)=1,IF(AND(YEAR(AprSun1+23)=KalendarskaGodina,MONTH(AprSun1+23)=4),AprSun1+23,""),IF(AND(YEAR(AprSun1+30)=KalendarskaGodina,MONTH(AprSun1+30)=4),AprSun1+30,""))</f>
        <v>43949</v>
      </c>
      <c r="M18" s="1">
        <f>IF(DAY(AprSun1)=1,IF(AND(YEAR(AprSun1+24)=KalendarskaGodina,MONTH(AprSun1+24)=4),AprSun1+24,""),IF(AND(YEAR(AprSun1+31)=KalendarskaGodina,MONTH(AprSun1+31)=4),AprSun1+31,""))</f>
        <v>43950</v>
      </c>
      <c r="N18" s="1">
        <f>IF(DAY(AprSun1)=1,IF(AND(YEAR(AprSun1+25)=KalendarskaGodina,MONTH(AprSun1+25)=4),AprSun1+25,""),IF(AND(YEAR(AprSun1+32)=KalendarskaGodina,MONTH(AprSun1+32)=4),AprSun1+32,""))</f>
        <v>43951</v>
      </c>
      <c r="O18" s="1" t="str">
        <f>IF(DAY(AprSun1)=1,IF(AND(YEAR(AprSun1+26)=KalendarskaGodina,MONTH(AprSun1+26)=4),AprSun1+26,""),IF(AND(YEAR(AprSun1+33)=KalendarskaGodina,MONTH(AprSun1+33)=4),AprSun1+33,""))</f>
        <v/>
      </c>
      <c r="P18" s="1" t="str">
        <f>IF(DAY(AprSun1)=1,IF(AND(YEAR(AprSun1+27)=KalendarskaGodina,MONTH(AprSun1+27)=4),AprSun1+27,""),IF(AND(YEAR(AprSun1+34)=KalendarskaGodina,MONTH(AprSun1+34)=4),AprSun1+34,""))</f>
        <v/>
      </c>
      <c r="Q18" s="1" t="str">
        <f>IF(DAY(AprSun1)=1,IF(AND(YEAR(AprSun1+28)=KalendarskaGodina,MONTH(AprSun1+28)=4),AprSun1+28,""),IF(AND(YEAR(AprSun1+35)=KalendarskaGodina,MONTH(AprSun1+35)=4),AprSun1+35,""))</f>
        <v/>
      </c>
      <c r="S18" s="25"/>
      <c r="U18" s="11"/>
      <c r="V18" s="30"/>
      <c r="W18" s="30"/>
    </row>
    <row r="19" spans="1:23" ht="15" customHeight="1" x14ac:dyDescent="0.2">
      <c r="C19" s="1">
        <f>IF(DAY(MarSun1)=1,IF(AND(YEAR(MarSun1+29)=KalendarskaGodina,MONTH(MarSun1+29)=3),MarSun1+29,""),IF(AND(YEAR(MarSun1+36)=KalendarskaGodina,MONTH(MarSun1+36)=3),MarSun1+36,""))</f>
        <v>43920</v>
      </c>
      <c r="D19" s="1">
        <f>IF(DAY(MarSun1)=1,IF(AND(YEAR(MarSun1+30)=KalendarskaGodina,MONTH(MarSun1+30)=3),MarSun1+30,""),IF(AND(YEAR(MarSun1+37)=KalendarskaGodina,MONTH(MarSun1+37)=3),MarSun1+37,""))</f>
        <v>43921</v>
      </c>
      <c r="E19" s="1" t="str">
        <f>IF(DAY(MarSun1)=1,IF(AND(YEAR(MarSun1+31)=KalendarskaGodina,MONTH(MarSun1+31)=3),MarSun1+31,""),IF(AND(YEAR(MarSun1+38)=KalendarskaGodina,MONTH(MarSun1+38)=3),MarSun1+38,""))</f>
        <v/>
      </c>
      <c r="F19" s="1" t="str">
        <f>IF(DAY(MarSun1)=1,IF(AND(YEAR(MarSun1+32)=KalendarskaGodina,MONTH(MarSun1+32)=3),MarSun1+32,""),IF(AND(YEAR(MarSun1+39)=KalendarskaGodina,MONTH(MarSun1+39)=3),MarSun1+39,""))</f>
        <v/>
      </c>
      <c r="G19" s="1" t="str">
        <f>IF(DAY(MarSun1)=1,IF(AND(YEAR(MarSun1+33)=KalendarskaGodina,MONTH(MarSun1+33)=3),MarSun1+33,""),IF(AND(YEAR(MarSun1+40)=KalendarskaGodina,MONTH(MarSun1+40)=3),MarSun1+40,""))</f>
        <v/>
      </c>
      <c r="H19" s="1" t="str">
        <f>IF(DAY(MarSun1)=1,IF(AND(YEAR(MarSun1+34)=KalendarskaGodina,MONTH(MarSun1+34)=3),MarSun1+34,""),IF(AND(YEAR(MarSun1+41)=KalendarskaGodina,MONTH(MarSun1+41)=3),MarSun1+41,""))</f>
        <v/>
      </c>
      <c r="I19" s="1" t="str">
        <f>IF(DAY(MarSun1)=1,IF(AND(YEAR(MarSun1+35)=KalendarskaGodina,MONTH(MarSun1+35)=3),MarSun1+35,""),IF(AND(YEAR(MarSun1+42)=KalendarskaGodina,MONTH(MarSun1+42)=3),MarSun1+42,""))</f>
        <v/>
      </c>
      <c r="J19" s="23"/>
      <c r="K19" s="1" t="str">
        <f>IF(DAY(AprSun1)=1,IF(AND(YEAR(AprSun1+29)=KalendarskaGodina,MONTH(AprSun1+29)=4),AprSun1+29,""),IF(AND(YEAR(AprSun1+36)=KalendarskaGodina,MONTH(AprSun1+36)=4),AprSun1+36,""))</f>
        <v/>
      </c>
      <c r="L19" s="1" t="str">
        <f>IF(DAY(AprSun1)=1,IF(AND(YEAR(AprSun1+30)=KalendarskaGodina,MONTH(AprSun1+30)=4),AprSun1+30,""),IF(AND(YEAR(AprSun1+37)=KalendarskaGodina,MONTH(AprSun1+37)=4),AprSun1+37,""))</f>
        <v/>
      </c>
      <c r="M19" s="1" t="str">
        <f>IF(DAY(AprSun1)=1,IF(AND(YEAR(AprSun1+31)=KalendarskaGodina,MONTH(AprSun1+31)=4),AprSun1+31,""),IF(AND(YEAR(AprSun1+38)=KalendarskaGodina,MONTH(AprSun1+38)=4),AprSun1+38,""))</f>
        <v/>
      </c>
      <c r="N19" s="1" t="str">
        <f>IF(DAY(AprSun1)=1,IF(AND(YEAR(AprSun1+32)=KalendarskaGodina,MONTH(AprSun1+32)=4),AprSun1+32,""),IF(AND(YEAR(AprSun1+39)=KalendarskaGodina,MONTH(AprSun1+39)=4),AprSun1+39,""))</f>
        <v/>
      </c>
      <c r="O19" s="1" t="str">
        <f>IF(DAY(AprSun1)=1,IF(AND(YEAR(AprSun1+33)=KalendarskaGodina,MONTH(AprSun1+33)=4),AprSun1+33,""),IF(AND(YEAR(AprSun1+40)=KalendarskaGodina,MONTH(AprSun1+40)=4),AprSun1+40,""))</f>
        <v/>
      </c>
      <c r="P19" s="1" t="str">
        <f>IF(DAY(AprSun1)=1,IF(AND(YEAR(AprSun1+34)=KalendarskaGodina,MONTH(AprSun1+34)=4),AprSun1+34,""),IF(AND(YEAR(AprSun1+41)=KalendarskaGodina,MONTH(AprSun1+41)=4),AprSun1+41,""))</f>
        <v/>
      </c>
      <c r="Q19" s="1" t="str">
        <f>IF(DAY(AprSun1)=1,IF(AND(YEAR(AprSun1+35)=KalendarskaGodina,MONTH(AprSun1+35)=4),AprSun1+35,""),IF(AND(YEAR(AprSun1+42)=KalendarskaGodina,MONTH(AprSun1+42)=4),AprSun1+42,""))</f>
        <v/>
      </c>
      <c r="S19" s="25"/>
      <c r="U19" s="4"/>
      <c r="V19" s="30"/>
      <c r="W19" s="30"/>
    </row>
    <row r="20" spans="1:23" ht="15" customHeight="1" x14ac:dyDescent="0.2">
      <c r="J20" s="23"/>
      <c r="S20" s="25"/>
      <c r="U20" s="3"/>
      <c r="V20" s="30"/>
      <c r="W20" s="30"/>
    </row>
    <row r="21" spans="1:23" ht="15" customHeight="1" x14ac:dyDescent="0.2">
      <c r="A21" s="19" t="s">
        <v>13</v>
      </c>
      <c r="C21" s="27" t="s">
        <v>29</v>
      </c>
      <c r="D21" s="27"/>
      <c r="E21" s="27"/>
      <c r="F21" s="27"/>
      <c r="G21" s="27"/>
      <c r="H21" s="27"/>
      <c r="I21" s="27"/>
      <c r="J21" s="23"/>
      <c r="K21" s="27" t="s">
        <v>41</v>
      </c>
      <c r="L21" s="27"/>
      <c r="M21" s="27"/>
      <c r="N21" s="27"/>
      <c r="O21" s="27"/>
      <c r="P21" s="27"/>
      <c r="Q21" s="27"/>
      <c r="S21" s="25"/>
      <c r="U21" s="11"/>
      <c r="V21" s="30"/>
      <c r="W21" s="30"/>
    </row>
    <row r="22" spans="1:23" ht="15" customHeight="1" x14ac:dyDescent="0.2">
      <c r="A22" s="19" t="s">
        <v>14</v>
      </c>
      <c r="C22" s="12" t="s">
        <v>27</v>
      </c>
      <c r="D22" s="12" t="s">
        <v>33</v>
      </c>
      <c r="E22" s="12" t="s">
        <v>34</v>
      </c>
      <c r="F22" s="12" t="s">
        <v>35</v>
      </c>
      <c r="G22" s="12" t="s">
        <v>36</v>
      </c>
      <c r="H22" s="12" t="s">
        <v>37</v>
      </c>
      <c r="I22" s="12" t="s">
        <v>38</v>
      </c>
      <c r="K22" s="12" t="s">
        <v>27</v>
      </c>
      <c r="L22" s="12" t="s">
        <v>33</v>
      </c>
      <c r="M22" s="12" t="s">
        <v>34</v>
      </c>
      <c r="N22" s="12" t="s">
        <v>35</v>
      </c>
      <c r="O22" s="12" t="s">
        <v>36</v>
      </c>
      <c r="P22" s="12" t="s">
        <v>37</v>
      </c>
      <c r="Q22" s="12" t="s">
        <v>38</v>
      </c>
      <c r="S22" s="25"/>
      <c r="U22" s="4"/>
      <c r="V22" s="30"/>
      <c r="W22" s="30"/>
    </row>
    <row r="23" spans="1:23" ht="15" customHeight="1" x14ac:dyDescent="0.25">
      <c r="A23" s="19"/>
      <c r="C23" s="1" t="str">
        <f>IF(DAY(MaySun1)=1,"",IF(AND(YEAR(MaySun1+1)=KalendarskaGodina,MONTH(MaySun1+1)=5),MaySun1+1,""))</f>
        <v/>
      </c>
      <c r="D23" s="1" t="str">
        <f>IF(DAY(MaySun1)=1,"",IF(AND(YEAR(MaySun1+2)=KalendarskaGodina,MONTH(MaySun1+2)=5),MaySun1+2,""))</f>
        <v/>
      </c>
      <c r="E23" s="1" t="str">
        <f>IF(DAY(MaySun1)=1,"",IF(AND(YEAR(MaySun1+3)=KalendarskaGodina,MONTH(MaySun1+3)=5),MaySun1+3,""))</f>
        <v/>
      </c>
      <c r="F23" s="1" t="str">
        <f>IF(DAY(MaySun1)=1,"",IF(AND(YEAR(MaySun1+4)=KalendarskaGodina,MONTH(MaySun1+4)=5),MaySun1+4,""))</f>
        <v/>
      </c>
      <c r="G23" s="1">
        <f>IF(DAY(MaySun1)=1,"",IF(AND(YEAR(MaySun1+5)=KalendarskaGodina,MONTH(MaySun1+5)=5),MaySun1+5,""))</f>
        <v>43952</v>
      </c>
      <c r="H23" s="1">
        <f>IF(DAY(MaySun1)=1,"",IF(AND(YEAR(MaySun1+6)=KalendarskaGodina,MONTH(MaySun1+6)=5),MaySun1+6,""))</f>
        <v>43953</v>
      </c>
      <c r="I23" s="1">
        <f>IF(DAY(MaySun1)=1,IF(AND(YEAR(MaySun1)=KalendarskaGodina,MONTH(MaySun1)=5),MaySun1,""),IF(AND(YEAR(MaySun1+7)=KalendarskaGodina,MONTH(MaySun1+7)=5),MaySun1+7,""))</f>
        <v>43954</v>
      </c>
      <c r="J23" s="22"/>
      <c r="K23" s="1">
        <f>IF(DAY(JunSun1)=1,"",IF(AND(YEAR(JunSun1+1)=KalendarskaGodina,MONTH(JunSun1+1)=6),JunSun1+1,""))</f>
        <v>43983</v>
      </c>
      <c r="L23" s="1">
        <f>IF(DAY(JunSun1)=1,"",IF(AND(YEAR(JunSun1+2)=KalendarskaGodina,MONTH(JunSun1+2)=6),JunSun1+2,""))</f>
        <v>43984</v>
      </c>
      <c r="M23" s="1">
        <f>IF(DAY(JunSun1)=1,"",IF(AND(YEAR(JunSun1+3)=KalendarskaGodina,MONTH(JunSun1+3)=6),JunSun1+3,""))</f>
        <v>43985</v>
      </c>
      <c r="N23" s="1">
        <f>IF(DAY(JunSun1)=1,"",IF(AND(YEAR(JunSun1+4)=KalendarskaGodina,MONTH(JunSun1+4)=6),JunSun1+4,""))</f>
        <v>43986</v>
      </c>
      <c r="O23" s="1">
        <f>IF(DAY(JunSun1)=1,"",IF(AND(YEAR(JunSun1+5)=KalendarskaGodina,MONTH(JunSun1+5)=6),JunSun1+5,""))</f>
        <v>43987</v>
      </c>
      <c r="P23" s="1">
        <f>IF(DAY(JunSun1)=1,"",IF(AND(YEAR(JunSun1+6)=KalendarskaGodina,MONTH(JunSun1+6)=6),JunSun1+6,""))</f>
        <v>43988</v>
      </c>
      <c r="Q23" s="1">
        <f>IF(DAY(JunSun1)=1,IF(AND(YEAR(JunSun1)=KalendarskaGodina,MONTH(JunSun1)=6),JunSun1,""),IF(AND(YEAR(JunSun1+7)=KalendarskaGodina,MONTH(JunSun1+7)=6),JunSun1+7,""))</f>
        <v>43989</v>
      </c>
      <c r="S23" s="25"/>
      <c r="U23" s="3"/>
      <c r="V23" s="30"/>
      <c r="W23" s="30"/>
    </row>
    <row r="24" spans="1:23" ht="15" customHeight="1" x14ac:dyDescent="0.2">
      <c r="C24" s="1">
        <f>IF(DAY(MaySun1)=1,IF(AND(YEAR(MaySun1+1)=KalendarskaGodina,MONTH(MaySun1+1)=5),MaySun1+1,""),IF(AND(YEAR(MaySun1+8)=KalendarskaGodina,MONTH(MaySun1+8)=5),MaySun1+8,""))</f>
        <v>43955</v>
      </c>
      <c r="D24" s="1">
        <f>IF(DAY(MaySun1)=1,IF(AND(YEAR(MaySun1+2)=KalendarskaGodina,MONTH(MaySun1+2)=5),MaySun1+2,""),IF(AND(YEAR(MaySun1+9)=KalendarskaGodina,MONTH(MaySun1+9)=5),MaySun1+9,""))</f>
        <v>43956</v>
      </c>
      <c r="E24" s="1">
        <f>IF(DAY(MaySun1)=1,IF(AND(YEAR(MaySun1+3)=KalendarskaGodina,MONTH(MaySun1+3)=5),MaySun1+3,""),IF(AND(YEAR(MaySun1+10)=KalendarskaGodina,MONTH(MaySun1+10)=5),MaySun1+10,""))</f>
        <v>43957</v>
      </c>
      <c r="F24" s="1">
        <f>IF(DAY(MaySun1)=1,IF(AND(YEAR(MaySun1+4)=KalendarskaGodina,MONTH(MaySun1+4)=5),MaySun1+4,""),IF(AND(YEAR(MaySun1+11)=KalendarskaGodina,MONTH(MaySun1+11)=5),MaySun1+11,""))</f>
        <v>43958</v>
      </c>
      <c r="G24" s="1">
        <f>IF(DAY(MaySun1)=1,IF(AND(YEAR(MaySun1+5)=KalendarskaGodina,MONTH(MaySun1+5)=5),MaySun1+5,""),IF(AND(YEAR(MaySun1+12)=KalendarskaGodina,MONTH(MaySun1+12)=5),MaySun1+12,""))</f>
        <v>43959</v>
      </c>
      <c r="H24" s="1">
        <f>IF(DAY(MaySun1)=1,IF(AND(YEAR(MaySun1+6)=KalendarskaGodina,MONTH(MaySun1+6)=5),MaySun1+6,""),IF(AND(YEAR(MaySun1+13)=KalendarskaGodina,MONTH(MaySun1+13)=5),MaySun1+13,""))</f>
        <v>43960</v>
      </c>
      <c r="I24" s="1">
        <f>IF(DAY(MaySun1)=1,IF(AND(YEAR(MaySun1+7)=KalendarskaGodina,MONTH(MaySun1+7)=5),MaySun1+7,""),IF(AND(YEAR(MaySun1+14)=KalendarskaGodina,MONTH(MaySun1+14)=5),MaySun1+14,""))</f>
        <v>43961</v>
      </c>
      <c r="J24" s="23"/>
      <c r="K24" s="1">
        <f>IF(DAY(JunSun1)=1,IF(AND(YEAR(JunSun1+1)=KalendarskaGodina,MONTH(JunSun1+1)=6),JunSun1+1,""),IF(AND(YEAR(JunSun1+8)=KalendarskaGodina,MONTH(JunSun1+8)=6),JunSun1+8,""))</f>
        <v>43990</v>
      </c>
      <c r="L24" s="1">
        <f>IF(DAY(JunSun1)=1,IF(AND(YEAR(JunSun1+2)=KalendarskaGodina,MONTH(JunSun1+2)=6),JunSun1+2,""),IF(AND(YEAR(JunSun1+9)=KalendarskaGodina,MONTH(JunSun1+9)=6),JunSun1+9,""))</f>
        <v>43991</v>
      </c>
      <c r="M24" s="1">
        <f>IF(DAY(JunSun1)=1,IF(AND(YEAR(JunSun1+3)=KalendarskaGodina,MONTH(JunSun1+3)=6),JunSun1+3,""),IF(AND(YEAR(JunSun1+10)=KalendarskaGodina,MONTH(JunSun1+10)=6),JunSun1+10,""))</f>
        <v>43992</v>
      </c>
      <c r="N24" s="1">
        <f>IF(DAY(JunSun1)=1,IF(AND(YEAR(JunSun1+4)=KalendarskaGodina,MONTH(JunSun1+4)=6),JunSun1+4,""),IF(AND(YEAR(JunSun1+11)=KalendarskaGodina,MONTH(JunSun1+11)=6),JunSun1+11,""))</f>
        <v>43993</v>
      </c>
      <c r="O24" s="1">
        <f>IF(DAY(JunSun1)=1,IF(AND(YEAR(JunSun1+5)=KalendarskaGodina,MONTH(JunSun1+5)=6),JunSun1+5,""),IF(AND(YEAR(JunSun1+12)=KalendarskaGodina,MONTH(JunSun1+12)=6),JunSun1+12,""))</f>
        <v>43994</v>
      </c>
      <c r="P24" s="1">
        <f>IF(DAY(JunSun1)=1,IF(AND(YEAR(JunSun1+6)=KalendarskaGodina,MONTH(JunSun1+6)=6),JunSun1+6,""),IF(AND(YEAR(JunSun1+13)=KalendarskaGodina,MONTH(JunSun1+13)=6),JunSun1+13,""))</f>
        <v>43995</v>
      </c>
      <c r="Q24" s="1">
        <f>IF(DAY(JunSun1)=1,IF(AND(YEAR(JunSun1+7)=KalendarskaGodina,MONTH(JunSun1+7)=6),JunSun1+7,""),IF(AND(YEAR(JunSun1+14)=KalendarskaGodina,MONTH(JunSun1+14)=6),JunSun1+14,""))</f>
        <v>43996</v>
      </c>
      <c r="S24" s="25"/>
      <c r="U24" s="11"/>
      <c r="V24" s="30"/>
      <c r="W24" s="30"/>
    </row>
    <row r="25" spans="1:23" ht="15" customHeight="1" x14ac:dyDescent="0.2">
      <c r="C25" s="1">
        <f>IF(DAY(MaySun1)=1,IF(AND(YEAR(MaySun1+8)=KalendarskaGodina,MONTH(MaySun1+8)=5),MaySun1+8,""),IF(AND(YEAR(MaySun1+15)=KalendarskaGodina,MONTH(MaySun1+15)=5),MaySun1+15,""))</f>
        <v>43962</v>
      </c>
      <c r="D25" s="1">
        <f>IF(DAY(MaySun1)=1,IF(AND(YEAR(MaySun1+9)=KalendarskaGodina,MONTH(MaySun1+9)=5),MaySun1+9,""),IF(AND(YEAR(MaySun1+16)=KalendarskaGodina,MONTH(MaySun1+16)=5),MaySun1+16,""))</f>
        <v>43963</v>
      </c>
      <c r="E25" s="1">
        <f>IF(DAY(MaySun1)=1,IF(AND(YEAR(MaySun1+10)=KalendarskaGodina,MONTH(MaySun1+10)=5),MaySun1+10,""),IF(AND(YEAR(MaySun1+17)=KalendarskaGodina,MONTH(MaySun1+17)=5),MaySun1+17,""))</f>
        <v>43964</v>
      </c>
      <c r="F25" s="1">
        <f>IF(DAY(MaySun1)=1,IF(AND(YEAR(MaySun1+11)=KalendarskaGodina,MONTH(MaySun1+11)=5),MaySun1+11,""),IF(AND(YEAR(MaySun1+18)=KalendarskaGodina,MONTH(MaySun1+18)=5),MaySun1+18,""))</f>
        <v>43965</v>
      </c>
      <c r="G25" s="1">
        <f>IF(DAY(MaySun1)=1,IF(AND(YEAR(MaySun1+12)=KalendarskaGodina,MONTH(MaySun1+12)=5),MaySun1+12,""),IF(AND(YEAR(MaySun1+19)=KalendarskaGodina,MONTH(MaySun1+19)=5),MaySun1+19,""))</f>
        <v>43966</v>
      </c>
      <c r="H25" s="1">
        <f>IF(DAY(MaySun1)=1,IF(AND(YEAR(MaySun1+13)=KalendarskaGodina,MONTH(MaySun1+13)=5),MaySun1+13,""),IF(AND(YEAR(MaySun1+20)=KalendarskaGodina,MONTH(MaySun1+20)=5),MaySun1+20,""))</f>
        <v>43967</v>
      </c>
      <c r="I25" s="1">
        <f>IF(DAY(MaySun1)=1,IF(AND(YEAR(MaySun1+14)=KalendarskaGodina,MONTH(MaySun1+14)=5),MaySun1+14,""),IF(AND(YEAR(MaySun1+21)=KalendarskaGodina,MONTH(MaySun1+21)=5),MaySun1+21,""))</f>
        <v>43968</v>
      </c>
      <c r="J25" s="23"/>
      <c r="K25" s="1">
        <f>IF(DAY(JunSun1)=1,IF(AND(YEAR(JunSun1+8)=KalendarskaGodina,MONTH(JunSun1+8)=6),JunSun1+8,""),IF(AND(YEAR(JunSun1+15)=KalendarskaGodina,MONTH(JunSun1+15)=6),JunSun1+15,""))</f>
        <v>43997</v>
      </c>
      <c r="L25" s="1">
        <f>IF(DAY(JunSun1)=1,IF(AND(YEAR(JunSun1+9)=KalendarskaGodina,MONTH(JunSun1+9)=6),JunSun1+9,""),IF(AND(YEAR(JunSun1+16)=KalendarskaGodina,MONTH(JunSun1+16)=6),JunSun1+16,""))</f>
        <v>43998</v>
      </c>
      <c r="M25" s="1">
        <f>IF(DAY(JunSun1)=1,IF(AND(YEAR(JunSun1+10)=KalendarskaGodina,MONTH(JunSun1+10)=6),JunSun1+10,""),IF(AND(YEAR(JunSun1+17)=KalendarskaGodina,MONTH(JunSun1+17)=6),JunSun1+17,""))</f>
        <v>43999</v>
      </c>
      <c r="N25" s="1">
        <f>IF(DAY(JunSun1)=1,IF(AND(YEAR(JunSun1+11)=KalendarskaGodina,MONTH(JunSun1+11)=6),JunSun1+11,""),IF(AND(YEAR(JunSun1+18)=KalendarskaGodina,MONTH(JunSun1+18)=6),JunSun1+18,""))</f>
        <v>44000</v>
      </c>
      <c r="O25" s="1">
        <f>IF(DAY(JunSun1)=1,IF(AND(YEAR(JunSun1+12)=KalendarskaGodina,MONTH(JunSun1+12)=6),JunSun1+12,""),IF(AND(YEAR(JunSun1+19)=KalendarskaGodina,MONTH(JunSun1+19)=6),JunSun1+19,""))</f>
        <v>44001</v>
      </c>
      <c r="P25" s="1">
        <f>IF(DAY(JunSun1)=1,IF(AND(YEAR(JunSun1+13)=KalendarskaGodina,MONTH(JunSun1+13)=6),JunSun1+13,""),IF(AND(YEAR(JunSun1+20)=KalendarskaGodina,MONTH(JunSun1+20)=6),JunSun1+20,""))</f>
        <v>44002</v>
      </c>
      <c r="Q25" s="1">
        <f>IF(DAY(JunSun1)=1,IF(AND(YEAR(JunSun1+14)=KalendarskaGodina,MONTH(JunSun1+14)=6),JunSun1+14,""),IF(AND(YEAR(JunSun1+21)=KalendarskaGodina,MONTH(JunSun1+21)=6),JunSun1+21,""))</f>
        <v>44003</v>
      </c>
      <c r="S25" s="25"/>
      <c r="U25" s="4"/>
      <c r="V25" s="30"/>
      <c r="W25" s="30"/>
    </row>
    <row r="26" spans="1:23" ht="15" customHeight="1" x14ac:dyDescent="0.2">
      <c r="C26" s="1">
        <f>IF(DAY(MaySun1)=1,IF(AND(YEAR(MaySun1+15)=KalendarskaGodina,MONTH(MaySun1+15)=5),MaySun1+15,""),IF(AND(YEAR(MaySun1+22)=KalendarskaGodina,MONTH(MaySun1+22)=5),MaySun1+22,""))</f>
        <v>43969</v>
      </c>
      <c r="D26" s="1">
        <f>IF(DAY(MaySun1)=1,IF(AND(YEAR(MaySun1+16)=KalendarskaGodina,MONTH(MaySun1+16)=5),MaySun1+16,""),IF(AND(YEAR(MaySun1+23)=KalendarskaGodina,MONTH(MaySun1+23)=5),MaySun1+23,""))</f>
        <v>43970</v>
      </c>
      <c r="E26" s="1">
        <f>IF(DAY(MaySun1)=1,IF(AND(YEAR(MaySun1+17)=KalendarskaGodina,MONTH(MaySun1+17)=5),MaySun1+17,""),IF(AND(YEAR(MaySun1+24)=KalendarskaGodina,MONTH(MaySun1+24)=5),MaySun1+24,""))</f>
        <v>43971</v>
      </c>
      <c r="F26" s="1">
        <f>IF(DAY(MaySun1)=1,IF(AND(YEAR(MaySun1+18)=KalendarskaGodina,MONTH(MaySun1+18)=5),MaySun1+18,""),IF(AND(YEAR(MaySun1+25)=KalendarskaGodina,MONTH(MaySun1+25)=5),MaySun1+25,""))</f>
        <v>43972</v>
      </c>
      <c r="G26" s="1">
        <f>IF(DAY(MaySun1)=1,IF(AND(YEAR(MaySun1+19)=KalendarskaGodina,MONTH(MaySun1+19)=5),MaySun1+19,""),IF(AND(YEAR(MaySun1+26)=KalendarskaGodina,MONTH(MaySun1+26)=5),MaySun1+26,""))</f>
        <v>43973</v>
      </c>
      <c r="H26" s="1">
        <f>IF(DAY(MaySun1)=1,IF(AND(YEAR(MaySun1+20)=KalendarskaGodina,MONTH(MaySun1+20)=5),MaySun1+20,""),IF(AND(YEAR(MaySun1+27)=KalendarskaGodina,MONTH(MaySun1+27)=5),MaySun1+27,""))</f>
        <v>43974</v>
      </c>
      <c r="I26" s="1">
        <f>IF(DAY(MaySun1)=1,IF(AND(YEAR(MaySun1+21)=KalendarskaGodina,MONTH(MaySun1+21)=5),MaySun1+21,""),IF(AND(YEAR(MaySun1+28)=KalendarskaGodina,MONTH(MaySun1+28)=5),MaySun1+28,""))</f>
        <v>43975</v>
      </c>
      <c r="J26" s="23"/>
      <c r="K26" s="1">
        <f>IF(DAY(JunSun1)=1,IF(AND(YEAR(JunSun1+15)=KalendarskaGodina,MONTH(JunSun1+15)=6),JunSun1+15,""),IF(AND(YEAR(JunSun1+22)=KalendarskaGodina,MONTH(JunSun1+22)=6),JunSun1+22,""))</f>
        <v>44004</v>
      </c>
      <c r="L26" s="1">
        <f>IF(DAY(JunSun1)=1,IF(AND(YEAR(JunSun1+16)=KalendarskaGodina,MONTH(JunSun1+16)=6),JunSun1+16,""),IF(AND(YEAR(JunSun1+23)=KalendarskaGodina,MONTH(JunSun1+23)=6),JunSun1+23,""))</f>
        <v>44005</v>
      </c>
      <c r="M26" s="1">
        <f>IF(DAY(JunSun1)=1,IF(AND(YEAR(JunSun1+17)=KalendarskaGodina,MONTH(JunSun1+17)=6),JunSun1+17,""),IF(AND(YEAR(JunSun1+24)=KalendarskaGodina,MONTH(JunSun1+24)=6),JunSun1+24,""))</f>
        <v>44006</v>
      </c>
      <c r="N26" s="1">
        <f>IF(DAY(JunSun1)=1,IF(AND(YEAR(JunSun1+18)=KalendarskaGodina,MONTH(JunSun1+18)=6),JunSun1+18,""),IF(AND(YEAR(JunSun1+25)=KalendarskaGodina,MONTH(JunSun1+25)=6),JunSun1+25,""))</f>
        <v>44007</v>
      </c>
      <c r="O26" s="1">
        <f>IF(DAY(JunSun1)=1,IF(AND(YEAR(JunSun1+19)=KalendarskaGodina,MONTH(JunSun1+19)=6),JunSun1+19,""),IF(AND(YEAR(JunSun1+26)=KalendarskaGodina,MONTH(JunSun1+26)=6),JunSun1+26,""))</f>
        <v>44008</v>
      </c>
      <c r="P26" s="1">
        <f>IF(DAY(JunSun1)=1,IF(AND(YEAR(JunSun1+20)=KalendarskaGodina,MONTH(JunSun1+20)=6),JunSun1+20,""),IF(AND(YEAR(JunSun1+27)=KalendarskaGodina,MONTH(JunSun1+27)=6),JunSun1+27,""))</f>
        <v>44009</v>
      </c>
      <c r="Q26" s="1">
        <f>IF(DAY(JunSun1)=1,IF(AND(YEAR(JunSun1+21)=KalendarskaGodina,MONTH(JunSun1+21)=6),JunSun1+21,""),IF(AND(YEAR(JunSun1+28)=KalendarskaGodina,MONTH(JunSun1+28)=6),JunSun1+28,""))</f>
        <v>44010</v>
      </c>
      <c r="S26" s="25"/>
      <c r="U26" s="3"/>
      <c r="V26" s="30"/>
      <c r="W26" s="30"/>
    </row>
    <row r="27" spans="1:23" ht="15" customHeight="1" x14ac:dyDescent="0.2">
      <c r="C27" s="1">
        <f>IF(DAY(MaySun1)=1,IF(AND(YEAR(MaySun1+22)=KalendarskaGodina,MONTH(MaySun1+22)=5),MaySun1+22,""),IF(AND(YEAR(MaySun1+29)=KalendarskaGodina,MONTH(MaySun1+29)=5),MaySun1+29,""))</f>
        <v>43976</v>
      </c>
      <c r="D27" s="1">
        <f>IF(DAY(MaySun1)=1,IF(AND(YEAR(MaySun1+23)=KalendarskaGodina,MONTH(MaySun1+23)=5),MaySun1+23,""),IF(AND(YEAR(MaySun1+30)=KalendarskaGodina,MONTH(MaySun1+30)=5),MaySun1+30,""))</f>
        <v>43977</v>
      </c>
      <c r="E27" s="1">
        <f>IF(DAY(MaySun1)=1,IF(AND(YEAR(MaySun1+24)=KalendarskaGodina,MONTH(MaySun1+24)=5),MaySun1+24,""),IF(AND(YEAR(MaySun1+31)=KalendarskaGodina,MONTH(MaySun1+31)=5),MaySun1+31,""))</f>
        <v>43978</v>
      </c>
      <c r="F27" s="1">
        <f>IF(DAY(MaySun1)=1,IF(AND(YEAR(MaySun1+25)=KalendarskaGodina,MONTH(MaySun1+25)=5),MaySun1+25,""),IF(AND(YEAR(MaySun1+32)=KalendarskaGodina,MONTH(MaySun1+32)=5),MaySun1+32,""))</f>
        <v>43979</v>
      </c>
      <c r="G27" s="1">
        <f>IF(DAY(MaySun1)=1,IF(AND(YEAR(MaySun1+26)=KalendarskaGodina,MONTH(MaySun1+26)=5),MaySun1+26,""),IF(AND(YEAR(MaySun1+33)=KalendarskaGodina,MONTH(MaySun1+33)=5),MaySun1+33,""))</f>
        <v>43980</v>
      </c>
      <c r="H27" s="1">
        <f>IF(DAY(MaySun1)=1,IF(AND(YEAR(MaySun1+27)=KalendarskaGodina,MONTH(MaySun1+27)=5),MaySun1+27,""),IF(AND(YEAR(MaySun1+34)=KalendarskaGodina,MONTH(MaySun1+34)=5),MaySun1+34,""))</f>
        <v>43981</v>
      </c>
      <c r="I27" s="1">
        <f>IF(DAY(MaySun1)=1,IF(AND(YEAR(MaySun1+28)=KalendarskaGodina,MONTH(MaySun1+28)=5),MaySun1+28,""),IF(AND(YEAR(MaySun1+35)=KalendarskaGodina,MONTH(MaySun1+35)=5),MaySun1+35,""))</f>
        <v>43982</v>
      </c>
      <c r="J27" s="23"/>
      <c r="K27" s="1">
        <f>IF(DAY(JunSun1)=1,IF(AND(YEAR(JunSun1+22)=KalendarskaGodina,MONTH(JunSun1+22)=6),JunSun1+22,""),IF(AND(YEAR(JunSun1+29)=KalendarskaGodina,MONTH(JunSun1+29)=6),JunSun1+29,""))</f>
        <v>44011</v>
      </c>
      <c r="L27" s="1">
        <f>IF(DAY(JunSun1)=1,IF(AND(YEAR(JunSun1+23)=KalendarskaGodina,MONTH(JunSun1+23)=6),JunSun1+23,""),IF(AND(YEAR(JunSun1+30)=KalendarskaGodina,MONTH(JunSun1+30)=6),JunSun1+30,""))</f>
        <v>44012</v>
      </c>
      <c r="M27" s="1" t="str">
        <f>IF(DAY(JunSun1)=1,IF(AND(YEAR(JunSun1+24)=KalendarskaGodina,MONTH(JunSun1+24)=6),JunSun1+24,""),IF(AND(YEAR(JunSun1+31)=KalendarskaGodina,MONTH(JunSun1+31)=6),JunSun1+31,""))</f>
        <v/>
      </c>
      <c r="N27" s="1" t="str">
        <f>IF(DAY(JunSun1)=1,IF(AND(YEAR(JunSun1+25)=KalendarskaGodina,MONTH(JunSun1+25)=6),JunSun1+25,""),IF(AND(YEAR(JunSun1+32)=KalendarskaGodina,MONTH(JunSun1+32)=6),JunSun1+32,""))</f>
        <v/>
      </c>
      <c r="O27" s="1" t="str">
        <f>IF(DAY(JunSun1)=1,IF(AND(YEAR(JunSun1+26)=KalendarskaGodina,MONTH(JunSun1+26)=6),JunSun1+26,""),IF(AND(YEAR(JunSun1+33)=KalendarskaGodina,MONTH(JunSun1+33)=6),JunSun1+33,""))</f>
        <v/>
      </c>
      <c r="P27" s="1" t="str">
        <f>IF(DAY(JunSun1)=1,IF(AND(YEAR(JunSun1+27)=KalendarskaGodina,MONTH(JunSun1+27)=6),JunSun1+27,""),IF(AND(YEAR(JunSun1+34)=KalendarskaGodina,MONTH(JunSun1+34)=6),JunSun1+34,""))</f>
        <v/>
      </c>
      <c r="Q27" s="1" t="str">
        <f>IF(DAY(JunSun1)=1,IF(AND(YEAR(JunSun1+28)=KalendarskaGodina,MONTH(JunSun1+28)=6),JunSun1+28,""),IF(AND(YEAR(JunSun1+35)=KalendarskaGodina,MONTH(JunSun1+35)=6),JunSun1+35,""))</f>
        <v/>
      </c>
      <c r="S27" s="25"/>
      <c r="U27" s="11"/>
      <c r="V27" s="30"/>
      <c r="W27" s="30"/>
    </row>
    <row r="28" spans="1:23" ht="15" customHeight="1" x14ac:dyDescent="0.2">
      <c r="C28" s="1" t="str">
        <f>IF(DAY(MaySun1)=1,IF(AND(YEAR(MaySun1+29)=KalendarskaGodina,MONTH(MaySun1+29)=5),MaySun1+29,""),IF(AND(YEAR(MaySun1+36)=KalendarskaGodina,MONTH(MaySun1+36)=5),MaySun1+36,""))</f>
        <v/>
      </c>
      <c r="D28" s="1" t="str">
        <f>IF(DAY(MaySun1)=1,IF(AND(YEAR(MaySun1+30)=KalendarskaGodina,MONTH(MaySun1+30)=5),MaySun1+30,""),IF(AND(YEAR(MaySun1+37)=KalendarskaGodina,MONTH(MaySun1+37)=5),MaySun1+37,""))</f>
        <v/>
      </c>
      <c r="E28" s="1" t="str">
        <f>IF(DAY(MaySun1)=1,IF(AND(YEAR(MaySun1+31)=KalendarskaGodina,MONTH(MaySun1+31)=5),MaySun1+31,""),IF(AND(YEAR(MaySun1+38)=KalendarskaGodina,MONTH(MaySun1+38)=5),MaySun1+38,""))</f>
        <v/>
      </c>
      <c r="F28" s="1" t="str">
        <f>IF(DAY(MaySun1)=1,IF(AND(YEAR(MaySun1+32)=KalendarskaGodina,MONTH(MaySun1+32)=5),MaySun1+32,""),IF(AND(YEAR(MaySun1+39)=KalendarskaGodina,MONTH(MaySun1+39)=5),MaySun1+39,""))</f>
        <v/>
      </c>
      <c r="G28" s="1" t="str">
        <f>IF(DAY(MaySun1)=1,IF(AND(YEAR(MaySun1+33)=KalendarskaGodina,MONTH(MaySun1+33)=5),MaySun1+33,""),IF(AND(YEAR(MaySun1+40)=KalendarskaGodina,MONTH(MaySun1+40)=5),MaySun1+40,""))</f>
        <v/>
      </c>
      <c r="H28" s="1" t="str">
        <f>IF(DAY(MaySun1)=1,IF(AND(YEAR(MaySun1+34)=KalendarskaGodina,MONTH(MaySun1+34)=5),MaySun1+34,""),IF(AND(YEAR(MaySun1+41)=KalendarskaGodina,MONTH(MaySun1+41)=5),MaySun1+41,""))</f>
        <v/>
      </c>
      <c r="I28" s="1" t="str">
        <f>IF(DAY(MaySun1)=1,IF(AND(YEAR(MaySun1+35)=KalendarskaGodina,MONTH(MaySun1+35)=5),MaySun1+35,""),IF(AND(YEAR(MaySun1+42)=KalendarskaGodina,MONTH(MaySun1+42)=5),MaySun1+42,""))</f>
        <v/>
      </c>
      <c r="J28" s="23"/>
      <c r="K28" s="1" t="str">
        <f>IF(DAY(JunSun1)=1,IF(AND(YEAR(JunSun1+29)=KalendarskaGodina,MONTH(JunSun1+29)=6),JunSun1+29,""),IF(AND(YEAR(JunSun1+36)=KalendarskaGodina,MONTH(JunSun1+36)=6),JunSun1+36,""))</f>
        <v/>
      </c>
      <c r="L28" s="1" t="str">
        <f>IF(DAY(JunSun1)=1,IF(AND(YEAR(JunSun1+30)=KalendarskaGodina,MONTH(JunSun1+30)=6),JunSun1+30,""),IF(AND(YEAR(JunSun1+37)=KalendarskaGodina,MONTH(JunSun1+37)=6),JunSun1+37,""))</f>
        <v/>
      </c>
      <c r="M28" s="1" t="str">
        <f>IF(DAY(JunSun1)=1,IF(AND(YEAR(JunSun1+31)=KalendarskaGodina,MONTH(JunSun1+31)=6),JunSun1+31,""),IF(AND(YEAR(JunSun1+38)=KalendarskaGodina,MONTH(JunSun1+38)=6),JunSun1+38,""))</f>
        <v/>
      </c>
      <c r="N28" s="1" t="str">
        <f>IF(DAY(JunSun1)=1,IF(AND(YEAR(JunSun1+32)=KalendarskaGodina,MONTH(JunSun1+32)=6),JunSun1+32,""),IF(AND(YEAR(JunSun1+39)=KalendarskaGodina,MONTH(JunSun1+39)=6),JunSun1+39,""))</f>
        <v/>
      </c>
      <c r="O28" s="1" t="str">
        <f>IF(DAY(JunSun1)=1,IF(AND(YEAR(JunSun1+33)=KalendarskaGodina,MONTH(JunSun1+33)=6),JunSun1+33,""),IF(AND(YEAR(JunSun1+40)=KalendarskaGodina,MONTH(JunSun1+40)=6),JunSun1+40,""))</f>
        <v/>
      </c>
      <c r="P28" s="1" t="str">
        <f>IF(DAY(JunSun1)=1,IF(AND(YEAR(JunSun1+34)=KalendarskaGodina,MONTH(JunSun1+34)=6),JunSun1+34,""),IF(AND(YEAR(JunSun1+41)=KalendarskaGodina,MONTH(JunSun1+41)=6),JunSun1+41,""))</f>
        <v/>
      </c>
      <c r="Q28" s="1" t="str">
        <f>IF(DAY(JunSun1)=1,IF(AND(YEAR(JunSun1+35)=KalendarskaGodina,MONTH(JunSun1+35)=6),JunSun1+35,""),IF(AND(YEAR(JunSun1+42)=KalendarskaGodina,MONTH(JunSun1+42)=6),JunSun1+42,""))</f>
        <v/>
      </c>
      <c r="S28" s="25"/>
      <c r="U28" s="4"/>
      <c r="V28" s="30"/>
      <c r="W28" s="30"/>
    </row>
    <row r="29" spans="1:23" ht="15" customHeight="1" x14ac:dyDescent="0.2">
      <c r="J29" s="23"/>
      <c r="S29" s="25"/>
      <c r="U29" s="3"/>
      <c r="V29" s="30"/>
      <c r="W29" s="30"/>
    </row>
    <row r="30" spans="1:23" ht="15" customHeight="1" x14ac:dyDescent="0.2">
      <c r="A30" s="19" t="s">
        <v>15</v>
      </c>
      <c r="C30" s="27" t="s">
        <v>30</v>
      </c>
      <c r="D30" s="27"/>
      <c r="E30" s="27"/>
      <c r="F30" s="27"/>
      <c r="G30" s="27"/>
      <c r="H30" s="27"/>
      <c r="I30" s="27"/>
      <c r="J30" s="23"/>
      <c r="K30" s="27" t="s">
        <v>42</v>
      </c>
      <c r="L30" s="27"/>
      <c r="M30" s="27"/>
      <c r="N30" s="27"/>
      <c r="O30" s="27"/>
      <c r="P30" s="27"/>
      <c r="Q30" s="27"/>
      <c r="S30" s="25"/>
      <c r="U30" s="11"/>
      <c r="V30" s="30"/>
      <c r="W30" s="30"/>
    </row>
    <row r="31" spans="1:23" ht="15" customHeight="1" x14ac:dyDescent="0.2">
      <c r="A31" s="19" t="s">
        <v>16</v>
      </c>
      <c r="C31" s="12" t="s">
        <v>27</v>
      </c>
      <c r="D31" s="12" t="s">
        <v>33</v>
      </c>
      <c r="E31" s="12" t="s">
        <v>34</v>
      </c>
      <c r="F31" s="12" t="s">
        <v>35</v>
      </c>
      <c r="G31" s="12" t="s">
        <v>36</v>
      </c>
      <c r="H31" s="12" t="s">
        <v>37</v>
      </c>
      <c r="I31" s="12" t="s">
        <v>38</v>
      </c>
      <c r="J31" s="23"/>
      <c r="K31" s="12" t="s">
        <v>27</v>
      </c>
      <c r="L31" s="12" t="s">
        <v>33</v>
      </c>
      <c r="M31" s="12" t="s">
        <v>34</v>
      </c>
      <c r="N31" s="12" t="s">
        <v>35</v>
      </c>
      <c r="O31" s="12" t="s">
        <v>36</v>
      </c>
      <c r="P31" s="12" t="s">
        <v>37</v>
      </c>
      <c r="Q31" s="12" t="s">
        <v>38</v>
      </c>
      <c r="S31" s="25"/>
      <c r="U31" s="4"/>
      <c r="V31" s="30"/>
      <c r="W31" s="30"/>
    </row>
    <row r="32" spans="1:23" ht="15" customHeight="1" x14ac:dyDescent="0.2">
      <c r="A32" s="19"/>
      <c r="C32" s="1" t="str">
        <f>IF(DAY(JulSun1)=1,"",IF(AND(YEAR(JulSun1+1)=KalendarskaGodina,MONTH(JulSun1+1)=7),JulSun1+1,""))</f>
        <v/>
      </c>
      <c r="D32" s="1" t="str">
        <f>IF(DAY(JulSun1)=1,"",IF(AND(YEAR(JulSun1+2)=KalendarskaGodina,MONTH(JulSun1+2)=7),JulSun1+2,""))</f>
        <v/>
      </c>
      <c r="E32" s="1">
        <f>IF(DAY(JulSun1)=1,"",IF(AND(YEAR(JulSun1+3)=KalendarskaGodina,MONTH(JulSun1+3)=7),JulSun1+3,""))</f>
        <v>44013</v>
      </c>
      <c r="F32" s="1">
        <f>IF(DAY(JulSun1)=1,"",IF(AND(YEAR(JulSun1+4)=KalendarskaGodina,MONTH(JulSun1+4)=7),JulSun1+4,""))</f>
        <v>44014</v>
      </c>
      <c r="G32" s="1">
        <f>IF(DAY(JulSun1)=1,"",IF(AND(YEAR(JulSun1+5)=KalendarskaGodina,MONTH(JulSun1+5)=7),JulSun1+5,""))</f>
        <v>44015</v>
      </c>
      <c r="H32" s="1">
        <f>IF(DAY(JulSun1)=1,"",IF(AND(YEAR(JulSun1+6)=KalendarskaGodina,MONTH(JulSun1+6)=7),JulSun1+6,""))</f>
        <v>44016</v>
      </c>
      <c r="I32" s="1">
        <f>IF(DAY(JulSun1)=1,IF(AND(YEAR(JulSun1)=KalendarskaGodina,MONTH(JulSun1)=7),JulSun1,""),IF(AND(YEAR(JulSun1+7)=KalendarskaGodina,MONTH(JulSun1+7)=7),JulSun1+7,""))</f>
        <v>44017</v>
      </c>
      <c r="K32" s="1" t="str">
        <f>IF(DAY(AugSun1)=1,"",IF(AND(YEAR(AugSun1+1)=KalendarskaGodina,MONTH(AugSun1+1)=8),AugSun1+1,""))</f>
        <v/>
      </c>
      <c r="L32" s="1" t="str">
        <f>IF(DAY(AugSun1)=1,"",IF(AND(YEAR(AugSun1+2)=KalendarskaGodina,MONTH(AugSun1+2)=8),AugSun1+2,""))</f>
        <v/>
      </c>
      <c r="M32" s="1" t="str">
        <f>IF(DAY(AugSun1)=1,"",IF(AND(YEAR(AugSun1+3)=KalendarskaGodina,MONTH(AugSun1+3)=8),AugSun1+3,""))</f>
        <v/>
      </c>
      <c r="N32" s="1" t="str">
        <f>IF(DAY(AugSun1)=1,"",IF(AND(YEAR(AugSun1+4)=KalendarskaGodina,MONTH(AugSun1+4)=8),AugSun1+4,""))</f>
        <v/>
      </c>
      <c r="O32" s="1" t="str">
        <f>IF(DAY(AugSun1)=1,"",IF(AND(YEAR(AugSun1+5)=KalendarskaGodina,MONTH(AugSun1+5)=8),AugSun1+5,""))</f>
        <v/>
      </c>
      <c r="P32" s="1">
        <f>IF(DAY(AugSun1)=1,"",IF(AND(YEAR(AugSun1+6)=KalendarskaGodina,MONTH(AugSun1+6)=8),AugSun1+6,""))</f>
        <v>44044</v>
      </c>
      <c r="Q32" s="1">
        <f>IF(DAY(AugSun1)=1,IF(AND(YEAR(AugSun1)=KalendarskaGodina,MONTH(AugSun1)=8),AugSun1,""),IF(AND(YEAR(AugSun1+7)=KalendarskaGodina,MONTH(AugSun1+7)=8),AugSun1+7,""))</f>
        <v>44045</v>
      </c>
      <c r="S32" s="25"/>
      <c r="U32" s="3"/>
      <c r="V32" s="30"/>
      <c r="W32" s="30"/>
    </row>
    <row r="33" spans="1:23" ht="15" customHeight="1" x14ac:dyDescent="0.2">
      <c r="A33" s="19"/>
      <c r="C33" s="1">
        <f>IF(DAY(JulSun1)=1,IF(AND(YEAR(JulSun1+1)=KalendarskaGodina,MONTH(JulSun1+1)=7),JulSun1+1,""),IF(AND(YEAR(JulSun1+8)=KalendarskaGodina,MONTH(JulSun1+8)=7),JulSun1+8,""))</f>
        <v>44018</v>
      </c>
      <c r="D33" s="1">
        <f>IF(DAY(JulSun1)=1,IF(AND(YEAR(JulSun1+2)=KalendarskaGodina,MONTH(JulSun1+2)=7),JulSun1+2,""),IF(AND(YEAR(JulSun1+9)=KalendarskaGodina,MONTH(JulSun1+9)=7),JulSun1+9,""))</f>
        <v>44019</v>
      </c>
      <c r="E33" s="1">
        <f>IF(DAY(JulSun1)=1,IF(AND(YEAR(JulSun1+3)=KalendarskaGodina,MONTH(JulSun1+3)=7),JulSun1+3,""),IF(AND(YEAR(JulSun1+10)=KalendarskaGodina,MONTH(JulSun1+10)=7),JulSun1+10,""))</f>
        <v>44020</v>
      </c>
      <c r="F33" s="1">
        <f>IF(DAY(JulSun1)=1,IF(AND(YEAR(JulSun1+4)=KalendarskaGodina,MONTH(JulSun1+4)=7),JulSun1+4,""),IF(AND(YEAR(JulSun1+11)=KalendarskaGodina,MONTH(JulSun1+11)=7),JulSun1+11,""))</f>
        <v>44021</v>
      </c>
      <c r="G33" s="1">
        <f>IF(DAY(JulSun1)=1,IF(AND(YEAR(JulSun1+5)=KalendarskaGodina,MONTH(JulSun1+5)=7),JulSun1+5,""),IF(AND(YEAR(JulSun1+12)=KalendarskaGodina,MONTH(JulSun1+12)=7),JulSun1+12,""))</f>
        <v>44022</v>
      </c>
      <c r="H33" s="1">
        <f>IF(DAY(JulSun1)=1,IF(AND(YEAR(JulSun1+6)=KalendarskaGodina,MONTH(JulSun1+6)=7),JulSun1+6,""),IF(AND(YEAR(JulSun1+13)=KalendarskaGodina,MONTH(JulSun1+13)=7),JulSun1+13,""))</f>
        <v>44023</v>
      </c>
      <c r="I33" s="1">
        <f>IF(DAY(JulSun1)=1,IF(AND(YEAR(JulSun1+7)=KalendarskaGodina,MONTH(JulSun1+7)=7),JulSun1+7,""),IF(AND(YEAR(JulSun1+14)=KalendarskaGodina,MONTH(JulSun1+14)=7),JulSun1+14,""))</f>
        <v>44024</v>
      </c>
      <c r="K33" s="1">
        <f>IF(DAY(AugSun1)=1,IF(AND(YEAR(AugSun1+1)=KalendarskaGodina,MONTH(AugSun1+1)=8),AugSun1+1,""),IF(AND(YEAR(AugSun1+8)=KalendarskaGodina,MONTH(AugSun1+8)=8),AugSun1+8,""))</f>
        <v>44046</v>
      </c>
      <c r="L33" s="1">
        <f>IF(DAY(AugSun1)=1,IF(AND(YEAR(AugSun1+2)=KalendarskaGodina,MONTH(AugSun1+2)=8),AugSun1+2,""),IF(AND(YEAR(AugSun1+9)=KalendarskaGodina,MONTH(AugSun1+9)=8),AugSun1+9,""))</f>
        <v>44047</v>
      </c>
      <c r="M33" s="1">
        <f>IF(DAY(AugSun1)=1,IF(AND(YEAR(AugSun1+3)=KalendarskaGodina,MONTH(AugSun1+3)=8),AugSun1+3,""),IF(AND(YEAR(AugSun1+10)=KalendarskaGodina,MONTH(AugSun1+10)=8),AugSun1+10,""))</f>
        <v>44048</v>
      </c>
      <c r="N33" s="1">
        <f>IF(DAY(AugSun1)=1,IF(AND(YEAR(AugSun1+4)=KalendarskaGodina,MONTH(AugSun1+4)=8),AugSun1+4,""),IF(AND(YEAR(AugSun1+11)=KalendarskaGodina,MONTH(AugSun1+11)=8),AugSun1+11,""))</f>
        <v>44049</v>
      </c>
      <c r="O33" s="1">
        <f>IF(DAY(AugSun1)=1,IF(AND(YEAR(AugSun1+5)=KalendarskaGodina,MONTH(AugSun1+5)=8),AugSun1+5,""),IF(AND(YEAR(AugSun1+12)=KalendarskaGodina,MONTH(AugSun1+12)=8),AugSun1+12,""))</f>
        <v>44050</v>
      </c>
      <c r="P33" s="1">
        <f>IF(DAY(AugSun1)=1,IF(AND(YEAR(AugSun1+6)=KalendarskaGodina,MONTH(AugSun1+6)=8),AugSun1+6,""),IF(AND(YEAR(AugSun1+13)=KalendarskaGodina,MONTH(AugSun1+13)=8),AugSun1+13,""))</f>
        <v>44051</v>
      </c>
      <c r="Q33" s="1">
        <f>IF(DAY(AugSun1)=1,IF(AND(YEAR(AugSun1+7)=KalendarskaGodina,MONTH(AugSun1+7)=8),AugSun1+7,""),IF(AND(YEAR(AugSun1+14)=KalendarskaGodina,MONTH(AugSun1+14)=8),AugSun1+14,""))</f>
        <v>44052</v>
      </c>
      <c r="S33" s="25"/>
      <c r="U33" s="11"/>
      <c r="V33" s="30"/>
      <c r="W33" s="30"/>
    </row>
    <row r="34" spans="1:23" ht="15" customHeight="1" x14ac:dyDescent="0.2">
      <c r="C34" s="1">
        <f>IF(DAY(JulSun1)=1,IF(AND(YEAR(JulSun1+8)=KalendarskaGodina,MONTH(JulSun1+8)=7),JulSun1+8,""),IF(AND(YEAR(JulSun1+15)=KalendarskaGodina,MONTH(JulSun1+15)=7),JulSun1+15,""))</f>
        <v>44025</v>
      </c>
      <c r="D34" s="1">
        <f>IF(DAY(JulSun1)=1,IF(AND(YEAR(JulSun1+9)=KalendarskaGodina,MONTH(JulSun1+9)=7),JulSun1+9,""),IF(AND(YEAR(JulSun1+16)=KalendarskaGodina,MONTH(JulSun1+16)=7),JulSun1+16,""))</f>
        <v>44026</v>
      </c>
      <c r="E34" s="1">
        <f>IF(DAY(JulSun1)=1,IF(AND(YEAR(JulSun1+10)=KalendarskaGodina,MONTH(JulSun1+10)=7),JulSun1+10,""),IF(AND(YEAR(JulSun1+17)=KalendarskaGodina,MONTH(JulSun1+17)=7),JulSun1+17,""))</f>
        <v>44027</v>
      </c>
      <c r="F34" s="1">
        <f>IF(DAY(JulSun1)=1,IF(AND(YEAR(JulSun1+11)=KalendarskaGodina,MONTH(JulSun1+11)=7),JulSun1+11,""),IF(AND(YEAR(JulSun1+18)=KalendarskaGodina,MONTH(JulSun1+18)=7),JulSun1+18,""))</f>
        <v>44028</v>
      </c>
      <c r="G34" s="1">
        <f>IF(DAY(JulSun1)=1,IF(AND(YEAR(JulSun1+12)=KalendarskaGodina,MONTH(JulSun1+12)=7),JulSun1+12,""),IF(AND(YEAR(JulSun1+19)=KalendarskaGodina,MONTH(JulSun1+19)=7),JulSun1+19,""))</f>
        <v>44029</v>
      </c>
      <c r="H34" s="1">
        <f>IF(DAY(JulSun1)=1,IF(AND(YEAR(JulSun1+13)=KalendarskaGodina,MONTH(JulSun1+13)=7),JulSun1+13,""),IF(AND(YEAR(JulSun1+20)=KalendarskaGodina,MONTH(JulSun1+20)=7),JulSun1+20,""))</f>
        <v>44030</v>
      </c>
      <c r="I34" s="1">
        <f>IF(DAY(JulSun1)=1,IF(AND(YEAR(JulSun1+14)=KalendarskaGodina,MONTH(JulSun1+14)=7),JulSun1+14,""),IF(AND(YEAR(JulSun1+21)=KalendarskaGodina,MONTH(JulSun1+21)=7),JulSun1+21,""))</f>
        <v>44031</v>
      </c>
      <c r="K34" s="1">
        <f>IF(DAY(AugSun1)=1,IF(AND(YEAR(AugSun1+8)=KalendarskaGodina,MONTH(AugSun1+8)=8),AugSun1+8,""),IF(AND(YEAR(AugSun1+15)=KalendarskaGodina,MONTH(AugSun1+15)=8),AugSun1+15,""))</f>
        <v>44053</v>
      </c>
      <c r="L34" s="1">
        <f>IF(DAY(AugSun1)=1,IF(AND(YEAR(AugSun1+9)=KalendarskaGodina,MONTH(AugSun1+9)=8),AugSun1+9,""),IF(AND(YEAR(AugSun1+16)=KalendarskaGodina,MONTH(AugSun1+16)=8),AugSun1+16,""))</f>
        <v>44054</v>
      </c>
      <c r="M34" s="1">
        <f>IF(DAY(AugSun1)=1,IF(AND(YEAR(AugSun1+10)=KalendarskaGodina,MONTH(AugSun1+10)=8),AugSun1+10,""),IF(AND(YEAR(AugSun1+17)=KalendarskaGodina,MONTH(AugSun1+17)=8),AugSun1+17,""))</f>
        <v>44055</v>
      </c>
      <c r="N34" s="1">
        <f>IF(DAY(AugSun1)=1,IF(AND(YEAR(AugSun1+11)=KalendarskaGodina,MONTH(AugSun1+11)=8),AugSun1+11,""),IF(AND(YEAR(AugSun1+18)=KalendarskaGodina,MONTH(AugSun1+18)=8),AugSun1+18,""))</f>
        <v>44056</v>
      </c>
      <c r="O34" s="1">
        <f>IF(DAY(AugSun1)=1,IF(AND(YEAR(AugSun1+12)=KalendarskaGodina,MONTH(AugSun1+12)=8),AugSun1+12,""),IF(AND(YEAR(AugSun1+19)=KalendarskaGodina,MONTH(AugSun1+19)=8),AugSun1+19,""))</f>
        <v>44057</v>
      </c>
      <c r="P34" s="1">
        <f>IF(DAY(AugSun1)=1,IF(AND(YEAR(AugSun1+13)=KalendarskaGodina,MONTH(AugSun1+13)=8),AugSun1+13,""),IF(AND(YEAR(AugSun1+20)=KalendarskaGodina,MONTH(AugSun1+20)=8),AugSun1+20,""))</f>
        <v>44058</v>
      </c>
      <c r="Q34" s="1">
        <f>IF(DAY(AugSun1)=1,IF(AND(YEAR(AugSun1+14)=KalendarskaGodina,MONTH(AugSun1+14)=8),AugSun1+14,""),IF(AND(YEAR(AugSun1+21)=KalendarskaGodina,MONTH(AugSun1+21)=8),AugSun1+21,""))</f>
        <v>44059</v>
      </c>
      <c r="S34" s="25"/>
      <c r="U34" s="4"/>
      <c r="V34" s="30"/>
      <c r="W34" s="30"/>
    </row>
    <row r="35" spans="1:23" ht="15" customHeight="1" x14ac:dyDescent="0.2">
      <c r="C35" s="1">
        <f>IF(DAY(JulSun1)=1,IF(AND(YEAR(JulSun1+15)=KalendarskaGodina,MONTH(JulSun1+15)=7),JulSun1+15,""),IF(AND(YEAR(JulSun1+22)=KalendarskaGodina,MONTH(JulSun1+22)=7),JulSun1+22,""))</f>
        <v>44032</v>
      </c>
      <c r="D35" s="1">
        <f>IF(DAY(JulSun1)=1,IF(AND(YEAR(JulSun1+16)=KalendarskaGodina,MONTH(JulSun1+16)=7),JulSun1+16,""),IF(AND(YEAR(JulSun1+23)=KalendarskaGodina,MONTH(JulSun1+23)=7),JulSun1+23,""))</f>
        <v>44033</v>
      </c>
      <c r="E35" s="1">
        <f>IF(DAY(JulSun1)=1,IF(AND(YEAR(JulSun1+17)=KalendarskaGodina,MONTH(JulSun1+17)=7),JulSun1+17,""),IF(AND(YEAR(JulSun1+24)=KalendarskaGodina,MONTH(JulSun1+24)=7),JulSun1+24,""))</f>
        <v>44034</v>
      </c>
      <c r="F35" s="1">
        <f>IF(DAY(JulSun1)=1,IF(AND(YEAR(JulSun1+18)=KalendarskaGodina,MONTH(JulSun1+18)=7),JulSun1+18,""),IF(AND(YEAR(JulSun1+25)=KalendarskaGodina,MONTH(JulSun1+25)=7),JulSun1+25,""))</f>
        <v>44035</v>
      </c>
      <c r="G35" s="1">
        <f>IF(DAY(JulSun1)=1,IF(AND(YEAR(JulSun1+19)=KalendarskaGodina,MONTH(JulSun1+19)=7),JulSun1+19,""),IF(AND(YEAR(JulSun1+26)=KalendarskaGodina,MONTH(JulSun1+26)=7),JulSun1+26,""))</f>
        <v>44036</v>
      </c>
      <c r="H35" s="1">
        <f>IF(DAY(JulSun1)=1,IF(AND(YEAR(JulSun1+20)=KalendarskaGodina,MONTH(JulSun1+20)=7),JulSun1+20,""),IF(AND(YEAR(JulSun1+27)=KalendarskaGodina,MONTH(JulSun1+27)=7),JulSun1+27,""))</f>
        <v>44037</v>
      </c>
      <c r="I35" s="1">
        <f>IF(DAY(JulSun1)=1,IF(AND(YEAR(JulSun1+21)=KalendarskaGodina,MONTH(JulSun1+21)=7),JulSun1+21,""),IF(AND(YEAR(JulSun1+28)=KalendarskaGodina,MONTH(JulSun1+28)=7),JulSun1+28,""))</f>
        <v>44038</v>
      </c>
      <c r="K35" s="1">
        <f>IF(DAY(AugSun1)=1,IF(AND(YEAR(AugSun1+15)=KalendarskaGodina,MONTH(AugSun1+15)=8),AugSun1+15,""),IF(AND(YEAR(AugSun1+22)=KalendarskaGodina,MONTH(AugSun1+22)=8),AugSun1+22,""))</f>
        <v>44060</v>
      </c>
      <c r="L35" s="1">
        <f>IF(DAY(AugSun1)=1,IF(AND(YEAR(AugSun1+16)=KalendarskaGodina,MONTH(AugSun1+16)=8),AugSun1+16,""),IF(AND(YEAR(AugSun1+23)=KalendarskaGodina,MONTH(AugSun1+23)=8),AugSun1+23,""))</f>
        <v>44061</v>
      </c>
      <c r="M35" s="1">
        <f>IF(DAY(AugSun1)=1,IF(AND(YEAR(AugSun1+17)=KalendarskaGodina,MONTH(AugSun1+17)=8),AugSun1+17,""),IF(AND(YEAR(AugSun1+24)=KalendarskaGodina,MONTH(AugSun1+24)=8),AugSun1+24,""))</f>
        <v>44062</v>
      </c>
      <c r="N35" s="1">
        <f>IF(DAY(AugSun1)=1,IF(AND(YEAR(AugSun1+18)=KalendarskaGodina,MONTH(AugSun1+18)=8),AugSun1+18,""),IF(AND(YEAR(AugSun1+25)=KalendarskaGodina,MONTH(AugSun1+25)=8),AugSun1+25,""))</f>
        <v>44063</v>
      </c>
      <c r="O35" s="1">
        <f>IF(DAY(AugSun1)=1,IF(AND(YEAR(AugSun1+19)=KalendarskaGodina,MONTH(AugSun1+19)=8),AugSun1+19,""),IF(AND(YEAR(AugSun1+26)=KalendarskaGodina,MONTH(AugSun1+26)=8),AugSun1+26,""))</f>
        <v>44064</v>
      </c>
      <c r="P35" s="1">
        <f>IF(DAY(AugSun1)=1,IF(AND(YEAR(AugSun1+20)=KalendarskaGodina,MONTH(AugSun1+20)=8),AugSun1+20,""),IF(AND(YEAR(AugSun1+27)=KalendarskaGodina,MONTH(AugSun1+27)=8),AugSun1+27,""))</f>
        <v>44065</v>
      </c>
      <c r="Q35" s="1">
        <f>IF(DAY(AugSun1)=1,IF(AND(YEAR(AugSun1+21)=KalendarskaGodina,MONTH(AugSun1+21)=8),AugSun1+21,""),IF(AND(YEAR(AugSun1+28)=KalendarskaGodina,MONTH(AugSun1+28)=8),AugSun1+28,""))</f>
        <v>44066</v>
      </c>
      <c r="S35" s="25"/>
      <c r="U35" s="3"/>
      <c r="V35" s="30"/>
      <c r="W35" s="30"/>
    </row>
    <row r="36" spans="1:23" ht="15" customHeight="1" x14ac:dyDescent="0.2">
      <c r="C36" s="1">
        <f>IF(DAY(JulSun1)=1,IF(AND(YEAR(JulSun1+22)=KalendarskaGodina,MONTH(JulSun1+22)=7),JulSun1+22,""),IF(AND(YEAR(JulSun1+29)=KalendarskaGodina,MONTH(JulSun1+29)=7),JulSun1+29,""))</f>
        <v>44039</v>
      </c>
      <c r="D36" s="1">
        <f>IF(DAY(JulSun1)=1,IF(AND(YEAR(JulSun1+23)=KalendarskaGodina,MONTH(JulSun1+23)=7),JulSun1+23,""),IF(AND(YEAR(JulSun1+30)=KalendarskaGodina,MONTH(JulSun1+30)=7),JulSun1+30,""))</f>
        <v>44040</v>
      </c>
      <c r="E36" s="1">
        <f>IF(DAY(JulSun1)=1,IF(AND(YEAR(JulSun1+24)=KalendarskaGodina,MONTH(JulSun1+24)=7),JulSun1+24,""),IF(AND(YEAR(JulSun1+31)=KalendarskaGodina,MONTH(JulSun1+31)=7),JulSun1+31,""))</f>
        <v>44041</v>
      </c>
      <c r="F36" s="1">
        <f>IF(DAY(JulSun1)=1,IF(AND(YEAR(JulSun1+25)=KalendarskaGodina,MONTH(JulSun1+25)=7),JulSun1+25,""),IF(AND(YEAR(JulSun1+32)=KalendarskaGodina,MONTH(JulSun1+32)=7),JulSun1+32,""))</f>
        <v>44042</v>
      </c>
      <c r="G36" s="1">
        <f>IF(DAY(JulSun1)=1,IF(AND(YEAR(JulSun1+26)=KalendarskaGodina,MONTH(JulSun1+26)=7),JulSun1+26,""),IF(AND(YEAR(JulSun1+33)=KalendarskaGodina,MONTH(JulSun1+33)=7),JulSun1+33,""))</f>
        <v>44043</v>
      </c>
      <c r="H36" s="1" t="str">
        <f>IF(DAY(JulSun1)=1,IF(AND(YEAR(JulSun1+27)=KalendarskaGodina,MONTH(JulSun1+27)=7),JulSun1+27,""),IF(AND(YEAR(JulSun1+34)=KalendarskaGodina,MONTH(JulSun1+34)=7),JulSun1+34,""))</f>
        <v/>
      </c>
      <c r="I36" s="1" t="str">
        <f>IF(DAY(JulSun1)=1,IF(AND(YEAR(JulSun1+28)=KalendarskaGodina,MONTH(JulSun1+28)=7),JulSun1+28,""),IF(AND(YEAR(JulSun1+35)=KalendarskaGodina,MONTH(JulSun1+35)=7),JulSun1+35,""))</f>
        <v/>
      </c>
      <c r="K36" s="1">
        <f>IF(DAY(AugSun1)=1,IF(AND(YEAR(AugSun1+22)=KalendarskaGodina,MONTH(AugSun1+22)=8),AugSun1+22,""),IF(AND(YEAR(AugSun1+29)=KalendarskaGodina,MONTH(AugSun1+29)=8),AugSun1+29,""))</f>
        <v>44067</v>
      </c>
      <c r="L36" s="1">
        <f>IF(DAY(AugSun1)=1,IF(AND(YEAR(AugSun1+23)=KalendarskaGodina,MONTH(AugSun1+23)=8),AugSun1+23,""),IF(AND(YEAR(AugSun1+30)=KalendarskaGodina,MONTH(AugSun1+30)=8),AugSun1+30,""))</f>
        <v>44068</v>
      </c>
      <c r="M36" s="1">
        <f>IF(DAY(AugSun1)=1,IF(AND(YEAR(AugSun1+24)=KalendarskaGodina,MONTH(AugSun1+24)=8),AugSun1+24,""),IF(AND(YEAR(AugSun1+31)=KalendarskaGodina,MONTH(AugSun1+31)=8),AugSun1+31,""))</f>
        <v>44069</v>
      </c>
      <c r="N36" s="1">
        <f>IF(DAY(AugSun1)=1,IF(AND(YEAR(AugSun1+25)=KalendarskaGodina,MONTH(AugSun1+25)=8),AugSun1+25,""),IF(AND(YEAR(AugSun1+32)=KalendarskaGodina,MONTH(AugSun1+32)=8),AugSun1+32,""))</f>
        <v>44070</v>
      </c>
      <c r="O36" s="1">
        <f>IF(DAY(AugSun1)=1,IF(AND(YEAR(AugSun1+26)=KalendarskaGodina,MONTH(AugSun1+26)=8),AugSun1+26,""),IF(AND(YEAR(AugSun1+33)=KalendarskaGodina,MONTH(AugSun1+33)=8),AugSun1+33,""))</f>
        <v>44071</v>
      </c>
      <c r="P36" s="1">
        <f>IF(DAY(AugSun1)=1,IF(AND(YEAR(AugSun1+27)=KalendarskaGodina,MONTH(AugSun1+27)=8),AugSun1+27,""),IF(AND(YEAR(AugSun1+34)=KalendarskaGodina,MONTH(AugSun1+34)=8),AugSun1+34,""))</f>
        <v>44072</v>
      </c>
      <c r="Q36" s="1">
        <f>IF(DAY(AugSun1)=1,IF(AND(YEAR(AugSun1+28)=KalendarskaGodina,MONTH(AugSun1+28)=8),AugSun1+28,""),IF(AND(YEAR(AugSun1+35)=KalendarskaGodina,MONTH(AugSun1+35)=8),AugSun1+35,""))</f>
        <v>44073</v>
      </c>
      <c r="S36" s="25"/>
      <c r="U36" s="11"/>
      <c r="V36" s="30"/>
      <c r="W36" s="30"/>
    </row>
    <row r="37" spans="1:23" ht="15" customHeight="1" x14ac:dyDescent="0.2">
      <c r="C37" s="1" t="str">
        <f>IF(DAY(JulSun1)=1,IF(AND(YEAR(JulSun1+29)=KalendarskaGodina,MONTH(JulSun1+29)=7),JulSun1+29,""),IF(AND(YEAR(JulSun1+36)=KalendarskaGodina,MONTH(JulSun1+36)=7),JulSun1+36,""))</f>
        <v/>
      </c>
      <c r="D37" s="1" t="str">
        <f>IF(DAY(JulSun1)=1,IF(AND(YEAR(JulSun1+30)=KalendarskaGodina,MONTH(JulSun1+30)=7),JulSun1+30,""),IF(AND(YEAR(JulSun1+37)=KalendarskaGodina,MONTH(JulSun1+37)=7),JulSun1+37,""))</f>
        <v/>
      </c>
      <c r="E37" s="1" t="str">
        <f>IF(DAY(JulSun1)=1,IF(AND(YEAR(JulSun1+31)=KalendarskaGodina,MONTH(JulSun1+31)=7),JulSun1+31,""),IF(AND(YEAR(JulSun1+38)=KalendarskaGodina,MONTH(JulSun1+38)=7),JulSun1+38,""))</f>
        <v/>
      </c>
      <c r="F37" s="1" t="str">
        <f>IF(DAY(JulSun1)=1,IF(AND(YEAR(JulSun1+32)=KalendarskaGodina,MONTH(JulSun1+32)=7),JulSun1+32,""),IF(AND(YEAR(JulSun1+39)=KalendarskaGodina,MONTH(JulSun1+39)=7),JulSun1+39,""))</f>
        <v/>
      </c>
      <c r="G37" s="1" t="str">
        <f>IF(DAY(JulSun1)=1,IF(AND(YEAR(JulSun1+33)=KalendarskaGodina,MONTH(JulSun1+33)=7),JulSun1+33,""),IF(AND(YEAR(JulSun1+40)=KalendarskaGodina,MONTH(JulSun1+40)=7),JulSun1+40,""))</f>
        <v/>
      </c>
      <c r="H37" s="1" t="str">
        <f>IF(DAY(JulSun1)=1,IF(AND(YEAR(JulSun1+34)=KalendarskaGodina,MONTH(JulSun1+34)=7),JulSun1+34,""),IF(AND(YEAR(JulSun1+41)=KalendarskaGodina,MONTH(JulSun1+41)=7),JulSun1+41,""))</f>
        <v/>
      </c>
      <c r="I37" s="1" t="str">
        <f>IF(DAY(JulSun1)=1,IF(AND(YEAR(JulSun1+35)=KalendarskaGodina,MONTH(JulSun1+35)=7),JulSun1+35,""),IF(AND(YEAR(JulSun1+42)=KalendarskaGodina,MONTH(JulSun1+42)=7),JulSun1+42,""))</f>
        <v/>
      </c>
      <c r="K37" s="1">
        <f>IF(DAY(AugSun1)=1,IF(AND(YEAR(AugSun1+29)=KalendarskaGodina,MONTH(AugSun1+29)=8),AugSun1+29,""),IF(AND(YEAR(AugSun1+36)=KalendarskaGodina,MONTH(AugSun1+36)=8),AugSun1+36,""))</f>
        <v>44074</v>
      </c>
      <c r="L37" s="1" t="str">
        <f>IF(DAY(AugSun1)=1,IF(AND(YEAR(AugSun1+30)=KalendarskaGodina,MONTH(AugSun1+30)=8),AugSun1+30,""),IF(AND(YEAR(AugSun1+37)=KalendarskaGodina,MONTH(AugSun1+37)=8),AugSun1+37,""))</f>
        <v/>
      </c>
      <c r="M37" s="1" t="str">
        <f>IF(DAY(AugSun1)=1,IF(AND(YEAR(AugSun1+31)=KalendarskaGodina,MONTH(AugSun1+31)=8),AugSun1+31,""),IF(AND(YEAR(AugSun1+38)=KalendarskaGodina,MONTH(AugSun1+38)=8),AugSun1+38,""))</f>
        <v/>
      </c>
      <c r="N37" s="1" t="str">
        <f>IF(DAY(AugSun1)=1,IF(AND(YEAR(AugSun1+32)=KalendarskaGodina,MONTH(AugSun1+32)=8),AugSun1+32,""),IF(AND(YEAR(AugSun1+39)=KalendarskaGodina,MONTH(AugSun1+39)=8),AugSun1+39,""))</f>
        <v/>
      </c>
      <c r="O37" s="1" t="str">
        <f>IF(DAY(AugSun1)=1,IF(AND(YEAR(AugSun1+33)=KalendarskaGodina,MONTH(AugSun1+33)=8),AugSun1+33,""),IF(AND(YEAR(AugSun1+40)=KalendarskaGodina,MONTH(AugSun1+40)=8),AugSun1+40,""))</f>
        <v/>
      </c>
      <c r="P37" s="1" t="str">
        <f>IF(DAY(AugSun1)=1,IF(AND(YEAR(AugSun1+34)=KalendarskaGodina,MONTH(AugSun1+34)=8),AugSun1+34,""),IF(AND(YEAR(AugSun1+41)=KalendarskaGodina,MONTH(AugSun1+41)=8),AugSun1+41,""))</f>
        <v/>
      </c>
      <c r="Q37" s="1" t="str">
        <f>IF(DAY(AugSun1)=1,IF(AND(YEAR(AugSun1+35)=KalendarskaGodina,MONTH(AugSun1+35)=8),AugSun1+35,""),IF(AND(YEAR(AugSun1+42)=KalendarskaGodina,MONTH(AugSun1+42)=8),AugSun1+42,""))</f>
        <v/>
      </c>
      <c r="S37" s="25"/>
      <c r="U37" s="4"/>
      <c r="V37" s="30"/>
      <c r="W37" s="30"/>
    </row>
    <row r="38" spans="1:23" ht="15" customHeight="1" x14ac:dyDescent="0.2">
      <c r="C38" s="23"/>
      <c r="D38" s="23"/>
      <c r="E38" s="23"/>
      <c r="F38" s="23"/>
      <c r="G38" s="23"/>
      <c r="H38" s="23"/>
      <c r="I38" s="23"/>
      <c r="K38" s="23"/>
      <c r="L38" s="23"/>
      <c r="M38" s="23"/>
      <c r="N38" s="23"/>
      <c r="O38" s="23"/>
      <c r="P38" s="23"/>
      <c r="Q38" s="23"/>
      <c r="S38" s="25"/>
      <c r="U38" s="3"/>
      <c r="V38" s="30"/>
      <c r="W38" s="30"/>
    </row>
    <row r="39" spans="1:23" ht="15" customHeight="1" x14ac:dyDescent="0.2">
      <c r="A39" s="19" t="s">
        <v>17</v>
      </c>
      <c r="C39" s="27" t="s">
        <v>31</v>
      </c>
      <c r="D39" s="27"/>
      <c r="E39" s="27"/>
      <c r="F39" s="27"/>
      <c r="G39" s="27"/>
      <c r="H39" s="27"/>
      <c r="I39" s="27"/>
      <c r="K39" s="27" t="s">
        <v>43</v>
      </c>
      <c r="L39" s="27"/>
      <c r="M39" s="27"/>
      <c r="N39" s="27"/>
      <c r="O39" s="27"/>
      <c r="P39" s="27"/>
      <c r="Q39" s="27"/>
      <c r="S39" s="25"/>
      <c r="U39" s="11"/>
      <c r="V39" s="30"/>
      <c r="W39" s="30"/>
    </row>
    <row r="40" spans="1:23" ht="15" customHeight="1" x14ac:dyDescent="0.2">
      <c r="A40" s="19" t="s">
        <v>18</v>
      </c>
      <c r="C40" s="12" t="s">
        <v>27</v>
      </c>
      <c r="D40" s="12" t="s">
        <v>33</v>
      </c>
      <c r="E40" s="12" t="s">
        <v>34</v>
      </c>
      <c r="F40" s="12" t="s">
        <v>35</v>
      </c>
      <c r="G40" s="12" t="s">
        <v>36</v>
      </c>
      <c r="H40" s="12" t="s">
        <v>37</v>
      </c>
      <c r="I40" s="12" t="s">
        <v>38</v>
      </c>
      <c r="K40" s="12" t="s">
        <v>27</v>
      </c>
      <c r="L40" s="12" t="s">
        <v>33</v>
      </c>
      <c r="M40" s="12" t="s">
        <v>34</v>
      </c>
      <c r="N40" s="12" t="s">
        <v>35</v>
      </c>
      <c r="O40" s="12" t="s">
        <v>36</v>
      </c>
      <c r="P40" s="12" t="s">
        <v>37</v>
      </c>
      <c r="Q40" s="12" t="s">
        <v>38</v>
      </c>
      <c r="S40" s="25"/>
      <c r="U40" s="4"/>
      <c r="V40" s="30"/>
      <c r="W40" s="30"/>
    </row>
    <row r="41" spans="1:23" ht="15" customHeight="1" x14ac:dyDescent="0.2">
      <c r="C41" s="1" t="str">
        <f>IF(DAY(SepSun1)=1,"",IF(AND(YEAR(SepSun1+1)=KalendarskaGodina,MONTH(SepSun1+1)=9),SepSun1+1,""))</f>
        <v/>
      </c>
      <c r="D41" s="1">
        <f>IF(DAY(SepSun1)=1,"",IF(AND(YEAR(SepSun1+2)=KalendarskaGodina,MONTH(SepSun1+2)=9),SepSun1+2,""))</f>
        <v>44075</v>
      </c>
      <c r="E41" s="1">
        <f>IF(DAY(SepSun1)=1,"",IF(AND(YEAR(SepSun1+3)=KalendarskaGodina,MONTH(SepSun1+3)=9),SepSun1+3,""))</f>
        <v>44076</v>
      </c>
      <c r="F41" s="1">
        <f>IF(DAY(SepSun1)=1,"",IF(AND(YEAR(SepSun1+4)=KalendarskaGodina,MONTH(SepSun1+4)=9),SepSun1+4,""))</f>
        <v>44077</v>
      </c>
      <c r="G41" s="1">
        <f>IF(DAY(SepSun1)=1,"",IF(AND(YEAR(SepSun1+5)=KalendarskaGodina,MONTH(SepSun1+5)=9),SepSun1+5,""))</f>
        <v>44078</v>
      </c>
      <c r="H41" s="1">
        <f>IF(DAY(SepSun1)=1,"",IF(AND(YEAR(SepSun1+6)=KalendarskaGodina,MONTH(SepSun1+6)=9),SepSun1+6,""))</f>
        <v>44079</v>
      </c>
      <c r="I41" s="1">
        <f>IF(DAY(SepSun1)=1,IF(AND(YEAR(SepSun1)=KalendarskaGodina,MONTH(SepSun1)=9),SepSun1,""),IF(AND(YEAR(SepSun1+7)=KalendarskaGodina,MONTH(SepSun1+7)=9),SepSun1+7,""))</f>
        <v>44080</v>
      </c>
      <c r="K41" s="1" t="str">
        <f>IF(DAY(OctSun1)=1,"",IF(AND(YEAR(OctSun1+1)=KalendarskaGodina,MONTH(OctSun1+1)=10),OctSun1+1,""))</f>
        <v/>
      </c>
      <c r="L41" s="1" t="str">
        <f>IF(DAY(OctSun1)=1,"",IF(AND(YEAR(OctSun1+2)=KalendarskaGodina,MONTH(OctSun1+2)=10),OctSun1+2,""))</f>
        <v/>
      </c>
      <c r="M41" s="1" t="str">
        <f>IF(DAY(OctSun1)=1,"",IF(AND(YEAR(OctSun1+3)=KalendarskaGodina,MONTH(OctSun1+3)=10),OctSun1+3,""))</f>
        <v/>
      </c>
      <c r="N41" s="1">
        <f>IF(DAY(OctSun1)=1,"",IF(AND(YEAR(OctSun1+4)=KalendarskaGodina,MONTH(OctSun1+4)=10),OctSun1+4,""))</f>
        <v>44105</v>
      </c>
      <c r="O41" s="1">
        <f>IF(DAY(OctSun1)=1,"",IF(AND(YEAR(OctSun1+5)=KalendarskaGodina,MONTH(OctSun1+5)=10),OctSun1+5,""))</f>
        <v>44106</v>
      </c>
      <c r="P41" s="1">
        <f>IF(DAY(OctSun1)=1,"",IF(AND(YEAR(OctSun1+6)=KalendarskaGodina,MONTH(OctSun1+6)=10),OctSun1+6,""))</f>
        <v>44107</v>
      </c>
      <c r="Q41" s="1">
        <f>IF(DAY(OctSun1)=1,IF(AND(YEAR(OctSun1)=KalendarskaGodina,MONTH(OctSun1)=10),OctSun1,""),IF(AND(YEAR(OctSun1+7)=KalendarskaGodina,MONTH(OctSun1+7)=10),OctSun1+7,""))</f>
        <v>44108</v>
      </c>
      <c r="S41" s="25"/>
      <c r="U41" s="3"/>
      <c r="V41" s="30"/>
      <c r="W41" s="30"/>
    </row>
    <row r="42" spans="1:23" ht="15" customHeight="1" x14ac:dyDescent="0.2">
      <c r="C42" s="1">
        <f>IF(DAY(SepSun1)=1,IF(AND(YEAR(SepSun1+1)=KalendarskaGodina,MONTH(SepSun1+1)=9),SepSun1+1,""),IF(AND(YEAR(SepSun1+8)=KalendarskaGodina,MONTH(SepSun1+8)=9),SepSun1+8,""))</f>
        <v>44081</v>
      </c>
      <c r="D42" s="1">
        <f>IF(DAY(SepSun1)=1,IF(AND(YEAR(SepSun1+2)=KalendarskaGodina,MONTH(SepSun1+2)=9),SepSun1+2,""),IF(AND(YEAR(SepSun1+9)=KalendarskaGodina,MONTH(SepSun1+9)=9),SepSun1+9,""))</f>
        <v>44082</v>
      </c>
      <c r="E42" s="1">
        <f>IF(DAY(SepSun1)=1,IF(AND(YEAR(SepSun1+3)=KalendarskaGodina,MONTH(SepSun1+3)=9),SepSun1+3,""),IF(AND(YEAR(SepSun1+10)=KalendarskaGodina,MONTH(SepSun1+10)=9),SepSun1+10,""))</f>
        <v>44083</v>
      </c>
      <c r="F42" s="1">
        <f>IF(DAY(SepSun1)=1,IF(AND(YEAR(SepSun1+4)=KalendarskaGodina,MONTH(SepSun1+4)=9),SepSun1+4,""),IF(AND(YEAR(SepSun1+11)=KalendarskaGodina,MONTH(SepSun1+11)=9),SepSun1+11,""))</f>
        <v>44084</v>
      </c>
      <c r="G42" s="1">
        <f>IF(DAY(SepSun1)=1,IF(AND(YEAR(SepSun1+5)=KalendarskaGodina,MONTH(SepSun1+5)=9),SepSun1+5,""),IF(AND(YEAR(SepSun1+12)=KalendarskaGodina,MONTH(SepSun1+12)=9),SepSun1+12,""))</f>
        <v>44085</v>
      </c>
      <c r="H42" s="1">
        <f>IF(DAY(SepSun1)=1,IF(AND(YEAR(SepSun1+6)=KalendarskaGodina,MONTH(SepSun1+6)=9),SepSun1+6,""),IF(AND(YEAR(SepSun1+13)=KalendarskaGodina,MONTH(SepSun1+13)=9),SepSun1+13,""))</f>
        <v>44086</v>
      </c>
      <c r="I42" s="1">
        <f>IF(DAY(SepSun1)=1,IF(AND(YEAR(SepSun1+7)=KalendarskaGodina,MONTH(SepSun1+7)=9),SepSun1+7,""),IF(AND(YEAR(SepSun1+14)=KalendarskaGodina,MONTH(SepSun1+14)=9),SepSun1+14,""))</f>
        <v>44087</v>
      </c>
      <c r="K42" s="1">
        <f>IF(DAY(OctSun1)=1,IF(AND(YEAR(OctSun1+1)=KalendarskaGodina,MONTH(OctSun1+1)=10),OctSun1+1,""),IF(AND(YEAR(OctSun1+8)=KalendarskaGodina,MONTH(OctSun1+8)=10),OctSun1+8,""))</f>
        <v>44109</v>
      </c>
      <c r="L42" s="1">
        <f>IF(DAY(OctSun1)=1,IF(AND(YEAR(OctSun1+2)=KalendarskaGodina,MONTH(OctSun1+2)=10),OctSun1+2,""),IF(AND(YEAR(OctSun1+9)=KalendarskaGodina,MONTH(OctSun1+9)=10),OctSun1+9,""))</f>
        <v>44110</v>
      </c>
      <c r="M42" s="1">
        <f>IF(DAY(OctSun1)=1,IF(AND(YEAR(OctSun1+3)=KalendarskaGodina,MONTH(OctSun1+3)=10),OctSun1+3,""),IF(AND(YEAR(OctSun1+10)=KalendarskaGodina,MONTH(OctSun1+10)=10),OctSun1+10,""))</f>
        <v>44111</v>
      </c>
      <c r="N42" s="1">
        <f>IF(DAY(OctSun1)=1,IF(AND(YEAR(OctSun1+4)=KalendarskaGodina,MONTH(OctSun1+4)=10),OctSun1+4,""),IF(AND(YEAR(OctSun1+11)=KalendarskaGodina,MONTH(OctSun1+11)=10),OctSun1+11,""))</f>
        <v>44112</v>
      </c>
      <c r="O42" s="1">
        <f>IF(DAY(OctSun1)=1,IF(AND(YEAR(OctSun1+5)=KalendarskaGodina,MONTH(OctSun1+5)=10),OctSun1+5,""),IF(AND(YEAR(OctSun1+12)=KalendarskaGodina,MONTH(OctSun1+12)=10),OctSun1+12,""))</f>
        <v>44113</v>
      </c>
      <c r="P42" s="1">
        <f>IF(DAY(OctSun1)=1,IF(AND(YEAR(OctSun1+6)=KalendarskaGodina,MONTH(OctSun1+6)=10),OctSun1+6,""),IF(AND(YEAR(OctSun1+13)=KalendarskaGodina,MONTH(OctSun1+13)=10),OctSun1+13,""))</f>
        <v>44114</v>
      </c>
      <c r="Q42" s="1">
        <f>IF(DAY(OctSun1)=1,IF(AND(YEAR(OctSun1+7)=KalendarskaGodina,MONTH(OctSun1+7)=10),OctSun1+7,""),IF(AND(YEAR(OctSun1+14)=KalendarskaGodina,MONTH(OctSun1+14)=10),OctSun1+14,""))</f>
        <v>44115</v>
      </c>
      <c r="S42" s="25"/>
      <c r="U42" s="11"/>
      <c r="V42" s="30"/>
      <c r="W42" s="30"/>
    </row>
    <row r="43" spans="1:23" ht="15" customHeight="1" x14ac:dyDescent="0.2">
      <c r="C43" s="1">
        <f>IF(DAY(SepSun1)=1,IF(AND(YEAR(SepSun1+8)=KalendarskaGodina,MONTH(SepSun1+8)=9),SepSun1+8,""),IF(AND(YEAR(SepSun1+15)=KalendarskaGodina,MONTH(SepSun1+15)=9),SepSun1+15,""))</f>
        <v>44088</v>
      </c>
      <c r="D43" s="1">
        <f>IF(DAY(SepSun1)=1,IF(AND(YEAR(SepSun1+9)=KalendarskaGodina,MONTH(SepSun1+9)=9),SepSun1+9,""),IF(AND(YEAR(SepSun1+16)=KalendarskaGodina,MONTH(SepSun1+16)=9),SepSun1+16,""))</f>
        <v>44089</v>
      </c>
      <c r="E43" s="1">
        <f>IF(DAY(SepSun1)=1,IF(AND(YEAR(SepSun1+10)=KalendarskaGodina,MONTH(SepSun1+10)=9),SepSun1+10,""),IF(AND(YEAR(SepSun1+17)=KalendarskaGodina,MONTH(SepSun1+17)=9),SepSun1+17,""))</f>
        <v>44090</v>
      </c>
      <c r="F43" s="1">
        <f>IF(DAY(SepSun1)=1,IF(AND(YEAR(SepSun1+11)=KalendarskaGodina,MONTH(SepSun1+11)=9),SepSun1+11,""),IF(AND(YEAR(SepSun1+18)=KalendarskaGodina,MONTH(SepSun1+18)=9),SepSun1+18,""))</f>
        <v>44091</v>
      </c>
      <c r="G43" s="1">
        <f>IF(DAY(SepSun1)=1,IF(AND(YEAR(SepSun1+12)=KalendarskaGodina,MONTH(SepSun1+12)=9),SepSun1+12,""),IF(AND(YEAR(SepSun1+19)=KalendarskaGodina,MONTH(SepSun1+19)=9),SepSun1+19,""))</f>
        <v>44092</v>
      </c>
      <c r="H43" s="1">
        <f>IF(DAY(SepSun1)=1,IF(AND(YEAR(SepSun1+13)=KalendarskaGodina,MONTH(SepSun1+13)=9),SepSun1+13,""),IF(AND(YEAR(SepSun1+20)=KalendarskaGodina,MONTH(SepSun1+20)=9),SepSun1+20,""))</f>
        <v>44093</v>
      </c>
      <c r="I43" s="1">
        <f>IF(DAY(SepSun1)=1,IF(AND(YEAR(SepSun1+14)=KalendarskaGodina,MONTH(SepSun1+14)=9),SepSun1+14,""),IF(AND(YEAR(SepSun1+21)=KalendarskaGodina,MONTH(SepSun1+21)=9),SepSun1+21,""))</f>
        <v>44094</v>
      </c>
      <c r="K43" s="1">
        <f>IF(DAY(OctSun1)=1,IF(AND(YEAR(OctSun1+8)=KalendarskaGodina,MONTH(OctSun1+8)=10),OctSun1+8,""),IF(AND(YEAR(OctSun1+15)=KalendarskaGodina,MONTH(OctSun1+15)=10),OctSun1+15,""))</f>
        <v>44116</v>
      </c>
      <c r="L43" s="1">
        <f>IF(DAY(OctSun1)=1,IF(AND(YEAR(OctSun1+9)=KalendarskaGodina,MONTH(OctSun1+9)=10),OctSun1+9,""),IF(AND(YEAR(OctSun1+16)=KalendarskaGodina,MONTH(OctSun1+16)=10),OctSun1+16,""))</f>
        <v>44117</v>
      </c>
      <c r="M43" s="1">
        <f>IF(DAY(OctSun1)=1,IF(AND(YEAR(OctSun1+10)=KalendarskaGodina,MONTH(OctSun1+10)=10),OctSun1+10,""),IF(AND(YEAR(OctSun1+17)=KalendarskaGodina,MONTH(OctSun1+17)=10),OctSun1+17,""))</f>
        <v>44118</v>
      </c>
      <c r="N43" s="1">
        <f>IF(DAY(OctSun1)=1,IF(AND(YEAR(OctSun1+11)=KalendarskaGodina,MONTH(OctSun1+11)=10),OctSun1+11,""),IF(AND(YEAR(OctSun1+18)=KalendarskaGodina,MONTH(OctSun1+18)=10),OctSun1+18,""))</f>
        <v>44119</v>
      </c>
      <c r="O43" s="1">
        <f>IF(DAY(OctSun1)=1,IF(AND(YEAR(OctSun1+12)=KalendarskaGodina,MONTH(OctSun1+12)=10),OctSun1+12,""),IF(AND(YEAR(OctSun1+19)=KalendarskaGodina,MONTH(OctSun1+19)=10),OctSun1+19,""))</f>
        <v>44120</v>
      </c>
      <c r="P43" s="1">
        <f>IF(DAY(OctSun1)=1,IF(AND(YEAR(OctSun1+13)=KalendarskaGodina,MONTH(OctSun1+13)=10),OctSun1+13,""),IF(AND(YEAR(OctSun1+20)=KalendarskaGodina,MONTH(OctSun1+20)=10),OctSun1+20,""))</f>
        <v>44121</v>
      </c>
      <c r="Q43" s="1">
        <f>IF(DAY(OctSun1)=1,IF(AND(YEAR(OctSun1+14)=KalendarskaGodina,MONTH(OctSun1+14)=10),OctSun1+14,""),IF(AND(YEAR(OctSun1+21)=KalendarskaGodina,MONTH(OctSun1+21)=10),OctSun1+21,""))</f>
        <v>44122</v>
      </c>
      <c r="S43" s="25"/>
      <c r="U43" s="4"/>
      <c r="V43" s="30"/>
      <c r="W43" s="30"/>
    </row>
    <row r="44" spans="1:23" ht="15" customHeight="1" x14ac:dyDescent="0.2">
      <c r="A44" s="19" t="s">
        <v>19</v>
      </c>
      <c r="C44" s="1">
        <f>IF(DAY(SepSun1)=1,IF(AND(YEAR(SepSun1+15)=KalendarskaGodina,MONTH(SepSun1+15)=9),SepSun1+15,""),IF(AND(YEAR(SepSun1+22)=KalendarskaGodina,MONTH(SepSun1+22)=9),SepSun1+22,""))</f>
        <v>44095</v>
      </c>
      <c r="D44" s="1">
        <f>IF(DAY(SepSun1)=1,IF(AND(YEAR(SepSun1+16)=KalendarskaGodina,MONTH(SepSun1+16)=9),SepSun1+16,""),IF(AND(YEAR(SepSun1+23)=KalendarskaGodina,MONTH(SepSun1+23)=9),SepSun1+23,""))</f>
        <v>44096</v>
      </c>
      <c r="E44" s="1">
        <f>IF(DAY(SepSun1)=1,IF(AND(YEAR(SepSun1+17)=KalendarskaGodina,MONTH(SepSun1+17)=9),SepSun1+17,""),IF(AND(YEAR(SepSun1+24)=KalendarskaGodina,MONTH(SepSun1+24)=9),SepSun1+24,""))</f>
        <v>44097</v>
      </c>
      <c r="F44" s="1">
        <f>IF(DAY(SepSun1)=1,IF(AND(YEAR(SepSun1+18)=KalendarskaGodina,MONTH(SepSun1+18)=9),SepSun1+18,""),IF(AND(YEAR(SepSun1+25)=KalendarskaGodina,MONTH(SepSun1+25)=9),SepSun1+25,""))</f>
        <v>44098</v>
      </c>
      <c r="G44" s="1">
        <f>IF(DAY(SepSun1)=1,IF(AND(YEAR(SepSun1+19)=KalendarskaGodina,MONTH(SepSun1+19)=9),SepSun1+19,""),IF(AND(YEAR(SepSun1+26)=KalendarskaGodina,MONTH(SepSun1+26)=9),SepSun1+26,""))</f>
        <v>44099</v>
      </c>
      <c r="H44" s="1">
        <f>IF(DAY(SepSun1)=1,IF(AND(YEAR(SepSun1+20)=KalendarskaGodina,MONTH(SepSun1+20)=9),SepSun1+20,""),IF(AND(YEAR(SepSun1+27)=KalendarskaGodina,MONTH(SepSun1+27)=9),SepSun1+27,""))</f>
        <v>44100</v>
      </c>
      <c r="I44" s="1">
        <f>IF(DAY(SepSun1)=1,IF(AND(YEAR(SepSun1+21)=KalendarskaGodina,MONTH(SepSun1+21)=9),SepSun1+21,""),IF(AND(YEAR(SepSun1+28)=KalendarskaGodina,MONTH(SepSun1+28)=9),SepSun1+28,""))</f>
        <v>44101</v>
      </c>
      <c r="K44" s="1">
        <f>IF(DAY(OctSun1)=1,IF(AND(YEAR(OctSun1+15)=KalendarskaGodina,MONTH(OctSun1+15)=10),OctSun1+15,""),IF(AND(YEAR(OctSun1+22)=KalendarskaGodina,MONTH(OctSun1+22)=10),OctSun1+22,""))</f>
        <v>44123</v>
      </c>
      <c r="L44" s="1">
        <f>IF(DAY(OctSun1)=1,IF(AND(YEAR(OctSun1+16)=KalendarskaGodina,MONTH(OctSun1+16)=10),OctSun1+16,""),IF(AND(YEAR(OctSun1+23)=KalendarskaGodina,MONTH(OctSun1+23)=10),OctSun1+23,""))</f>
        <v>44124</v>
      </c>
      <c r="M44" s="1">
        <f>IF(DAY(OctSun1)=1,IF(AND(YEAR(OctSun1+17)=KalendarskaGodina,MONTH(OctSun1+17)=10),OctSun1+17,""),IF(AND(YEAR(OctSun1+24)=KalendarskaGodina,MONTH(OctSun1+24)=10),OctSun1+24,""))</f>
        <v>44125</v>
      </c>
      <c r="N44" s="1">
        <f>IF(DAY(OctSun1)=1,IF(AND(YEAR(OctSun1+18)=KalendarskaGodina,MONTH(OctSun1+18)=10),OctSun1+18,""),IF(AND(YEAR(OctSun1+25)=KalendarskaGodina,MONTH(OctSun1+25)=10),OctSun1+25,""))</f>
        <v>44126</v>
      </c>
      <c r="O44" s="1">
        <f>IF(DAY(OctSun1)=1,IF(AND(YEAR(OctSun1+19)=KalendarskaGodina,MONTH(OctSun1+19)=10),OctSun1+19,""),IF(AND(YEAR(OctSun1+26)=KalendarskaGodina,MONTH(OctSun1+26)=10),OctSun1+26,""))</f>
        <v>44127</v>
      </c>
      <c r="P44" s="1">
        <f>IF(DAY(OctSun1)=1,IF(AND(YEAR(OctSun1+20)=KalendarskaGodina,MONTH(OctSun1+20)=10),OctSun1+20,""),IF(AND(YEAR(OctSun1+27)=KalendarskaGodina,MONTH(OctSun1+27)=10),OctSun1+27,""))</f>
        <v>44128</v>
      </c>
      <c r="Q44" s="1">
        <f>IF(DAY(OctSun1)=1,IF(AND(YEAR(OctSun1+21)=KalendarskaGodina,MONTH(OctSun1+21)=10),OctSun1+21,""),IF(AND(YEAR(OctSun1+28)=KalendarskaGodina,MONTH(OctSun1+28)=10),OctSun1+28,""))</f>
        <v>44129</v>
      </c>
      <c r="S44" s="25"/>
      <c r="U44" s="9" t="s">
        <v>52</v>
      </c>
      <c r="V44" s="30"/>
      <c r="W44" s="30"/>
    </row>
    <row r="45" spans="1:23" ht="15" customHeight="1" x14ac:dyDescent="0.2">
      <c r="A45" s="19" t="s">
        <v>20</v>
      </c>
      <c r="C45" s="1">
        <f>IF(DAY(SepSun1)=1,IF(AND(YEAR(SepSun1+22)=KalendarskaGodina,MONTH(SepSun1+22)=9),SepSun1+22,""),IF(AND(YEAR(SepSun1+29)=KalendarskaGodina,MONTH(SepSun1+29)=9),SepSun1+29,""))</f>
        <v>44102</v>
      </c>
      <c r="D45" s="1">
        <f>IF(DAY(SepSun1)=1,IF(AND(YEAR(SepSun1+23)=KalendarskaGodina,MONTH(SepSun1+23)=9),SepSun1+23,""),IF(AND(YEAR(SepSun1+30)=KalendarskaGodina,MONTH(SepSun1+30)=9),SepSun1+30,""))</f>
        <v>44103</v>
      </c>
      <c r="E45" s="1">
        <f>IF(DAY(SepSun1)=1,IF(AND(YEAR(SepSun1+24)=KalendarskaGodina,MONTH(SepSun1+24)=9),SepSun1+24,""),IF(AND(YEAR(SepSun1+31)=KalendarskaGodina,MONTH(SepSun1+31)=9),SepSun1+31,""))</f>
        <v>44104</v>
      </c>
      <c r="F45" s="1" t="str">
        <f>IF(DAY(SepSun1)=1,IF(AND(YEAR(SepSun1+25)=KalendarskaGodina,MONTH(SepSun1+25)=9),SepSun1+25,""),IF(AND(YEAR(SepSun1+32)=KalendarskaGodina,MONTH(SepSun1+32)=9),SepSun1+32,""))</f>
        <v/>
      </c>
      <c r="G45" s="1" t="str">
        <f>IF(DAY(SepSun1)=1,IF(AND(YEAR(SepSun1+26)=KalendarskaGodina,MONTH(SepSun1+26)=9),SepSun1+26,""),IF(AND(YEAR(SepSun1+33)=KalendarskaGodina,MONTH(SepSun1+33)=9),SepSun1+33,""))</f>
        <v/>
      </c>
      <c r="H45" s="1" t="str">
        <f>IF(DAY(SepSun1)=1,IF(AND(YEAR(SepSun1+27)=KalendarskaGodina,MONTH(SepSun1+27)=9),SepSun1+27,""),IF(AND(YEAR(SepSun1+34)=KalendarskaGodina,MONTH(SepSun1+34)=9),SepSun1+34,""))</f>
        <v/>
      </c>
      <c r="I45" s="1" t="str">
        <f>IF(DAY(SepSun1)=1,IF(AND(YEAR(SepSun1+28)=KalendarskaGodina,MONTH(SepSun1+28)=9),SepSun1+28,""),IF(AND(YEAR(SepSun1+35)=KalendarskaGodina,MONTH(SepSun1+35)=9),SepSun1+35,""))</f>
        <v/>
      </c>
      <c r="K45" s="1">
        <f>IF(DAY(OctSun1)=1,IF(AND(YEAR(OctSun1+22)=KalendarskaGodina,MONTH(OctSun1+22)=10),OctSun1+22,""),IF(AND(YEAR(OctSun1+29)=KalendarskaGodina,MONTH(OctSun1+29)=10),OctSun1+29,""))</f>
        <v>44130</v>
      </c>
      <c r="L45" s="1">
        <f>IF(DAY(OctSun1)=1,IF(AND(YEAR(OctSun1+23)=KalendarskaGodina,MONTH(OctSun1+23)=10),OctSun1+23,""),IF(AND(YEAR(OctSun1+30)=KalendarskaGodina,MONTH(OctSun1+30)=10),OctSun1+30,""))</f>
        <v>44131</v>
      </c>
      <c r="M45" s="1">
        <f>IF(DAY(OctSun1)=1,IF(AND(YEAR(OctSun1+24)=KalendarskaGodina,MONTH(OctSun1+24)=10),OctSun1+24,""),IF(AND(YEAR(OctSun1+31)=KalendarskaGodina,MONTH(OctSun1+31)=10),OctSun1+31,""))</f>
        <v>44132</v>
      </c>
      <c r="N45" s="1">
        <f>IF(DAY(OctSun1)=1,IF(AND(YEAR(OctSun1+25)=KalendarskaGodina,MONTH(OctSun1+25)=10),OctSun1+25,""),IF(AND(YEAR(OctSun1+32)=KalendarskaGodina,MONTH(OctSun1+32)=10),OctSun1+32,""))</f>
        <v>44133</v>
      </c>
      <c r="O45" s="1">
        <f>IF(DAY(OctSun1)=1,IF(AND(YEAR(OctSun1+26)=KalendarskaGodina,MONTH(OctSun1+26)=10),OctSun1+26,""),IF(AND(YEAR(OctSun1+33)=KalendarskaGodina,MONTH(OctSun1+33)=10),OctSun1+33,""))</f>
        <v>44134</v>
      </c>
      <c r="P45" s="1">
        <f>IF(DAY(OctSun1)=1,IF(AND(YEAR(OctSun1+27)=KalendarskaGodina,MONTH(OctSun1+27)=10),OctSun1+27,""),IF(AND(YEAR(OctSun1+34)=KalendarskaGodina,MONTH(OctSun1+34)=10),OctSun1+34,""))</f>
        <v>44135</v>
      </c>
      <c r="Q45" s="1" t="str">
        <f>IF(DAY(OctSun1)=1,IF(AND(YEAR(OctSun1+28)=KalendarskaGodina,MONTH(OctSun1+28)=10),OctSun1+28,""),IF(AND(YEAR(OctSun1+35)=KalendarskaGodina,MONTH(OctSun1+35)=10),OctSun1+35,""))</f>
        <v/>
      </c>
      <c r="S45" s="25"/>
      <c r="U45" s="10" t="s">
        <v>53</v>
      </c>
      <c r="V45" s="30"/>
      <c r="W45" s="30"/>
    </row>
    <row r="46" spans="1:23" ht="15" customHeight="1" x14ac:dyDescent="0.2">
      <c r="A46" s="19"/>
      <c r="C46" s="1" t="str">
        <f>IF(DAY(SepSun1)=1,IF(AND(YEAR(SepSun1+29)=KalendarskaGodina,MONTH(SepSun1+29)=9),SepSun1+29,""),IF(AND(YEAR(SepSun1+36)=KalendarskaGodina,MONTH(SepSun1+36)=9),SepSun1+36,""))</f>
        <v/>
      </c>
      <c r="D46" s="1" t="str">
        <f>IF(DAY(SepSun1)=1,IF(AND(YEAR(SepSun1+30)=KalendarskaGodina,MONTH(SepSun1+30)=9),SepSun1+30,""),IF(AND(YEAR(SepSun1+37)=KalendarskaGodina,MONTH(SepSun1+37)=9),SepSun1+37,""))</f>
        <v/>
      </c>
      <c r="E46" s="1" t="str">
        <f>IF(DAY(SepSun1)=1,IF(AND(YEAR(SepSun1+31)=KalendarskaGodina,MONTH(SepSun1+31)=9),SepSun1+31,""),IF(AND(YEAR(SepSun1+38)=KalendarskaGodina,MONTH(SepSun1+38)=9),SepSun1+38,""))</f>
        <v/>
      </c>
      <c r="F46" s="1" t="str">
        <f>IF(DAY(SepSun1)=1,IF(AND(YEAR(SepSun1+32)=KalendarskaGodina,MONTH(SepSun1+32)=9),SepSun1+32,""),IF(AND(YEAR(SepSun1+39)=KalendarskaGodina,MONTH(SepSun1+39)=9),SepSun1+39,""))</f>
        <v/>
      </c>
      <c r="G46" s="1" t="str">
        <f>IF(DAY(SepSun1)=1,IF(AND(YEAR(SepSun1+33)=KalendarskaGodina,MONTH(SepSun1+33)=9),SepSun1+33,""),IF(AND(YEAR(SepSun1+40)=KalendarskaGodina,MONTH(SepSun1+40)=9),SepSun1+40,""))</f>
        <v/>
      </c>
      <c r="H46" s="1" t="str">
        <f>IF(DAY(SepSun1)=1,IF(AND(YEAR(SepSun1+34)=KalendarskaGodina,MONTH(SepSun1+34)=9),SepSun1+34,""),IF(AND(YEAR(SepSun1+41)=KalendarskaGodina,MONTH(SepSun1+41)=9),SepSun1+41,""))</f>
        <v/>
      </c>
      <c r="I46" s="1" t="str">
        <f>IF(DAY(SepSun1)=1,IF(AND(YEAR(SepSun1+35)=KalendarskaGodina,MONTH(SepSun1+35)=9),SepSun1+35,""),IF(AND(YEAR(SepSun1+42)=KalendarskaGodina,MONTH(SepSun1+42)=9),SepSun1+42,""))</f>
        <v/>
      </c>
      <c r="K46" s="1" t="str">
        <f>IF(DAY(OctSun1)=1,IF(AND(YEAR(OctSun1+29)=KalendarskaGodina,MONTH(OctSun1+29)=10),OctSun1+29,""),IF(AND(YEAR(OctSun1+36)=KalendarskaGodina,MONTH(OctSun1+36)=10),OctSun1+36,""))</f>
        <v/>
      </c>
      <c r="L46" s="1" t="str">
        <f>IF(DAY(OctSun1)=1,IF(AND(YEAR(OctSun1+30)=KalendarskaGodina,MONTH(OctSun1+30)=10),OctSun1+30,""),IF(AND(YEAR(OctSun1+37)=KalendarskaGodina,MONTH(OctSun1+37)=10),OctSun1+37,""))</f>
        <v/>
      </c>
      <c r="M46" s="1" t="str">
        <f>IF(DAY(OctSun1)=1,IF(AND(YEAR(OctSun1+31)=KalendarskaGodina,MONTH(OctSun1+31)=10),OctSun1+31,""),IF(AND(YEAR(OctSun1+38)=KalendarskaGodina,MONTH(OctSun1+38)=10),OctSun1+38,""))</f>
        <v/>
      </c>
      <c r="N46" s="1" t="str">
        <f>IF(DAY(OctSun1)=1,IF(AND(YEAR(OctSun1+32)=KalendarskaGodina,MONTH(OctSun1+32)=10),OctSun1+32,""),IF(AND(YEAR(OctSun1+39)=KalendarskaGodina,MONTH(OctSun1+39)=10),OctSun1+39,""))</f>
        <v/>
      </c>
      <c r="O46" s="1" t="str">
        <f>IF(DAY(OctSun1)=1,IF(AND(YEAR(OctSun1+33)=KalendarskaGodina,MONTH(OctSun1+33)=10),OctSun1+33,""),IF(AND(YEAR(OctSun1+40)=KalendarskaGodina,MONTH(OctSun1+40)=10),OctSun1+40,""))</f>
        <v/>
      </c>
      <c r="P46" s="1" t="str">
        <f>IF(DAY(OctSun1)=1,IF(AND(YEAR(OctSun1+34)=KalendarskaGodina,MONTH(OctSun1+34)=10),OctSun1+34,""),IF(AND(YEAR(OctSun1+41)=KalendarskaGodina,MONTH(OctSun1+41)=10),OctSun1+41,""))</f>
        <v/>
      </c>
      <c r="Q46" s="1" t="str">
        <f>IF(DAY(OctSun1)=1,IF(AND(YEAR(OctSun1+35)=KalendarskaGodina,MONTH(OctSun1+35)=10),OctSun1+35,""),IF(AND(YEAR(OctSun1+42)=KalendarskaGodina,MONTH(OctSun1+42)=10),OctSun1+42,""))</f>
        <v/>
      </c>
      <c r="S46" s="25"/>
      <c r="U46" s="10"/>
      <c r="V46" s="30"/>
      <c r="W46" s="30"/>
    </row>
    <row r="47" spans="1:23" ht="15" customHeight="1" x14ac:dyDescent="0.2">
      <c r="A47" s="19" t="s">
        <v>21</v>
      </c>
      <c r="S47" s="25"/>
      <c r="U47" s="10" t="s">
        <v>54</v>
      </c>
      <c r="V47" s="30"/>
      <c r="W47" s="30"/>
    </row>
    <row r="48" spans="1:23" ht="15" customHeight="1" x14ac:dyDescent="0.2">
      <c r="A48" s="19" t="s">
        <v>22</v>
      </c>
      <c r="C48" s="27" t="s">
        <v>32</v>
      </c>
      <c r="D48" s="27"/>
      <c r="E48" s="27"/>
      <c r="F48" s="27"/>
      <c r="G48" s="27"/>
      <c r="H48" s="27"/>
      <c r="I48" s="27"/>
      <c r="K48" s="27" t="s">
        <v>44</v>
      </c>
      <c r="L48" s="27"/>
      <c r="M48" s="27"/>
      <c r="N48" s="27"/>
      <c r="O48" s="27"/>
      <c r="P48" s="27"/>
      <c r="Q48" s="27"/>
      <c r="S48" s="25"/>
      <c r="U48" s="10" t="s">
        <v>55</v>
      </c>
      <c r="V48" s="30"/>
      <c r="W48" s="30"/>
    </row>
    <row r="49" spans="1:21" ht="15" customHeight="1" x14ac:dyDescent="0.2">
      <c r="A49" s="19" t="s">
        <v>23</v>
      </c>
      <c r="C49" s="12" t="s">
        <v>27</v>
      </c>
      <c r="D49" s="12" t="s">
        <v>33</v>
      </c>
      <c r="E49" s="12" t="s">
        <v>34</v>
      </c>
      <c r="F49" s="12" t="s">
        <v>35</v>
      </c>
      <c r="G49" s="12" t="s">
        <v>36</v>
      </c>
      <c r="H49" s="12" t="s">
        <v>37</v>
      </c>
      <c r="I49" s="12" t="s">
        <v>38</v>
      </c>
      <c r="J49" s="24"/>
      <c r="K49" s="12" t="s">
        <v>27</v>
      </c>
      <c r="L49" s="12" t="s">
        <v>33</v>
      </c>
      <c r="M49" s="12" t="s">
        <v>34</v>
      </c>
      <c r="N49" s="12" t="s">
        <v>35</v>
      </c>
      <c r="O49" s="12" t="s">
        <v>36</v>
      </c>
      <c r="P49" s="12" t="s">
        <v>37</v>
      </c>
      <c r="Q49" s="12" t="s">
        <v>38</v>
      </c>
      <c r="S49" s="25"/>
      <c r="U49" s="10" t="s">
        <v>56</v>
      </c>
    </row>
    <row r="50" spans="1:21" ht="15" customHeight="1" x14ac:dyDescent="0.2">
      <c r="A50" s="19"/>
      <c r="C50" s="1" t="str">
        <f>IF(DAY(NovSun1)=1,"",IF(AND(YEAR(NovSun1+1)=KalendarskaGodina,MONTH(NovSun1+1)=11),NovSun1+1,""))</f>
        <v/>
      </c>
      <c r="D50" s="1" t="str">
        <f>IF(DAY(NovSun1)=1,"",IF(AND(YEAR(NovSun1+2)=KalendarskaGodina,MONTH(NovSun1+2)=11),NovSun1+2,""))</f>
        <v/>
      </c>
      <c r="E50" s="1" t="str">
        <f>IF(DAY(NovSun1)=1,"",IF(AND(YEAR(NovSun1+3)=KalendarskaGodina,MONTH(NovSun1+3)=11),NovSun1+3,""))</f>
        <v/>
      </c>
      <c r="F50" s="1" t="str">
        <f>IF(DAY(NovSun1)=1,"",IF(AND(YEAR(NovSun1+4)=KalendarskaGodina,MONTH(NovSun1+4)=11),NovSun1+4,""))</f>
        <v/>
      </c>
      <c r="G50" s="1" t="str">
        <f>IF(DAY(NovSun1)=1,"",IF(AND(YEAR(NovSun1+5)=KalendarskaGodina,MONTH(NovSun1+5)=11),NovSun1+5,""))</f>
        <v/>
      </c>
      <c r="H50" s="1" t="str">
        <f>IF(DAY(NovSun1)=1,"",IF(AND(YEAR(NovSun1+6)=KalendarskaGodina,MONTH(NovSun1+6)=11),NovSun1+6,""))</f>
        <v/>
      </c>
      <c r="I50" s="1">
        <f>IF(DAY(NovSun1)=1,IF(AND(YEAR(NovSun1)=KalendarskaGodina,MONTH(NovSun1)=11),NovSun1,""),IF(AND(YEAR(NovSun1+7)=KalendarskaGodina,MONTH(NovSun1+7)=11),NovSun1+7,""))</f>
        <v>44136</v>
      </c>
      <c r="K50" s="1" t="str">
        <f>IF(DAY(DecSun1)=1,"",IF(AND(YEAR(DecSun1+1)=KalendarskaGodina,MONTH(DecSun1+1)=12),DecSun1+1,""))</f>
        <v/>
      </c>
      <c r="L50" s="1">
        <f>IF(DAY(DecSun1)=1,"",IF(AND(YEAR(DecSun1+2)=KalendarskaGodina,MONTH(DecSun1+2)=12),DecSun1+2,""))</f>
        <v>44166</v>
      </c>
      <c r="M50" s="1">
        <f>IF(DAY(DecSun1)=1,"",IF(AND(YEAR(DecSun1+3)=KalendarskaGodina,MONTH(DecSun1+3)=12),DecSun1+3,""))</f>
        <v>44167</v>
      </c>
      <c r="N50" s="1">
        <f>IF(DAY(DecSun1)=1,"",IF(AND(YEAR(DecSun1+4)=KalendarskaGodina,MONTH(DecSun1+4)=12),DecSun1+4,""))</f>
        <v>44168</v>
      </c>
      <c r="O50" s="1">
        <f>IF(DAY(DecSun1)=1,"",IF(AND(YEAR(DecSun1+5)=KalendarskaGodina,MONTH(DecSun1+5)=12),DecSun1+5,""))</f>
        <v>44169</v>
      </c>
      <c r="P50" s="1">
        <f>IF(DAY(DecSun1)=1,"",IF(AND(YEAR(DecSun1+6)=KalendarskaGodina,MONTH(DecSun1+6)=12),DecSun1+6,""))</f>
        <v>44170</v>
      </c>
      <c r="Q50" s="1">
        <f>IF(DAY(DecSun1)=1,IF(AND(YEAR(DecSun1)=KalendarskaGodina,MONTH(DecSun1)=12),DecSun1,""),IF(AND(YEAR(DecSun1+7)=KalendarskaGodina,MONTH(DecSun1+7)=12),DecSun1+7,""))</f>
        <v>44171</v>
      </c>
      <c r="S50" s="25"/>
      <c r="U50" s="2"/>
    </row>
    <row r="51" spans="1:21" ht="15" customHeight="1" x14ac:dyDescent="0.2">
      <c r="A51" s="19" t="s">
        <v>24</v>
      </c>
      <c r="C51" s="1">
        <f>IF(DAY(NovSun1)=1,IF(AND(YEAR(NovSun1+1)=KalendarskaGodina,MONTH(NovSun1+1)=11),NovSun1+1,""),IF(AND(YEAR(NovSun1+8)=KalendarskaGodina,MONTH(NovSun1+8)=11),NovSun1+8,""))</f>
        <v>44137</v>
      </c>
      <c r="D51" s="1">
        <f>IF(DAY(NovSun1)=1,IF(AND(YEAR(NovSun1+2)=KalendarskaGodina,MONTH(NovSun1+2)=11),NovSun1+2,""),IF(AND(YEAR(NovSun1+9)=KalendarskaGodina,MONTH(NovSun1+9)=11),NovSun1+9,""))</f>
        <v>44138</v>
      </c>
      <c r="E51" s="1">
        <f>IF(DAY(NovSun1)=1,IF(AND(YEAR(NovSun1+3)=KalendarskaGodina,MONTH(NovSun1+3)=11),NovSun1+3,""),IF(AND(YEAR(NovSun1+10)=KalendarskaGodina,MONTH(NovSun1+10)=11),NovSun1+10,""))</f>
        <v>44139</v>
      </c>
      <c r="F51" s="1">
        <f>IF(DAY(NovSun1)=1,IF(AND(YEAR(NovSun1+4)=KalendarskaGodina,MONTH(NovSun1+4)=11),NovSun1+4,""),IF(AND(YEAR(NovSun1+11)=KalendarskaGodina,MONTH(NovSun1+11)=11),NovSun1+11,""))</f>
        <v>44140</v>
      </c>
      <c r="G51" s="1">
        <f>IF(DAY(NovSun1)=1,IF(AND(YEAR(NovSun1+5)=KalendarskaGodina,MONTH(NovSun1+5)=11),NovSun1+5,""),IF(AND(YEAR(NovSun1+12)=KalendarskaGodina,MONTH(NovSun1+12)=11),NovSun1+12,""))</f>
        <v>44141</v>
      </c>
      <c r="H51" s="1">
        <f>IF(DAY(NovSun1)=1,IF(AND(YEAR(NovSun1+6)=KalendarskaGodina,MONTH(NovSun1+6)=11),NovSun1+6,""),IF(AND(YEAR(NovSun1+13)=KalendarskaGodina,MONTH(NovSun1+13)=11),NovSun1+13,""))</f>
        <v>44142</v>
      </c>
      <c r="I51" s="1">
        <f>IF(DAY(NovSun1)=1,IF(AND(YEAR(NovSun1+7)=KalendarskaGodina,MONTH(NovSun1+7)=11),NovSun1+7,""),IF(AND(YEAR(NovSun1+14)=KalendarskaGodina,MONTH(NovSun1+14)=11),NovSun1+14,""))</f>
        <v>44143</v>
      </c>
      <c r="K51" s="1">
        <f>IF(DAY(DecSun1)=1,IF(AND(YEAR(DecSun1+1)=KalendarskaGodina,MONTH(DecSun1+1)=12),DecSun1+1,""),IF(AND(YEAR(DecSun1+8)=KalendarskaGodina,MONTH(DecSun1+8)=12),DecSun1+8,""))</f>
        <v>44172</v>
      </c>
      <c r="L51" s="1">
        <f>IF(DAY(DecSun1)=1,IF(AND(YEAR(DecSun1+2)=KalendarskaGodina,MONTH(DecSun1+2)=12),DecSun1+2,""),IF(AND(YEAR(DecSun1+9)=KalendarskaGodina,MONTH(DecSun1+9)=12),DecSun1+9,""))</f>
        <v>44173</v>
      </c>
      <c r="M51" s="1">
        <f>IF(DAY(DecSun1)=1,IF(AND(YEAR(DecSun1+3)=KalendarskaGodina,MONTH(DecSun1+3)=12),DecSun1+3,""),IF(AND(YEAR(DecSun1+10)=KalendarskaGodina,MONTH(DecSun1+10)=12),DecSun1+10,""))</f>
        <v>44174</v>
      </c>
      <c r="N51" s="1">
        <f>IF(DAY(DecSun1)=1,IF(AND(YEAR(DecSun1+4)=KalendarskaGodina,MONTH(DecSun1+4)=12),DecSun1+4,""),IF(AND(YEAR(DecSun1+11)=KalendarskaGodina,MONTH(DecSun1+11)=12),DecSun1+11,""))</f>
        <v>44175</v>
      </c>
      <c r="O51" s="1">
        <f>IF(DAY(DecSun1)=1,IF(AND(YEAR(DecSun1+5)=KalendarskaGodina,MONTH(DecSun1+5)=12),DecSun1+5,""),IF(AND(YEAR(DecSun1+12)=KalendarskaGodina,MONTH(DecSun1+12)=12),DecSun1+12,""))</f>
        <v>44176</v>
      </c>
      <c r="P51" s="1">
        <f>IF(DAY(DecSun1)=1,IF(AND(YEAR(DecSun1+6)=KalendarskaGodina,MONTH(DecSun1+6)=12),DecSun1+6,""),IF(AND(YEAR(DecSun1+13)=KalendarskaGodina,MONTH(DecSun1+13)=12),DecSun1+13,""))</f>
        <v>44177</v>
      </c>
      <c r="Q51" s="1">
        <f>IF(DAY(DecSun1)=1,IF(AND(YEAR(DecSun1+7)=KalendarskaGodina,MONTH(DecSun1+7)=12),DecSun1+7,""),IF(AND(YEAR(DecSun1+14)=KalendarskaGodina,MONTH(DecSun1+14)=12),DecSun1+14,""))</f>
        <v>44178</v>
      </c>
      <c r="S51" s="25"/>
      <c r="U51" s="28" t="s">
        <v>57</v>
      </c>
    </row>
    <row r="52" spans="1:21" ht="15" customHeight="1" x14ac:dyDescent="0.2">
      <c r="C52" s="1">
        <f>IF(DAY(NovSun1)=1,IF(AND(YEAR(NovSun1+8)=KalendarskaGodina,MONTH(NovSun1+8)=11),NovSun1+8,""),IF(AND(YEAR(NovSun1+15)=KalendarskaGodina,MONTH(NovSun1+15)=11),NovSun1+15,""))</f>
        <v>44144</v>
      </c>
      <c r="D52" s="1">
        <f>IF(DAY(NovSun1)=1,IF(AND(YEAR(NovSun1+9)=KalendarskaGodina,MONTH(NovSun1+9)=11),NovSun1+9,""),IF(AND(YEAR(NovSun1+16)=KalendarskaGodina,MONTH(NovSun1+16)=11),NovSun1+16,""))</f>
        <v>44145</v>
      </c>
      <c r="E52" s="1">
        <f>IF(DAY(NovSun1)=1,IF(AND(YEAR(NovSun1+10)=KalendarskaGodina,MONTH(NovSun1+10)=11),NovSun1+10,""),IF(AND(YEAR(NovSun1+17)=KalendarskaGodina,MONTH(NovSun1+17)=11),NovSun1+17,""))</f>
        <v>44146</v>
      </c>
      <c r="F52" s="1">
        <f>IF(DAY(NovSun1)=1,IF(AND(YEAR(NovSun1+11)=KalendarskaGodina,MONTH(NovSun1+11)=11),NovSun1+11,""),IF(AND(YEAR(NovSun1+18)=KalendarskaGodina,MONTH(NovSun1+18)=11),NovSun1+18,""))</f>
        <v>44147</v>
      </c>
      <c r="G52" s="1">
        <f>IF(DAY(NovSun1)=1,IF(AND(YEAR(NovSun1+12)=KalendarskaGodina,MONTH(NovSun1+12)=11),NovSun1+12,""),IF(AND(YEAR(NovSun1+19)=KalendarskaGodina,MONTH(NovSun1+19)=11),NovSun1+19,""))</f>
        <v>44148</v>
      </c>
      <c r="H52" s="1">
        <f>IF(DAY(NovSun1)=1,IF(AND(YEAR(NovSun1+13)=KalendarskaGodina,MONTH(NovSun1+13)=11),NovSun1+13,""),IF(AND(YEAR(NovSun1+20)=KalendarskaGodina,MONTH(NovSun1+20)=11),NovSun1+20,""))</f>
        <v>44149</v>
      </c>
      <c r="I52" s="1">
        <f>IF(DAY(NovSun1)=1,IF(AND(YEAR(NovSun1+14)=KalendarskaGodina,MONTH(NovSun1+14)=11),NovSun1+14,""),IF(AND(YEAR(NovSun1+21)=KalendarskaGodina,MONTH(NovSun1+21)=11),NovSun1+21,""))</f>
        <v>44150</v>
      </c>
      <c r="K52" s="1">
        <f>IF(DAY(DecSun1)=1,IF(AND(YEAR(DecSun1+8)=KalendarskaGodina,MONTH(DecSun1+8)=12),DecSun1+8,""),IF(AND(YEAR(DecSun1+15)=KalendarskaGodina,MONTH(DecSun1+15)=12),DecSun1+15,""))</f>
        <v>44179</v>
      </c>
      <c r="L52" s="1">
        <f>IF(DAY(DecSun1)=1,IF(AND(YEAR(DecSun1+9)=KalendarskaGodina,MONTH(DecSun1+9)=12),DecSun1+9,""),IF(AND(YEAR(DecSun1+16)=KalendarskaGodina,MONTH(DecSun1+16)=12),DecSun1+16,""))</f>
        <v>44180</v>
      </c>
      <c r="M52" s="1">
        <f>IF(DAY(DecSun1)=1,IF(AND(YEAR(DecSun1+10)=KalendarskaGodina,MONTH(DecSun1+10)=12),DecSun1+10,""),IF(AND(YEAR(DecSun1+17)=KalendarskaGodina,MONTH(DecSun1+17)=12),DecSun1+17,""))</f>
        <v>44181</v>
      </c>
      <c r="N52" s="1">
        <f>IF(DAY(DecSun1)=1,IF(AND(YEAR(DecSun1+11)=KalendarskaGodina,MONTH(DecSun1+11)=12),DecSun1+11,""),IF(AND(YEAR(DecSun1+18)=KalendarskaGodina,MONTH(DecSun1+18)=12),DecSun1+18,""))</f>
        <v>44182</v>
      </c>
      <c r="O52" s="1">
        <f>IF(DAY(DecSun1)=1,IF(AND(YEAR(DecSun1+12)=KalendarskaGodina,MONTH(DecSun1+12)=12),DecSun1+12,""),IF(AND(YEAR(DecSun1+19)=KalendarskaGodina,MONTH(DecSun1+19)=12),DecSun1+19,""))</f>
        <v>44183</v>
      </c>
      <c r="P52" s="1">
        <f>IF(DAY(DecSun1)=1,IF(AND(YEAR(DecSun1+13)=KalendarskaGodina,MONTH(DecSun1+13)=12),DecSun1+13,""),IF(AND(YEAR(DecSun1+20)=KalendarskaGodina,MONTH(DecSun1+20)=12),DecSun1+20,""))</f>
        <v>44184</v>
      </c>
      <c r="Q52" s="1">
        <f>IF(DAY(DecSun1)=1,IF(AND(YEAR(DecSun1+14)=KalendarskaGodina,MONTH(DecSun1+14)=12),DecSun1+14,""),IF(AND(YEAR(DecSun1+21)=KalendarskaGodina,MONTH(DecSun1+21)=12),DecSun1+21,""))</f>
        <v>44185</v>
      </c>
      <c r="S52" s="25"/>
      <c r="U52" s="28"/>
    </row>
    <row r="53" spans="1:21" ht="15" customHeight="1" x14ac:dyDescent="0.2">
      <c r="C53" s="1">
        <f>IF(DAY(NovSun1)=1,IF(AND(YEAR(NovSun1+15)=KalendarskaGodina,MONTH(NovSun1+15)=11),NovSun1+15,""),IF(AND(YEAR(NovSun1+22)=KalendarskaGodina,MONTH(NovSun1+22)=11),NovSun1+22,""))</f>
        <v>44151</v>
      </c>
      <c r="D53" s="1">
        <f>IF(DAY(NovSun1)=1,IF(AND(YEAR(NovSun1+16)=KalendarskaGodina,MONTH(NovSun1+16)=11),NovSun1+16,""),IF(AND(YEAR(NovSun1+23)=KalendarskaGodina,MONTH(NovSun1+23)=11),NovSun1+23,""))</f>
        <v>44152</v>
      </c>
      <c r="E53" s="1">
        <f>IF(DAY(NovSun1)=1,IF(AND(YEAR(NovSun1+17)=KalendarskaGodina,MONTH(NovSun1+17)=11),NovSun1+17,""),IF(AND(YEAR(NovSun1+24)=KalendarskaGodina,MONTH(NovSun1+24)=11),NovSun1+24,""))</f>
        <v>44153</v>
      </c>
      <c r="F53" s="1">
        <f>IF(DAY(NovSun1)=1,IF(AND(YEAR(NovSun1+18)=KalendarskaGodina,MONTH(NovSun1+18)=11),NovSun1+18,""),IF(AND(YEAR(NovSun1+25)=KalendarskaGodina,MONTH(NovSun1+25)=11),NovSun1+25,""))</f>
        <v>44154</v>
      </c>
      <c r="G53" s="1">
        <f>IF(DAY(NovSun1)=1,IF(AND(YEAR(NovSun1+19)=KalendarskaGodina,MONTH(NovSun1+19)=11),NovSun1+19,""),IF(AND(YEAR(NovSun1+26)=KalendarskaGodina,MONTH(NovSun1+26)=11),NovSun1+26,""))</f>
        <v>44155</v>
      </c>
      <c r="H53" s="1">
        <f>IF(DAY(NovSun1)=1,IF(AND(YEAR(NovSun1+20)=KalendarskaGodina,MONTH(NovSun1+20)=11),NovSun1+20,""),IF(AND(YEAR(NovSun1+27)=KalendarskaGodina,MONTH(NovSun1+27)=11),NovSun1+27,""))</f>
        <v>44156</v>
      </c>
      <c r="I53" s="1">
        <f>IF(DAY(NovSun1)=1,IF(AND(YEAR(NovSun1+21)=KalendarskaGodina,MONTH(NovSun1+21)=11),NovSun1+21,""),IF(AND(YEAR(NovSun1+28)=KalendarskaGodina,MONTH(NovSun1+28)=11),NovSun1+28,""))</f>
        <v>44157</v>
      </c>
      <c r="K53" s="1">
        <f>IF(DAY(DecSun1)=1,IF(AND(YEAR(DecSun1+15)=KalendarskaGodina,MONTH(DecSun1+15)=12),DecSun1+15,""),IF(AND(YEAR(DecSun1+22)=KalendarskaGodina,MONTH(DecSun1+22)=12),DecSun1+22,""))</f>
        <v>44186</v>
      </c>
      <c r="L53" s="1">
        <f>IF(DAY(DecSun1)=1,IF(AND(YEAR(DecSun1+16)=KalendarskaGodina,MONTH(DecSun1+16)=12),DecSun1+16,""),IF(AND(YEAR(DecSun1+23)=KalendarskaGodina,MONTH(DecSun1+23)=12),DecSun1+23,""))</f>
        <v>44187</v>
      </c>
      <c r="M53" s="1">
        <f>IF(DAY(DecSun1)=1,IF(AND(YEAR(DecSun1+17)=KalendarskaGodina,MONTH(DecSun1+17)=12),DecSun1+17,""),IF(AND(YEAR(DecSun1+24)=KalendarskaGodina,MONTH(DecSun1+24)=12),DecSun1+24,""))</f>
        <v>44188</v>
      </c>
      <c r="N53" s="1">
        <f>IF(DAY(DecSun1)=1,IF(AND(YEAR(DecSun1+18)=KalendarskaGodina,MONTH(DecSun1+18)=12),DecSun1+18,""),IF(AND(YEAR(DecSun1+25)=KalendarskaGodina,MONTH(DecSun1+25)=12),DecSun1+25,""))</f>
        <v>44189</v>
      </c>
      <c r="O53" s="1">
        <f>IF(DAY(DecSun1)=1,IF(AND(YEAR(DecSun1+19)=KalendarskaGodina,MONTH(DecSun1+19)=12),DecSun1+19,""),IF(AND(YEAR(DecSun1+26)=KalendarskaGodina,MONTH(DecSun1+26)=12),DecSun1+26,""))</f>
        <v>44190</v>
      </c>
      <c r="P53" s="1">
        <f>IF(DAY(DecSun1)=1,IF(AND(YEAR(DecSun1+20)=KalendarskaGodina,MONTH(DecSun1+20)=12),DecSun1+20,""),IF(AND(YEAR(DecSun1+27)=KalendarskaGodina,MONTH(DecSun1+27)=12),DecSun1+27,""))</f>
        <v>44191</v>
      </c>
      <c r="Q53" s="1">
        <f>IF(DAY(DecSun1)=1,IF(AND(YEAR(DecSun1+21)=KalendarskaGodina,MONTH(DecSun1+21)=12),DecSun1+21,""),IF(AND(YEAR(DecSun1+28)=KalendarskaGodina,MONTH(DecSun1+28)=12),DecSun1+28,""))</f>
        <v>44192</v>
      </c>
      <c r="S53" s="25"/>
      <c r="U53" s="28"/>
    </row>
    <row r="54" spans="1:21" ht="15" customHeight="1" x14ac:dyDescent="0.2">
      <c r="C54" s="1">
        <f>IF(DAY(NovSun1)=1,IF(AND(YEAR(NovSun1+22)=KalendarskaGodina,MONTH(NovSun1+22)=11),NovSun1+22,""),IF(AND(YEAR(NovSun1+29)=KalendarskaGodina,MONTH(NovSun1+29)=11),NovSun1+29,""))</f>
        <v>44158</v>
      </c>
      <c r="D54" s="1">
        <f>IF(DAY(NovSun1)=1,IF(AND(YEAR(NovSun1+23)=KalendarskaGodina,MONTH(NovSun1+23)=11),NovSun1+23,""),IF(AND(YEAR(NovSun1+30)=KalendarskaGodina,MONTH(NovSun1+30)=11),NovSun1+30,""))</f>
        <v>44159</v>
      </c>
      <c r="E54" s="1">
        <f>IF(DAY(NovSun1)=1,IF(AND(YEAR(NovSun1+24)=KalendarskaGodina,MONTH(NovSun1+24)=11),NovSun1+24,""),IF(AND(YEAR(NovSun1+31)=KalendarskaGodina,MONTH(NovSun1+31)=11),NovSun1+31,""))</f>
        <v>44160</v>
      </c>
      <c r="F54" s="1">
        <f>IF(DAY(NovSun1)=1,IF(AND(YEAR(NovSun1+25)=KalendarskaGodina,MONTH(NovSun1+25)=11),NovSun1+25,""),IF(AND(YEAR(NovSun1+32)=KalendarskaGodina,MONTH(NovSun1+32)=11),NovSun1+32,""))</f>
        <v>44161</v>
      </c>
      <c r="G54" s="1">
        <f>IF(DAY(NovSun1)=1,IF(AND(YEAR(NovSun1+26)=KalendarskaGodina,MONTH(NovSun1+26)=11),NovSun1+26,""),IF(AND(YEAR(NovSun1+33)=KalendarskaGodina,MONTH(NovSun1+33)=11),NovSun1+33,""))</f>
        <v>44162</v>
      </c>
      <c r="H54" s="1">
        <f>IF(DAY(NovSun1)=1,IF(AND(YEAR(NovSun1+27)=KalendarskaGodina,MONTH(NovSun1+27)=11),NovSun1+27,""),IF(AND(YEAR(NovSun1+34)=KalendarskaGodina,MONTH(NovSun1+34)=11),NovSun1+34,""))</f>
        <v>44163</v>
      </c>
      <c r="I54" s="1">
        <f>IF(DAY(NovSun1)=1,IF(AND(YEAR(NovSun1+28)=KalendarskaGodina,MONTH(NovSun1+28)=11),NovSun1+28,""),IF(AND(YEAR(NovSun1+35)=KalendarskaGodina,MONTH(NovSun1+35)=11),NovSun1+35,""))</f>
        <v>44164</v>
      </c>
      <c r="K54" s="1">
        <f>IF(DAY(DecSun1)=1,IF(AND(YEAR(DecSun1+22)=KalendarskaGodina,MONTH(DecSun1+22)=12),DecSun1+22,""),IF(AND(YEAR(DecSun1+29)=KalendarskaGodina,MONTH(DecSun1+29)=12),DecSun1+29,""))</f>
        <v>44193</v>
      </c>
      <c r="L54" s="1">
        <f>IF(DAY(DecSun1)=1,IF(AND(YEAR(DecSun1+23)=KalendarskaGodina,MONTH(DecSun1+23)=12),DecSun1+23,""),IF(AND(YEAR(DecSun1+30)=KalendarskaGodina,MONTH(DecSun1+30)=12),DecSun1+30,""))</f>
        <v>44194</v>
      </c>
      <c r="M54" s="1">
        <f>IF(DAY(DecSun1)=1,IF(AND(YEAR(DecSun1+24)=KalendarskaGodina,MONTH(DecSun1+24)=12),DecSun1+24,""),IF(AND(YEAR(DecSun1+31)=KalendarskaGodina,MONTH(DecSun1+31)=12),DecSun1+31,""))</f>
        <v>44195</v>
      </c>
      <c r="N54" s="1">
        <f>IF(DAY(DecSun1)=1,IF(AND(YEAR(DecSun1+25)=KalendarskaGodina,MONTH(DecSun1+25)=12),DecSun1+25,""),IF(AND(YEAR(DecSun1+32)=KalendarskaGodina,MONTH(DecSun1+32)=12),DecSun1+32,""))</f>
        <v>44196</v>
      </c>
      <c r="O54" s="1" t="str">
        <f>IF(DAY(DecSun1)=1,IF(AND(YEAR(DecSun1+26)=KalendarskaGodina,MONTH(DecSun1+26)=12),DecSun1+26,""),IF(AND(YEAR(DecSun1+33)=KalendarskaGodina,MONTH(DecSun1+33)=12),DecSun1+33,""))</f>
        <v/>
      </c>
      <c r="P54" s="1" t="str">
        <f>IF(DAY(DecSun1)=1,IF(AND(YEAR(DecSun1+27)=KalendarskaGodina,MONTH(DecSun1+27)=12),DecSun1+27,""),IF(AND(YEAR(DecSun1+34)=KalendarskaGodina,MONTH(DecSun1+34)=12),DecSun1+34,""))</f>
        <v/>
      </c>
      <c r="Q54" s="1" t="str">
        <f>IF(DAY(DecSun1)=1,IF(AND(YEAR(DecSun1+28)=KalendarskaGodina,MONTH(DecSun1+28)=12),DecSun1+28,""),IF(AND(YEAR(DecSun1+35)=KalendarskaGodina,MONTH(DecSun1+35)=12),DecSun1+35,""))</f>
        <v/>
      </c>
      <c r="S54" s="25"/>
      <c r="U54" s="28"/>
    </row>
    <row r="55" spans="1:21" ht="15" customHeight="1" x14ac:dyDescent="0.2">
      <c r="C55" s="1">
        <f>IF(DAY(NovSun1)=1,IF(AND(YEAR(NovSun1+29)=KalendarskaGodina,MONTH(NovSun1+29)=11),NovSun1+29,""),IF(AND(YEAR(NovSun1+36)=KalendarskaGodina,MONTH(NovSun1+36)=11),NovSun1+36,""))</f>
        <v>44165</v>
      </c>
      <c r="D55" s="1" t="str">
        <f>IF(DAY(NovSun1)=1,IF(AND(YEAR(NovSun1+30)=KalendarskaGodina,MONTH(NovSun1+30)=11),NovSun1+30,""),IF(AND(YEAR(NovSun1+37)=KalendarskaGodina,MONTH(NovSun1+37)=11),NovSun1+37,""))</f>
        <v/>
      </c>
      <c r="E55" s="1" t="str">
        <f>IF(DAY(NovSun1)=1,IF(AND(YEAR(NovSun1+31)=KalendarskaGodina,MONTH(NovSun1+31)=11),NovSun1+31,""),IF(AND(YEAR(NovSun1+38)=KalendarskaGodina,MONTH(NovSun1+38)=11),NovSun1+38,""))</f>
        <v/>
      </c>
      <c r="F55" s="1" t="str">
        <f>IF(DAY(NovSun1)=1,IF(AND(YEAR(NovSun1+32)=KalendarskaGodina,MONTH(NovSun1+32)=11),NovSun1+32,""),IF(AND(YEAR(NovSun1+39)=KalendarskaGodina,MONTH(NovSun1+39)=11),NovSun1+39,""))</f>
        <v/>
      </c>
      <c r="G55" s="1" t="str">
        <f>IF(DAY(NovSun1)=1,IF(AND(YEAR(NovSun1+33)=KalendarskaGodina,MONTH(NovSun1+33)=11),NovSun1+33,""),IF(AND(YEAR(NovSun1+40)=KalendarskaGodina,MONTH(NovSun1+40)=11),NovSun1+40,""))</f>
        <v/>
      </c>
      <c r="H55" s="1" t="str">
        <f>IF(DAY(NovSun1)=1,IF(AND(YEAR(NovSun1+34)=KalendarskaGodina,MONTH(NovSun1+34)=11),NovSun1+34,""),IF(AND(YEAR(NovSun1+41)=KalendarskaGodina,MONTH(NovSun1+41)=11),NovSun1+41,""))</f>
        <v/>
      </c>
      <c r="I55" s="1" t="str">
        <f>IF(DAY(NovSun1)=1,IF(AND(YEAR(NovSun1+35)=KalendarskaGodina,MONTH(NovSun1+35)=11),NovSun1+35,""),IF(AND(YEAR(NovSun1+42)=KalendarskaGodina,MONTH(NovSun1+42)=11),NovSun1+42,""))</f>
        <v/>
      </c>
      <c r="K55" s="1" t="str">
        <f>IF(DAY(DecSun1)=1,IF(AND(YEAR(DecSun1+29)=KalendarskaGodina,MONTH(DecSun1+29)=12),DecSun1+29,""),IF(AND(YEAR(DecSun1+36)=KalendarskaGodina,MONTH(DecSun1+36)=12),DecSun1+36,""))</f>
        <v/>
      </c>
      <c r="L55" s="1" t="str">
        <f>IF(DAY(DecSun1)=1,IF(AND(YEAR(DecSun1+30)=KalendarskaGodina,MONTH(DecSun1+30)=12),DecSun1+30,""),IF(AND(YEAR(DecSun1+37)=KalendarskaGodina,MONTH(DecSun1+37)=12),DecSun1+37,""))</f>
        <v/>
      </c>
      <c r="M55" s="1" t="str">
        <f>IF(DAY(DecSun1)=1,IF(AND(YEAR(DecSun1+31)=KalendarskaGodina,MONTH(DecSun1+31)=12),DecSun1+31,""),IF(AND(YEAR(DecSun1+38)=KalendarskaGodina,MONTH(DecSun1+38)=12),DecSun1+38,""))</f>
        <v/>
      </c>
      <c r="N55" s="1" t="str">
        <f>IF(DAY(DecSun1)=1,IF(AND(YEAR(DecSun1+32)=KalendarskaGodina,MONTH(DecSun1+32)=12),DecSun1+32,""),IF(AND(YEAR(DecSun1+39)=KalendarskaGodina,MONTH(DecSun1+39)=12),DecSun1+39,""))</f>
        <v/>
      </c>
      <c r="O55" s="1" t="str">
        <f>IF(DAY(DecSun1)=1,IF(AND(YEAR(DecSun1+33)=KalendarskaGodina,MONTH(DecSun1+33)=12),DecSun1+33,""),IF(AND(YEAR(DecSun1+40)=KalendarskaGodina,MONTH(DecSun1+40)=12),DecSun1+40,""))</f>
        <v/>
      </c>
      <c r="P55" s="1" t="str">
        <f>IF(DAY(DecSun1)=1,IF(AND(YEAR(DecSun1+34)=KalendarskaGodina,MONTH(DecSun1+34)=12),DecSun1+34,""),IF(AND(YEAR(DecSun1+41)=KalendarskaGodina,MONTH(DecSun1+41)=12),DecSun1+41,""))</f>
        <v/>
      </c>
      <c r="Q55" s="1" t="str">
        <f>IF(DAY(DecSun1)=1,IF(AND(YEAR(DecSun1+35)=KalendarskaGodina,MONTH(DecSun1+35)=12),DecSun1+35,""),IF(AND(YEAR(DecSun1+42)=KalendarskaGodina,MONTH(DecSun1+42)=12),DecSun1+42,""))</f>
        <v/>
      </c>
      <c r="S55" s="25"/>
      <c r="U55" s="28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0" spans="1:21" ht="15" customHeight="1" x14ac:dyDescent="0.2"/>
    <row r="61" spans="1:21" ht="15" customHeight="1" x14ac:dyDescent="0.2"/>
    <row r="62" spans="1:21" ht="15" customHeight="1" x14ac:dyDescent="0.2"/>
    <row r="63" spans="1:21" ht="15" customHeight="1" x14ac:dyDescent="0.2"/>
    <row r="64" spans="1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6">
    <mergeCell ref="V3:W48"/>
    <mergeCell ref="C12:I12"/>
    <mergeCell ref="K12:Q12"/>
    <mergeCell ref="C21:I21"/>
    <mergeCell ref="K21:Q21"/>
    <mergeCell ref="C30:I30"/>
    <mergeCell ref="K30:Q30"/>
    <mergeCell ref="C1:F1"/>
    <mergeCell ref="C3:I3"/>
    <mergeCell ref="K3:Q3"/>
    <mergeCell ref="U51:U55"/>
    <mergeCell ref="C39:I39"/>
    <mergeCell ref="K39:Q39"/>
    <mergeCell ref="C48:I48"/>
    <mergeCell ref="K48:Q48"/>
    <mergeCell ref="B2:M2"/>
  </mergeCells>
  <phoneticPr fontId="5" type="noConversion"/>
  <dataValidations count="1">
    <dataValidation allowBlank="1" showInputMessage="1" showErrorMessage="1" errorTitle="Godina nije valjana" error="Unesite godinu od 1900. do 9999. ili pronađite željenu godinu pomoću klizača." sqref="C1" xr:uid="{00000000-0002-0000-0100-000000000000}"/>
  </dataValidations>
  <printOptions horizontalCentered="1" verticalCentered="1"/>
  <pageMargins left="0.5" right="0.5" top="0.5" bottom="0.5" header="0.3" footer="0.3"/>
  <pageSetup paperSize="9" scale="82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kretni gumb">
              <controlPr defaultSize="0" print="0" autoPict="0" altText="Promijenite kalendarsku godinu pomoću okretnog gumba ili je unesite u ćeliju C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477D36-9C31-4E01-8098-E1A11F5C4B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E7B6DD9-B1A1-4CCF-BA6C-C388D2464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910982-F24E-49CE-AAE3-0CDBB69F7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Početak</vt:lpstr>
      <vt:lpstr>Godišnji kalendar</vt:lpstr>
      <vt:lpstr>KalendarskaGodina</vt:lpstr>
      <vt:lpstr>'Godišnji kalendar'!Podrucje_ispisa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2019-06-15T10:14:58Z</dcterms:created>
  <dcterms:modified xsi:type="dcterms:W3CDTF">2020-02-21T07:28:39Z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