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15"/>
  <workbookPr filterPrivacy="1" autoCompressPictures="0"/>
  <xr:revisionPtr revIDLastSave="0" documentId="13_ncr:1_{02F8CB8C-5433-46CF-BF24-AAFB4ABDA043}" xr6:coauthVersionLast="45" xr6:coauthVersionMax="45" xr10:uidLastSave="{00000000-0000-0000-0000-000000000000}"/>
  <bookViews>
    <workbookView xWindow="-120" yWindow="-120" windowWidth="28830" windowHeight="16110" xr2:uid="{00000000-000D-0000-FFFF-FFFF00000000}"/>
  </bookViews>
  <sheets>
    <sheet name="Начало" sheetId="2" r:id="rId1"/>
    <sheet name="Ежегодный календарь" sheetId="1" r:id="rId2"/>
  </sheets>
  <definedNames>
    <definedName name="АвгВс1">DATE(КалендарныйГод,8,1)-WEEKDAY(DATE(КалендарныйГод,8,1))+1</definedName>
    <definedName name="АпрВс1">DATE(КалендарныйГод,4,1)-WEEKDAY(DATE(КалендарныйГод,4,1))+1</definedName>
    <definedName name="ДекВс1">DATE(КалендарныйГод,12,1)-WEEKDAY(DATE(КалендарныйГод,12,1))+1</definedName>
    <definedName name="ИюлВс1">DATE(КалендарныйГод,7,1)-WEEKDAY(DATE(КалендарныйГод,7,1))+1</definedName>
    <definedName name="ИюнВс1">DATE(КалендарныйГод,6,1)-WEEKDAY(DATE(КалендарныйГод,6,1))+1</definedName>
    <definedName name="КалендарныйГод">'Ежегодный календарь'!$C$1</definedName>
    <definedName name="МайВс1">DATE(КалендарныйГод,5,1)-WEEKDAY(DATE(КалендарныйГод,5,1))+1</definedName>
    <definedName name="МарВс1">DATE(КалендарныйГод,3,1)-WEEKDAY(DATE(КалендарныйГод,3,1))+1</definedName>
    <definedName name="НояВс1">DATE(КалендарныйГод,11,1)-WEEKDAY(DATE(КалендарныйГод,11,1))+1</definedName>
    <definedName name="_xlnm.Print_Area" localSheetId="1">'Ежегодный календарь'!$B$1:$W$55</definedName>
    <definedName name="ОктВс1">DATE(КалендарныйГод,10,1)-WEEKDAY(DATE(КалендарныйГод,10,1))+1</definedName>
    <definedName name="СенВс1">DATE(КалендарныйГод,9,1)-WEEKDAY(DATE(КалендарныйГод,9,1))+1</definedName>
    <definedName name="ФевВс1">DATE(КалендарныйГод,2,1)-WEEKDAY(DATE(КалендарныйГод,2,1))+1</definedName>
    <definedName name="ЯнвВс1">DATE(КалендарныйГод,1,1)-WEEKDAY(DATE(КалендарныйГод,1,1))+1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<sst xmlns="http://schemas.openxmlformats.org/spreadsheetml/2006/main" count="135" uniqueCount="58">
  <si>
    <t>ОБ ЭТОМ ШАБЛОНЕ</t>
  </si>
  <si>
    <t>Используйте этот шаблон для создания личного календаря для малого бизнеса на любой год.</t>
  </si>
  <si>
    <t>Введите название компании с контактными данными и добавьте логотип.</t>
  </si>
  <si>
    <t>Выберите год и введите важные даты и события.</t>
  </si>
  <si>
    <t>Примечание: </t>
  </si>
  <si>
    <t>Чтобы получить дополнительные сведения о таблице, щелкните в ней ячейку, затем нажмите клавиши SHIFT+F10, выберите пункт «Таблица», а затем — «Замещающий текст».</t>
  </si>
  <si>
    <t>Создайте на этом листе календарь для малого бизнеса на любой год. Полезные инструкции о том, как использовать этот лист, содержатся в ячейках этого столбца. Используйте счетчик в ячейке справа, чтобы изменить год в ячейке C1. Надпись «Важные даты» находится в ячейке U1</t>
  </si>
  <si>
    <t>В ячейке справа представлен совет</t>
  </si>
  <si>
    <t>Календарь на выбранный год представлен в ячейках C3–Q55, календарь на январь — в ячейках C4–I10, а календарь на февраль — в ячейках K4–Q10. Надпись «Январь» находится в ячейке C3, а «Февраль» — в ячейке K3. Введите важные даты и события в ячейках U3–U42</t>
  </si>
  <si>
    <t>Таблица календаря на январь находится в ячейках C4–I10, а таблица календаря на февраль — в ячейках K4–Q10. Дальнейшие инструкции представлены в ячейке A12</t>
  </si>
  <si>
    <t>Надпись «Март» находится в ячейке C12, а «Апрель» — в ячейке K12</t>
  </si>
  <si>
    <t>Таблица календаря на март находится в ячейках C13–I19, а таблица календаря на апрель — в ячейках K13–Q19. Дальнейшие инструкции представлены в ячейке A21</t>
  </si>
  <si>
    <t>Надпись «Май» находится в ячейке C21, а «Июнь» — в ячейке K21</t>
  </si>
  <si>
    <t>Таблица календаря на май находится в ячейках C22–I28, а таблица календаря на июнь — в ячейках K22–Q28. Дальнейшие инструкции представлены в ячейке A30</t>
  </si>
  <si>
    <t>Надпись «Июль» находится в ячейке C30, а «Август» — в ячейке K30</t>
  </si>
  <si>
    <t>Таблица календаря на июль находится в ячейках C31–I37, а таблица календаря на август — в ячейках K31–Q37. Дальнейшие инструкции представлены в ячейке A39</t>
  </si>
  <si>
    <t>Надпись «Сентябрь» находится в ячейке C39, а «Октябрь» — в ячейке K39</t>
  </si>
  <si>
    <t>Таблица календаря на сентябрь находится в ячейках C40–I46, а таблица календаря на октябрь — в ячейках K40–Q46. Дальнейшие инструкции представлены в ячейке A44</t>
  </si>
  <si>
    <t>В ячейке U44 введите почтовый адрес</t>
  </si>
  <si>
    <t>В ячейке U45 введите город, регион и почтовый индекс Дальнейшие инструкции представлены в ячейке A47</t>
  </si>
  <si>
    <t>В ячейке U47 введите номер телефона компании</t>
  </si>
  <si>
    <t>Надпись «Ноябрь» находится в ячейке C48, а «Декабрь» — в ячейке K48 В ячейке U48 введите адрес электронной почты</t>
  </si>
  <si>
    <t>Таблица календаря на ноябрь находится в ячейках C49–I55, а таблица календаря на декабрь — в ячейках K49–Q55. Дальнейшие инструкции представлены в ячейке A51</t>
  </si>
  <si>
    <t>Добавьте логотип компании в ячейку U51</t>
  </si>
  <si>
    <t>Используйте счетчик, чтобы выбрать другой календарный год</t>
  </si>
  <si>
    <t>ЯНВАРЬ</t>
  </si>
  <si>
    <t>ПН</t>
  </si>
  <si>
    <t>МАРТ</t>
  </si>
  <si>
    <t>МАЙ</t>
  </si>
  <si>
    <t>ИЮЛЬ</t>
  </si>
  <si>
    <t>СЕНТЯБРЬ</t>
  </si>
  <si>
    <t>НОЯБРЬ</t>
  </si>
  <si>
    <t>ВТ</t>
  </si>
  <si>
    <t>СР</t>
  </si>
  <si>
    <t>ЧТ</t>
  </si>
  <si>
    <t>ПТ</t>
  </si>
  <si>
    <t>СБ</t>
  </si>
  <si>
    <t>ВС</t>
  </si>
  <si>
    <t>ФЕВРАЛЬ</t>
  </si>
  <si>
    <t>АПРЕЛЬ</t>
  </si>
  <si>
    <t>ИЮНЬ</t>
  </si>
  <si>
    <t>АВГУСТ</t>
  </si>
  <si>
    <t>ОКТЯБРЬ</t>
  </si>
  <si>
    <t>ДЕКАБРЬ</t>
  </si>
  <si>
    <t>ВАЖНЫЕ ДАТЫ</t>
  </si>
  <si>
    <t>1 января</t>
  </si>
  <si>
    <t>Новый год</t>
  </si>
  <si>
    <t>14 февраля</t>
  </si>
  <si>
    <t>День святого Валентина</t>
  </si>
  <si>
    <t>22 февраля</t>
  </si>
  <si>
    <t>ДЕНЬ ОТКРЫТЫХ ДВЕРЕЙ</t>
  </si>
  <si>
    <t>Почтовый адрес</t>
  </si>
  <si>
    <t>Город, регион, почтовый индекс</t>
  </si>
  <si>
    <t>Телефон</t>
  </si>
  <si>
    <t>Электронный адрес</t>
  </si>
  <si>
    <t>Веб-сайт</t>
  </si>
  <si>
    <t>В этой ячейке содержится заполнитель логотипа.</t>
  </si>
  <si>
    <t xml:space="preserve">В столбце A листа «Ежегодный календарь» содержатся дополнительные инструкции. Их текст намерено скрыт. Чтобы удалить этот текст, выделите столбец A и нажмите клавишу DELETE.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</si>
</sst>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;;;"/>
    <numFmt numFmtId="167" formatCode="_-* #,##0.00\ &quot;lei&quot;_-;\-* #,##0.00\ &quot;lei&quot;_-;_-* &quot;-&quot;??\ &quot;lei&quot;_-;_-@_-"/>
    <numFmt numFmtId="168" formatCode="_-* #,##0\ &quot;lei&quot;_-;\-* #,##0\ &quot;lei&quot;_-;_-* &quot;-&quot;\ &quot;lei&quot;_-;_-@_-"/>
    <numFmt numFmtId="169" formatCode="d"/>
  </numFmts>
  <fonts count="36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i/>
      <sz val="10"/>
      <color theme="8" tint="-0.499984740745262"/>
      <name val="Calibri"/>
      <family val="2"/>
      <scheme val="minor"/>
    </font>
    <font>
      <b/>
      <sz val="9.5"/>
      <color theme="8" tint="-0.499984740745262"/>
      <name val="Calibri"/>
      <family val="2"/>
      <scheme val="major"/>
    </font>
    <font>
      <sz val="9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ajor"/>
    </font>
    <font>
      <sz val="8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8" fillId="0" borderId="2" applyNumberFormat="0" applyFill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5" applyNumberFormat="0" applyAlignment="0" applyProtection="0"/>
    <xf numFmtId="0" fontId="29" fillId="8" borderId="6" applyNumberFormat="0" applyAlignment="0" applyProtection="0"/>
    <xf numFmtId="0" fontId="30" fillId="8" borderId="5" applyNumberFormat="0" applyAlignment="0" applyProtection="0"/>
    <xf numFmtId="0" fontId="31" fillId="0" borderId="7" applyNumberFormat="0" applyFill="0" applyAlignment="0" applyProtection="0"/>
    <xf numFmtId="0" fontId="32" fillId="9" borderId="8" applyNumberFormat="0" applyAlignment="0" applyProtection="0"/>
    <xf numFmtId="0" fontId="33" fillId="0" borderId="0" applyNumberFormat="0" applyFill="0" applyBorder="0" applyAlignment="0" applyProtection="0"/>
    <xf numFmtId="0" fontId="21" fillId="10" borderId="9" applyNumberFormat="0" applyFont="0" applyAlignment="0" applyProtection="0"/>
    <xf numFmtId="0" fontId="34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1">
    <xf numFmtId="0" fontId="0" fillId="0" borderId="0" xfId="0"/>
    <xf numFmtId="49" fontId="11" fillId="0" borderId="0" xfId="0" applyNumberFormat="1" applyFont="1"/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 horizontal="left"/>
    </xf>
    <xf numFmtId="0" fontId="0" fillId="3" borderId="0" xfId="0" applyFill="1"/>
    <xf numFmtId="0" fontId="7" fillId="3" borderId="0" xfId="0" applyFont="1" applyFill="1" applyAlignment="1">
      <alignment vertical="center"/>
    </xf>
    <xf numFmtId="0" fontId="8" fillId="3" borderId="0" xfId="0" applyFont="1" applyFill="1"/>
    <xf numFmtId="0" fontId="9" fillId="3" borderId="0" xfId="0" applyFont="1" applyFill="1" applyAlignment="1">
      <alignment vertical="center"/>
    </xf>
    <xf numFmtId="49" fontId="15" fillId="0" borderId="1" xfId="0" applyNumberFormat="1" applyFont="1" applyBorder="1"/>
    <xf numFmtId="49" fontId="15" fillId="0" borderId="0" xfId="0" applyNumberFormat="1" applyFont="1"/>
    <xf numFmtId="49" fontId="16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20" fillId="3" borderId="0" xfId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vertical="center"/>
    </xf>
    <xf numFmtId="166" fontId="0" fillId="0" borderId="0" xfId="0" applyNumberFormat="1" applyAlignment="1">
      <alignment wrapText="1"/>
    </xf>
    <xf numFmtId="166" fontId="2" fillId="0" borderId="0" xfId="0" applyNumberFormat="1" applyFont="1" applyAlignment="1">
      <alignment vertical="center"/>
    </xf>
    <xf numFmtId="166" fontId="0" fillId="0" borderId="0" xfId="0" applyNumberFormat="1"/>
    <xf numFmtId="0" fontId="6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0" fillId="2" borderId="0" xfId="0" applyFill="1"/>
    <xf numFmtId="0" fontId="1" fillId="0" borderId="0" xfId="0" applyFont="1" applyAlignment="1">
      <alignment vertical="center" wrapText="1"/>
    </xf>
    <xf numFmtId="169" fontId="0" fillId="0" borderId="0" xfId="0" applyNumberFormat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 vertical="center"/>
    </xf>
  </cellXfs>
  <cellStyles count="47">
    <cellStyle name="20% — акцент1" xfId="24" builtinId="30" customBuiltin="1"/>
    <cellStyle name="20% — акцент2" xfId="28" builtinId="34" customBuiltin="1"/>
    <cellStyle name="20% — акцент3" xfId="32" builtinId="38" customBuiltin="1"/>
    <cellStyle name="20% — акцент4" xfId="36" builtinId="42" customBuiltin="1"/>
    <cellStyle name="20% — акцент5" xfId="40" builtinId="46" customBuiltin="1"/>
    <cellStyle name="20% — акцент6" xfId="44" builtinId="50" customBuiltin="1"/>
    <cellStyle name="40% — акцент1" xfId="25" builtinId="31" customBuiltin="1"/>
    <cellStyle name="40% — акцент2" xfId="29" builtinId="35" customBuiltin="1"/>
    <cellStyle name="40% — акцент3" xfId="33" builtinId="39" customBuiltin="1"/>
    <cellStyle name="40% — акцент4" xfId="37" builtinId="43" customBuiltin="1"/>
    <cellStyle name="40% — акцент5" xfId="41" builtinId="47" customBuiltin="1"/>
    <cellStyle name="40% — акцент6" xfId="45" builtinId="51" customBuiltin="1"/>
    <cellStyle name="60% — акцент1" xfId="26" builtinId="32" customBuiltin="1"/>
    <cellStyle name="60% — акцент2" xfId="30" builtinId="36" customBuiltin="1"/>
    <cellStyle name="60% — акцент3" xfId="34" builtinId="40" customBuiltin="1"/>
    <cellStyle name="60% — акцент4" xfId="38" builtinId="44" customBuiltin="1"/>
    <cellStyle name="60% — акцент5" xfId="42" builtinId="48" customBuiltin="1"/>
    <cellStyle name="60% —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Денежный" xfId="4" builtinId="4" customBuiltin="1"/>
    <cellStyle name="Денежный [0]" xfId="5" builtinId="7" customBuiltin="1"/>
    <cellStyle name="Заголовок 1" xfId="8" builtinId="16" customBuiltin="1"/>
    <cellStyle name="Заголовок 2" xfId="1" builtinId="17" customBuiltin="1"/>
    <cellStyle name="Заголовок 3" xfId="9" builtinId="18" customBuiltin="1"/>
    <cellStyle name="Заголовок 4" xfId="10" builtinId="19" customBuiltin="1"/>
    <cellStyle name="Итог" xfId="22" builtinId="25" customBuiltin="1"/>
    <cellStyle name="Контрольная ячейка" xfId="18" builtinId="23" customBuiltin="1"/>
    <cellStyle name="Название" xfId="7" builtinId="15" customBuiltin="1"/>
    <cellStyle name="Нейтральный" xfId="13" builtinId="28" customBuiltin="1"/>
    <cellStyle name="Обычный" xfId="0" builtinId="0" customBuiltin="1"/>
    <cellStyle name="Плохой" xfId="12" builtinId="27" customBuiltin="1"/>
    <cellStyle name="Пояснение" xfId="21" builtinId="53" customBuiltin="1"/>
    <cellStyle name="Примечание" xfId="20" builtinId="10" customBuiltin="1"/>
    <cellStyle name="Процентный" xfId="6" builtinId="5" customBuiltin="1"/>
    <cellStyle name="Связанная ячейка" xfId="17" builtinId="24" customBuiltin="1"/>
    <cellStyle name="Текст предупреждения" xfId="19" builtinId="11" customBuiltin="1"/>
    <cellStyle name="Финансовый" xfId="2" builtinId="3" customBuiltin="1"/>
    <cellStyle name="Финансовый [0]" xfId="3" builtinId="6" customBuiltin="1"/>
    <cellStyle name="Хороший" xfId="11" builtinId="26" customBuiltin="1"/>
  </cellStyles>
  <dxfs count="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9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$C$1" max="2999" min="1900" page="10" val="202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142875</xdr:colOff>
      <xdr:row>2</xdr:row>
      <xdr:rowOff>114299</xdr:rowOff>
    </xdr:from>
    <xdr:to>
      <xdr:col>22</xdr:col>
      <xdr:colOff>682625</xdr:colOff>
      <xdr:row>47</xdr:row>
      <xdr:rowOff>66674</xdr:rowOff>
    </xdr:to>
    <xdr:pic>
      <xdr:nvPicPr>
        <xdr:cNvPr id="2" name="Листья" descr="Шесть листьев, размещенных парами и по одному на разных расстояниях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Счетчик" descr="Используйте кнопки счетчика, чтобы изменить календарный год, или введите год в ячейке C1.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Логотип" descr="Заполнитель логотипа для добавления логотипа компании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Сентябрь" displayName="Сентябрь" ref="C40:I46" totalsRowShown="0" headerRowDxfId="107" dataDxfId="106">
  <autoFilter ref="C40:I46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ПН" dataDxfId="105"/>
    <tableColumn id="2" xr3:uid="{00000000-0010-0000-0000-000002000000}" name="ВТ" dataDxfId="104"/>
    <tableColumn id="3" xr3:uid="{00000000-0010-0000-0000-000003000000}" name="СР" dataDxfId="103"/>
    <tableColumn id="4" xr3:uid="{00000000-0010-0000-0000-000004000000}" name="ЧТ" dataDxfId="102"/>
    <tableColumn id="5" xr3:uid="{00000000-0010-0000-0000-000005000000}" name="ПТ" dataDxfId="101"/>
    <tableColumn id="6" xr3:uid="{00000000-0010-0000-0000-000006000000}" name="СБ" dataDxfId="100"/>
    <tableColumn id="7" xr3:uid="{00000000-0010-0000-0000-000007000000}" name="ВС" dataDxfId="9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сентябрь в этой таблице обновляется автоматически с использованием названий дней недели и дат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9000000}" name="Апрель" displayName="Апрель" ref="K13:Q19" totalsRowShown="0" headerRowDxfId="26" dataDxfId="25">
  <autoFilter ref="K13:Q19" xr:uid="{00000000-0009-0000-0100-00001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900-000001000000}" name="ПН" dataDxfId="24"/>
    <tableColumn id="2" xr3:uid="{00000000-0010-0000-0900-000002000000}" name="ВТ" dataDxfId="23"/>
    <tableColumn id="3" xr3:uid="{00000000-0010-0000-0900-000003000000}" name="СР" dataDxfId="22"/>
    <tableColumn id="4" xr3:uid="{00000000-0010-0000-0900-000004000000}" name="ЧТ" dataDxfId="21"/>
    <tableColumn id="5" xr3:uid="{00000000-0010-0000-0900-000005000000}" name="ПТ" dataDxfId="20"/>
    <tableColumn id="6" xr3:uid="{00000000-0010-0000-0900-000006000000}" name="СБ" dataDxfId="19"/>
    <tableColumn id="7" xr3:uid="{00000000-0010-0000-0900-000007000000}" name="ВС" dataDxfId="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апрель в этой таблице обновляется автоматически с использованием названий дней недели и дат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A000000}" name="Февраль" displayName="Февраль" ref="K4:Q10" totalsRowShown="0" headerRowDxfId="17" dataDxfId="16">
  <autoFilter ref="K4:Q10" xr:uid="{00000000-0009-0000-0100-00001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A00-000001000000}" name="ПН" dataDxfId="15"/>
    <tableColumn id="2" xr3:uid="{00000000-0010-0000-0A00-000002000000}" name="ВТ" dataDxfId="14"/>
    <tableColumn id="3" xr3:uid="{00000000-0010-0000-0A00-000003000000}" name="СР" dataDxfId="13"/>
    <tableColumn id="4" xr3:uid="{00000000-0010-0000-0A00-000004000000}" name="ЧТ" dataDxfId="12"/>
    <tableColumn id="5" xr3:uid="{00000000-0010-0000-0A00-000005000000}" name="ПТ" dataDxfId="11"/>
    <tableColumn id="6" xr3:uid="{00000000-0010-0000-0A00-000006000000}" name="СБ" dataDxfId="10"/>
    <tableColumn id="7" xr3:uid="{00000000-0010-0000-0A00-000007000000}" name="ВС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февраль в этой таблице обновляется автоматически с использованием названий дней недели и дат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B000000}" name="Январь" displayName="Январь" ref="C4:I10" totalsRowShown="0" headerRowDxfId="8" dataDxfId="7">
  <autoFilter ref="C4:I10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B00-000001000000}" name="ПН" dataDxfId="6"/>
    <tableColumn id="2" xr3:uid="{00000000-0010-0000-0B00-000002000000}" name="ВТ" dataDxfId="5"/>
    <tableColumn id="3" xr3:uid="{00000000-0010-0000-0B00-000003000000}" name="СР" dataDxfId="4"/>
    <tableColumn id="4" xr3:uid="{00000000-0010-0000-0B00-000004000000}" name="ЧТ" dataDxfId="3"/>
    <tableColumn id="5" xr3:uid="{00000000-0010-0000-0B00-000005000000}" name="ПТ" dataDxfId="2"/>
    <tableColumn id="6" xr3:uid="{00000000-0010-0000-0B00-000006000000}" name="СБ" dataDxfId="1"/>
    <tableColumn id="7" xr3:uid="{00000000-0010-0000-0B00-000007000000}" name="ВС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январь в этой таблице обновляется автоматически с использованием названий дней недели и дат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Октябрь" displayName="Октябрь" ref="K40:Q46" totalsRowShown="0" headerRowDxfId="98" dataDxfId="97">
  <autoFilter ref="K40:Q46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ПН" dataDxfId="96"/>
    <tableColumn id="2" xr3:uid="{00000000-0010-0000-0100-000002000000}" name="ВТ" dataDxfId="95"/>
    <tableColumn id="3" xr3:uid="{00000000-0010-0000-0100-000003000000}" name="СР" dataDxfId="94"/>
    <tableColumn id="4" xr3:uid="{00000000-0010-0000-0100-000004000000}" name="ЧТ" dataDxfId="93"/>
    <tableColumn id="5" xr3:uid="{00000000-0010-0000-0100-000005000000}" name="ПТ" dataDxfId="92"/>
    <tableColumn id="6" xr3:uid="{00000000-0010-0000-0100-000006000000}" name="СБ" dataDxfId="91"/>
    <tableColumn id="7" xr3:uid="{00000000-0010-0000-0100-000007000000}" name="ВС" dataDxfId="9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октябрь в этой таблице обновляется автоматически с использованием названий дней недели и дат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Декабрь" displayName="Декабрь" ref="K49:Q55" totalsRowShown="0" headerRowDxfId="89" dataDxfId="88">
  <autoFilter ref="K49:Q55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ПН" dataDxfId="87"/>
    <tableColumn id="2" xr3:uid="{00000000-0010-0000-0200-000002000000}" name="ВТ" dataDxfId="86"/>
    <tableColumn id="3" xr3:uid="{00000000-0010-0000-0200-000003000000}" name="СР" dataDxfId="85"/>
    <tableColumn id="4" xr3:uid="{00000000-0010-0000-0200-000004000000}" name="ЧТ" dataDxfId="84"/>
    <tableColumn id="5" xr3:uid="{00000000-0010-0000-0200-000005000000}" name="ПТ" dataDxfId="83"/>
    <tableColumn id="6" xr3:uid="{00000000-0010-0000-0200-000006000000}" name="СБ" dataDxfId="82"/>
    <tableColumn id="7" xr3:uid="{00000000-0010-0000-0200-000007000000}" name="ВС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декабрь в этой таблице обновляется автоматически с использованием названий дней недели и дат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Ноябрь" displayName="Ноябрь" ref="C49:I55" totalsRowShown="0" headerRowDxfId="80" dataDxfId="79">
  <autoFilter ref="C49:I55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ПН" dataDxfId="78"/>
    <tableColumn id="2" xr3:uid="{00000000-0010-0000-0300-000002000000}" name="ВТ" dataDxfId="77"/>
    <tableColumn id="3" xr3:uid="{00000000-0010-0000-0300-000003000000}" name="СР" dataDxfId="76"/>
    <tableColumn id="4" xr3:uid="{00000000-0010-0000-0300-000004000000}" name="ЧТ" dataDxfId="75"/>
    <tableColumn id="5" xr3:uid="{00000000-0010-0000-0300-000005000000}" name="ПТ" dataDxfId="74"/>
    <tableColumn id="6" xr3:uid="{00000000-0010-0000-0300-000006000000}" name="СБ" dataDxfId="73"/>
    <tableColumn id="7" xr3:uid="{00000000-0010-0000-0300-000007000000}" name="ВС" dataDxfId="7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ноябрь в этой таблице обновляется автоматически с использованием названий дней недели и дат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Август" displayName="Август" ref="K31:Q37" totalsRowShown="0" headerRowDxfId="71" dataDxfId="70">
  <autoFilter ref="K31:Q37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ПН" dataDxfId="69"/>
    <tableColumn id="2" xr3:uid="{00000000-0010-0000-0400-000002000000}" name="ВТ" dataDxfId="68"/>
    <tableColumn id="3" xr3:uid="{00000000-0010-0000-0400-000003000000}" name="СР" dataDxfId="67"/>
    <tableColumn id="4" xr3:uid="{00000000-0010-0000-0400-000004000000}" name="ЧТ" dataDxfId="66"/>
    <tableColumn id="5" xr3:uid="{00000000-0010-0000-0400-000005000000}" name="ПТ" dataDxfId="65"/>
    <tableColumn id="6" xr3:uid="{00000000-0010-0000-0400-000006000000}" name="СБ" dataDxfId="64"/>
    <tableColumn id="7" xr3:uid="{00000000-0010-0000-0400-000007000000}" name="ВС" dataDxfId="6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август в этой таблице обновляется автоматически с использованием названий дней недели и дат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Июль" displayName="Июль" ref="C31:I37" totalsRowShown="0" headerRowDxfId="62" dataDxfId="61">
  <autoFilter ref="C31:I37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ПН" dataDxfId="60"/>
    <tableColumn id="2" xr3:uid="{00000000-0010-0000-0500-000002000000}" name="ВТ" dataDxfId="59"/>
    <tableColumn id="3" xr3:uid="{00000000-0010-0000-0500-000003000000}" name="СР" dataDxfId="58"/>
    <tableColumn id="4" xr3:uid="{00000000-0010-0000-0500-000004000000}" name="ЧТ" dataDxfId="57"/>
    <tableColumn id="5" xr3:uid="{00000000-0010-0000-0500-000005000000}" name="ПТ" dataDxfId="56"/>
    <tableColumn id="6" xr3:uid="{00000000-0010-0000-0500-000006000000}" name="СБ" dataDxfId="55"/>
    <tableColumn id="7" xr3:uid="{00000000-0010-0000-0500-000007000000}" name="ВС" dataDxfId="5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июль в этой таблице обновляется автоматически с использованием названий дней недели и дат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Июнь" displayName="Июнь" ref="K22:Q28" totalsRowShown="0" headerRowDxfId="53" dataDxfId="52">
  <autoFilter ref="K22:Q28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ПН" dataDxfId="51"/>
    <tableColumn id="2" xr3:uid="{00000000-0010-0000-0600-000002000000}" name="ВТ" dataDxfId="50"/>
    <tableColumn id="3" xr3:uid="{00000000-0010-0000-0600-000003000000}" name="СР" dataDxfId="49"/>
    <tableColumn id="4" xr3:uid="{00000000-0010-0000-0600-000004000000}" name="ЧТ" dataDxfId="48"/>
    <tableColumn id="5" xr3:uid="{00000000-0010-0000-0600-000005000000}" name="ПТ" dataDxfId="47"/>
    <tableColumn id="6" xr3:uid="{00000000-0010-0000-0600-000006000000}" name="СБ" dataDxfId="46"/>
    <tableColumn id="7" xr3:uid="{00000000-0010-0000-0600-000007000000}" name="ВС" dataDxfId="4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июнь в этой таблице обновляется автоматически с использованием названий дней недели и дат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7000000}" name="Май" displayName="Май" ref="C22:I28" totalsRowShown="0" headerRowDxfId="44" dataDxfId="43">
  <autoFilter ref="C22:I2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700-000001000000}" name="ПН" dataDxfId="42"/>
    <tableColumn id="2" xr3:uid="{00000000-0010-0000-0700-000002000000}" name="ВТ" dataDxfId="41"/>
    <tableColumn id="3" xr3:uid="{00000000-0010-0000-0700-000003000000}" name="СР" dataDxfId="40"/>
    <tableColumn id="4" xr3:uid="{00000000-0010-0000-0700-000004000000}" name="ЧТ" dataDxfId="39"/>
    <tableColumn id="5" xr3:uid="{00000000-0010-0000-0700-000005000000}" name="ПТ" dataDxfId="38"/>
    <tableColumn id="6" xr3:uid="{00000000-0010-0000-0700-000006000000}" name="СБ" dataDxfId="37"/>
    <tableColumn id="7" xr3:uid="{00000000-0010-0000-0700-000007000000}" name="ВС" dataDxfId="3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май в этой таблице обновляется автоматически с использованием названий дней недели и дат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8000000}" name="Март" displayName="Март" ref="C13:I19" totalsRowShown="0" headerRowDxfId="35" dataDxfId="34">
  <autoFilter ref="C13:I19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800-000001000000}" name="ПН" dataDxfId="33"/>
    <tableColumn id="2" xr3:uid="{00000000-0010-0000-0800-000002000000}" name="ВТ" dataDxfId="32"/>
    <tableColumn id="3" xr3:uid="{00000000-0010-0000-0800-000003000000}" name="СР" dataDxfId="31"/>
    <tableColumn id="4" xr3:uid="{00000000-0010-0000-0800-000004000000}" name="ЧТ" dataDxfId="30"/>
    <tableColumn id="5" xr3:uid="{00000000-0010-0000-0800-000005000000}" name="ПТ" dataDxfId="29"/>
    <tableColumn id="6" xr3:uid="{00000000-0010-0000-0800-000006000000}" name="СБ" dataDxfId="28"/>
    <tableColumn id="7" xr3:uid="{00000000-0010-0000-0800-000007000000}" name="ВС" dataDxfId="2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март в этой таблице обновляется автоматически с использованием названий дней недели и дат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2" Type="http://schemas.openxmlformats.org/officeDocument/2006/relationships/drawing" Target="../drawings/drawing1.xml"/><Relationship Id="rId16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5.xml"/><Relationship Id="rId1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B1:B8"/>
  <sheetViews>
    <sheetView showGridLines="0" tabSelected="1" workbookViewId="0"/>
  </sheetViews>
  <sheetFormatPr defaultRowHeight="11.25" x14ac:dyDescent="0.2"/>
  <cols>
    <col min="1" max="1" width="2.83203125" customWidth="1"/>
    <col min="2" max="2" width="92.83203125" style="16" customWidth="1"/>
    <col min="3" max="3" width="2.83203125" customWidth="1"/>
  </cols>
  <sheetData>
    <row r="1" spans="2:2" ht="30" customHeight="1" x14ac:dyDescent="0.2">
      <c r="B1" s="13" t="s">
        <v>0</v>
      </c>
    </row>
    <row r="2" spans="2:2" ht="45.75" customHeight="1" x14ac:dyDescent="0.2">
      <c r="B2" s="12" t="s">
        <v>1</v>
      </c>
    </row>
    <row r="3" spans="2:2" ht="30" customHeight="1" x14ac:dyDescent="0.2">
      <c r="B3" s="12" t="s">
        <v>2</v>
      </c>
    </row>
    <row r="4" spans="2:2" ht="30" customHeight="1" x14ac:dyDescent="0.2">
      <c r="B4" s="12" t="s">
        <v>3</v>
      </c>
    </row>
    <row r="5" spans="2:2" ht="30" customHeight="1" x14ac:dyDescent="0.25">
      <c r="B5" s="15" t="s">
        <v>4</v>
      </c>
    </row>
    <row r="6" spans="2:2" ht="65.25" customHeight="1" x14ac:dyDescent="0.2">
      <c r="B6" s="24" t="s">
        <v>57</v>
      </c>
    </row>
    <row r="7" spans="2:2" ht="45" x14ac:dyDescent="0.2">
      <c r="B7" s="14" t="s">
        <v>5</v>
      </c>
    </row>
    <row r="8" spans="2:2" ht="15" x14ac:dyDescent="0.2">
      <c r="B8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W69"/>
  <sheetViews>
    <sheetView showGridLines="0" zoomScaleNormal="100" workbookViewId="0"/>
  </sheetViews>
  <sheetFormatPr defaultColWidth="9.5" defaultRowHeight="11.25" x14ac:dyDescent="0.2"/>
  <cols>
    <col min="1" max="1" width="2.5" style="19" customWidth="1"/>
    <col min="2" max="2" width="5.1640625" customWidth="1"/>
    <col min="3" max="17" width="5" customWidth="1"/>
    <col min="18" max="18" width="2.1640625" customWidth="1"/>
    <col min="19" max="19" width="1.1640625" customWidth="1"/>
    <col min="20" max="20" width="5.1640625" customWidth="1"/>
    <col min="21" max="21" width="42" customWidth="1"/>
    <col min="22" max="22" width="9.33203125" customWidth="1"/>
    <col min="23" max="23" width="13.5" customWidth="1"/>
    <col min="24" max="24" width="2.83203125" customWidth="1"/>
    <col min="25" max="43" width="9.33203125" customWidth="1"/>
    <col min="44" max="44" width="9.5" customWidth="1"/>
  </cols>
  <sheetData>
    <row r="1" spans="1:23" ht="30" customHeight="1" x14ac:dyDescent="0.2">
      <c r="A1" s="17" t="s">
        <v>6</v>
      </c>
      <c r="B1" s="4"/>
      <c r="C1" s="26">
        <v>2020</v>
      </c>
      <c r="D1" s="26"/>
      <c r="E1" s="26"/>
      <c r="F1" s="26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"/>
      <c r="T1" s="4"/>
      <c r="U1" s="7" t="s">
        <v>44</v>
      </c>
      <c r="V1" s="4"/>
      <c r="W1" s="4"/>
    </row>
    <row r="2" spans="1:23" ht="15" customHeight="1" x14ac:dyDescent="0.2">
      <c r="A2" s="18" t="s">
        <v>7</v>
      </c>
      <c r="B2" s="30" t="s">
        <v>24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S2" s="23"/>
    </row>
    <row r="3" spans="1:23" ht="15" customHeight="1" x14ac:dyDescent="0.25">
      <c r="A3" s="19" t="s">
        <v>8</v>
      </c>
      <c r="C3" s="27" t="s">
        <v>25</v>
      </c>
      <c r="D3" s="27"/>
      <c r="E3" s="27"/>
      <c r="F3" s="27"/>
      <c r="G3" s="27"/>
      <c r="H3" s="27"/>
      <c r="I3" s="27"/>
      <c r="J3" s="20"/>
      <c r="K3" s="27" t="s">
        <v>38</v>
      </c>
      <c r="L3" s="27"/>
      <c r="M3" s="27"/>
      <c r="N3" s="27"/>
      <c r="O3" s="27"/>
      <c r="P3" s="27"/>
      <c r="Q3" s="27"/>
      <c r="S3" s="23"/>
      <c r="U3" s="10" t="s">
        <v>45</v>
      </c>
      <c r="V3" s="29"/>
      <c r="W3" s="29"/>
    </row>
    <row r="4" spans="1:23" ht="15" customHeight="1" x14ac:dyDescent="0.2">
      <c r="A4" s="18" t="s">
        <v>9</v>
      </c>
      <c r="C4" s="11" t="s">
        <v>26</v>
      </c>
      <c r="D4" s="11" t="s">
        <v>32</v>
      </c>
      <c r="E4" s="11" t="s">
        <v>33</v>
      </c>
      <c r="F4" s="11" t="s">
        <v>34</v>
      </c>
      <c r="G4" s="11" t="s">
        <v>35</v>
      </c>
      <c r="H4" s="11" t="s">
        <v>36</v>
      </c>
      <c r="I4" s="11" t="s">
        <v>37</v>
      </c>
      <c r="J4" s="21"/>
      <c r="K4" s="11" t="s">
        <v>26</v>
      </c>
      <c r="L4" s="11" t="s">
        <v>32</v>
      </c>
      <c r="M4" s="11" t="s">
        <v>33</v>
      </c>
      <c r="N4" s="11" t="s">
        <v>34</v>
      </c>
      <c r="O4" s="11" t="s">
        <v>35</v>
      </c>
      <c r="P4" s="11" t="s">
        <v>36</v>
      </c>
      <c r="Q4" s="11" t="s">
        <v>37</v>
      </c>
      <c r="S4" s="23"/>
      <c r="U4" s="3" t="s">
        <v>46</v>
      </c>
      <c r="V4" s="29"/>
      <c r="W4" s="29"/>
    </row>
    <row r="5" spans="1:23" ht="15" customHeight="1" x14ac:dyDescent="0.2">
      <c r="A5" s="18"/>
      <c r="C5" s="25" t="str">
        <f>IF(DAY(ЯнвВс1)=1,"",IF(AND(YEAR(ЯнвВс1+1)=КалендарныйГод,MONTH(ЯнвВс1+1)=1),ЯнвВс1+1,""))</f>
        <v/>
      </c>
      <c r="D5" s="25" t="str">
        <f>IF(DAY(ЯнвВс1)=1,"",IF(AND(YEAR(ЯнвВс1+2)=КалендарныйГод,MONTH(ЯнвВс1+2)=1),ЯнвВс1+2,""))</f>
        <v/>
      </c>
      <c r="E5" s="25">
        <f>IF(DAY(ЯнвВс1)=1,"",IF(AND(YEAR(ЯнвВс1+3)=КалендарныйГод,MONTH(ЯнвВс1+3)=1),ЯнвВс1+3,""))</f>
        <v>43831</v>
      </c>
      <c r="F5" s="25">
        <f>IF(DAY(ЯнвВс1)=1,"",IF(AND(YEAR(ЯнвВс1+4)=КалендарныйГод,MONTH(ЯнвВс1+4)=1),ЯнвВс1+4,""))</f>
        <v>43832</v>
      </c>
      <c r="G5" s="25">
        <f>IF(DAY(ЯнвВс1)=1,"",IF(AND(YEAR(ЯнвВс1+5)=КалендарныйГод,MONTH(ЯнвВс1+5)=1),ЯнвВс1+5,""))</f>
        <v>43833</v>
      </c>
      <c r="H5" s="25">
        <f>IF(DAY(ЯнвВс1)=1,"",IF(AND(YEAR(ЯнвВс1+6)=КалендарныйГод,MONTH(ЯнвВс1+6)=1),ЯнвВс1+6,""))</f>
        <v>43834</v>
      </c>
      <c r="I5" s="25">
        <f>IF(DAY(ЯнвВс1)=1,IF(AND(YEAR(ЯнвВс1)=КалендарныйГод,MONTH(ЯнвВс1)=1),ЯнвВс1,""),IF(AND(YEAR(ЯнвВс1+7)=КалендарныйГод,MONTH(ЯнвВс1+7)=1),ЯнвВс1+7,""))</f>
        <v>43835</v>
      </c>
      <c r="J5" s="21"/>
      <c r="K5" s="25" t="str">
        <f>IF(DAY(ФевВс1)=1,"",IF(AND(YEAR(ФевВс1+1)=КалендарныйГод,MONTH(ФевВс1+1)=2),ФевВс1+1,""))</f>
        <v/>
      </c>
      <c r="L5" s="25" t="str">
        <f>IF(DAY(ФевВс1)=1,"",IF(AND(YEAR(ФевВс1+2)=КалендарныйГод,MONTH(ФевВс1+2)=2),ФевВс1+2,""))</f>
        <v/>
      </c>
      <c r="M5" s="25" t="str">
        <f>IF(DAY(ФевВс1)=1,"",IF(AND(YEAR(ФевВс1+3)=КалендарныйГод,MONTH(ФевВс1+3)=2),ФевВс1+3,""))</f>
        <v/>
      </c>
      <c r="N5" s="25" t="str">
        <f>IF(DAY(ФевВс1)=1,"",IF(AND(YEAR(ФевВс1+4)=КалендарныйГод,MONTH(ФевВс1+4)=2),ФевВс1+4,""))</f>
        <v/>
      </c>
      <c r="O5" s="25" t="str">
        <f>IF(DAY(ФевВс1)=1,"",IF(AND(YEAR(ФевВс1+5)=КалендарныйГод,MONTH(ФевВс1+5)=2),ФевВс1+5,""))</f>
        <v/>
      </c>
      <c r="P5" s="25">
        <f>IF(DAY(ФевВс1)=1,"",IF(AND(YEAR(ФевВс1+6)=КалендарныйГод,MONTH(ФевВс1+6)=2),ФевВс1+6,""))</f>
        <v>43862</v>
      </c>
      <c r="Q5" s="25">
        <f>IF(DAY(ФевВс1)=1,IF(AND(YEAR(ФевВс1)=КалендарныйГод,MONTH(ФевВс1)=2),ФевВс1,""),IF(AND(YEAR(ФевВс1+7)=КалендарныйГод,MONTH(ФевВс1+7)=2),ФевВс1+7,""))</f>
        <v>43863</v>
      </c>
      <c r="S5" s="23"/>
      <c r="U5" s="2"/>
      <c r="V5" s="29"/>
      <c r="W5" s="29"/>
    </row>
    <row r="6" spans="1:23" ht="15" customHeight="1" x14ac:dyDescent="0.2">
      <c r="A6" s="18"/>
      <c r="C6" s="25">
        <f>IF(DAY(ЯнвВс1)=1,IF(AND(YEAR(ЯнвВс1+1)=КалендарныйГод,MONTH(ЯнвВс1+1)=1),ЯнвВс1+1,""),IF(AND(YEAR(ЯнвВс1+8)=КалендарныйГод,MONTH(ЯнвВс1+8)=1),ЯнвВс1+8,""))</f>
        <v>43836</v>
      </c>
      <c r="D6" s="25">
        <f>IF(DAY(ЯнвВс1)=1,IF(AND(YEAR(ЯнвВс1+2)=КалендарныйГод,MONTH(ЯнвВс1+2)=1),ЯнвВс1+2,""),IF(AND(YEAR(ЯнвВс1+9)=КалендарныйГод,MONTH(ЯнвВс1+9)=1),ЯнвВс1+9,""))</f>
        <v>43837</v>
      </c>
      <c r="E6" s="25">
        <f>IF(DAY(ЯнвВс1)=1,IF(AND(YEAR(ЯнвВс1+3)=КалендарныйГод,MONTH(ЯнвВс1+3)=1),ЯнвВс1+3,""),IF(AND(YEAR(ЯнвВс1+10)=КалендарныйГод,MONTH(ЯнвВс1+10)=1),ЯнвВс1+10,""))</f>
        <v>43838</v>
      </c>
      <c r="F6" s="25">
        <f>IF(DAY(ЯнвВс1)=1,IF(AND(YEAR(ЯнвВс1+4)=КалендарныйГод,MONTH(ЯнвВс1+4)=1),ЯнвВс1+4,""),IF(AND(YEAR(ЯнвВс1+11)=КалендарныйГод,MONTH(ЯнвВс1+11)=1),ЯнвВс1+11,""))</f>
        <v>43839</v>
      </c>
      <c r="G6" s="25">
        <f>IF(DAY(ЯнвВс1)=1,IF(AND(YEAR(ЯнвВс1+5)=КалендарныйГод,MONTH(ЯнвВс1+5)=1),ЯнвВс1+5,""),IF(AND(YEAR(ЯнвВс1+12)=КалендарныйГод,MONTH(ЯнвВс1+12)=1),ЯнвВс1+12,""))</f>
        <v>43840</v>
      </c>
      <c r="H6" s="25">
        <f>IF(DAY(ЯнвВс1)=1,IF(AND(YEAR(ЯнвВс1+6)=КалендарныйГод,MONTH(ЯнвВс1+6)=1),ЯнвВс1+6,""),IF(AND(YEAR(ЯнвВс1+13)=КалендарныйГод,MONTH(ЯнвВс1+13)=1),ЯнвВс1+13,""))</f>
        <v>43841</v>
      </c>
      <c r="I6" s="25">
        <f>IF(DAY(ЯнвВс1)=1,IF(AND(YEAR(ЯнвВс1+7)=КалендарныйГод,MONTH(ЯнвВс1+7)=1),ЯнвВс1+7,""),IF(AND(YEAR(ЯнвВс1+14)=КалендарныйГод,MONTH(ЯнвВс1+14)=1),ЯнвВс1+14,""))</f>
        <v>43842</v>
      </c>
      <c r="J6" s="21"/>
      <c r="K6" s="25">
        <f>IF(DAY(ФевВс1)=1,IF(AND(YEAR(ФевВс1+1)=КалендарныйГод,MONTH(ФевВс1+1)=2),ФевВс1+1,""),IF(AND(YEAR(ФевВс1+8)=КалендарныйГод,MONTH(ФевВс1+8)=2),ФевВс1+8,""))</f>
        <v>43864</v>
      </c>
      <c r="L6" s="25">
        <f>IF(DAY(ФевВс1)=1,IF(AND(YEAR(ФевВс1+2)=КалендарныйГод,MONTH(ФевВс1+2)=2),ФевВс1+2,""),IF(AND(YEAR(ФевВс1+9)=КалендарныйГод,MONTH(ФевВс1+9)=2),ФевВс1+9,""))</f>
        <v>43865</v>
      </c>
      <c r="M6" s="25">
        <f>IF(DAY(ФевВс1)=1,IF(AND(YEAR(ФевВс1+3)=КалендарныйГод,MONTH(ФевВс1+3)=2),ФевВс1+3,""),IF(AND(YEAR(ФевВс1+10)=КалендарныйГод,MONTH(ФевВс1+10)=2),ФевВс1+10,""))</f>
        <v>43866</v>
      </c>
      <c r="N6" s="25">
        <f>IF(DAY(ФевВс1)=1,IF(AND(YEAR(ФевВс1+4)=КалендарныйГод,MONTH(ФевВс1+4)=2),ФевВс1+4,""),IF(AND(YEAR(ФевВс1+11)=КалендарныйГод,MONTH(ФевВс1+11)=2),ФевВс1+11,""))</f>
        <v>43867</v>
      </c>
      <c r="O6" s="25">
        <f>IF(DAY(ФевВс1)=1,IF(AND(YEAR(ФевВс1+5)=КалендарныйГод,MONTH(ФевВс1+5)=2),ФевВс1+5,""),IF(AND(YEAR(ФевВс1+12)=КалендарныйГод,MONTH(ФевВс1+12)=2),ФевВс1+12,""))</f>
        <v>43868</v>
      </c>
      <c r="P6" s="25">
        <f>IF(DAY(ФевВс1)=1,IF(AND(YEAR(ФевВс1+6)=КалендарныйГод,MONTH(ФевВс1+6)=2),ФевВс1+6,""),IF(AND(YEAR(ФевВс1+13)=КалендарныйГод,MONTH(ФевВс1+13)=2),ФевВс1+13,""))</f>
        <v>43869</v>
      </c>
      <c r="Q6" s="25">
        <f>IF(DAY(ФевВс1)=1,IF(AND(YEAR(ФевВс1+7)=КалендарныйГод,MONTH(ФевВс1+7)=2),ФевВс1+7,""),IF(AND(YEAR(ФевВс1+14)=КалендарныйГод,MONTH(ФевВс1+14)=2),ФевВс1+14,""))</f>
        <v>43870</v>
      </c>
      <c r="S6" s="23"/>
      <c r="U6" s="10" t="s">
        <v>47</v>
      </c>
      <c r="V6" s="29"/>
      <c r="W6" s="29"/>
    </row>
    <row r="7" spans="1:23" ht="15" customHeight="1" x14ac:dyDescent="0.2">
      <c r="C7" s="25">
        <f>IF(DAY(ЯнвВс1)=1,IF(AND(YEAR(ЯнвВс1+8)=КалендарныйГод,MONTH(ЯнвВс1+8)=1),ЯнвВс1+8,""),IF(AND(YEAR(ЯнвВс1+15)=КалендарныйГод,MONTH(ЯнвВс1+15)=1),ЯнвВс1+15,""))</f>
        <v>43843</v>
      </c>
      <c r="D7" s="25">
        <f>IF(DAY(ЯнвВс1)=1,IF(AND(YEAR(ЯнвВс1+9)=КалендарныйГод,MONTH(ЯнвВс1+9)=1),ЯнвВс1+9,""),IF(AND(YEAR(ЯнвВс1+16)=КалендарныйГод,MONTH(ЯнвВс1+16)=1),ЯнвВс1+16,""))</f>
        <v>43844</v>
      </c>
      <c r="E7" s="25">
        <f>IF(DAY(ЯнвВс1)=1,IF(AND(YEAR(ЯнвВс1+10)=КалендарныйГод,MONTH(ЯнвВс1+10)=1),ЯнвВс1+10,""),IF(AND(YEAR(ЯнвВс1+17)=КалендарныйГод,MONTH(ЯнвВс1+17)=1),ЯнвВс1+17,""))</f>
        <v>43845</v>
      </c>
      <c r="F7" s="25">
        <f>IF(DAY(ЯнвВс1)=1,IF(AND(YEAR(ЯнвВс1+11)=КалендарныйГод,MONTH(ЯнвВс1+11)=1),ЯнвВс1+11,""),IF(AND(YEAR(ЯнвВс1+18)=КалендарныйГод,MONTH(ЯнвВс1+18)=1),ЯнвВс1+18,""))</f>
        <v>43846</v>
      </c>
      <c r="G7" s="25">
        <f>IF(DAY(ЯнвВс1)=1,IF(AND(YEAR(ЯнвВс1+12)=КалендарныйГод,MONTH(ЯнвВс1+12)=1),ЯнвВс1+12,""),IF(AND(YEAR(ЯнвВс1+19)=КалендарныйГод,MONTH(ЯнвВс1+19)=1),ЯнвВс1+19,""))</f>
        <v>43847</v>
      </c>
      <c r="H7" s="25">
        <f>IF(DAY(ЯнвВс1)=1,IF(AND(YEAR(ЯнвВс1+13)=КалендарныйГод,MONTH(ЯнвВс1+13)=1),ЯнвВс1+13,""),IF(AND(YEAR(ЯнвВс1+20)=КалендарныйГод,MONTH(ЯнвВс1+20)=1),ЯнвВс1+20,""))</f>
        <v>43848</v>
      </c>
      <c r="I7" s="25">
        <f>IF(DAY(ЯнвВс1)=1,IF(AND(YEAR(ЯнвВс1+14)=КалендарныйГод,MONTH(ЯнвВс1+14)=1),ЯнвВс1+14,""),IF(AND(YEAR(ЯнвВс1+21)=КалендарныйГод,MONTH(ЯнвВс1+21)=1),ЯнвВс1+21,""))</f>
        <v>43849</v>
      </c>
      <c r="J7" s="21"/>
      <c r="K7" s="25">
        <f>IF(DAY(ФевВс1)=1,IF(AND(YEAR(ФевВс1+8)=КалендарныйГод,MONTH(ФевВс1+8)=2),ФевВс1+8,""),IF(AND(YEAR(ФевВс1+15)=КалендарныйГод,MONTH(ФевВс1+15)=2),ФевВс1+15,""))</f>
        <v>43871</v>
      </c>
      <c r="L7" s="25">
        <f>IF(DAY(ФевВс1)=1,IF(AND(YEAR(ФевВс1+9)=КалендарныйГод,MONTH(ФевВс1+9)=2),ФевВс1+9,""),IF(AND(YEAR(ФевВс1+16)=КалендарныйГод,MONTH(ФевВс1+16)=2),ФевВс1+16,""))</f>
        <v>43872</v>
      </c>
      <c r="M7" s="25">
        <f>IF(DAY(ФевВс1)=1,IF(AND(YEAR(ФевВс1+10)=КалендарныйГод,MONTH(ФевВс1+10)=2),ФевВс1+10,""),IF(AND(YEAR(ФевВс1+17)=КалендарныйГод,MONTH(ФевВс1+17)=2),ФевВс1+17,""))</f>
        <v>43873</v>
      </c>
      <c r="N7" s="25">
        <f>IF(DAY(ФевВс1)=1,IF(AND(YEAR(ФевВс1+11)=КалендарныйГод,MONTH(ФевВс1+11)=2),ФевВс1+11,""),IF(AND(YEAR(ФевВс1+18)=КалендарныйГод,MONTH(ФевВс1+18)=2),ФевВс1+18,""))</f>
        <v>43874</v>
      </c>
      <c r="O7" s="25">
        <f>IF(DAY(ФевВс1)=1,IF(AND(YEAR(ФевВс1+12)=КалендарныйГод,MONTH(ФевВс1+12)=2),ФевВс1+12,""),IF(AND(YEAR(ФевВс1+19)=КалендарныйГод,MONTH(ФевВс1+19)=2),ФевВс1+19,""))</f>
        <v>43875</v>
      </c>
      <c r="P7" s="25">
        <f>IF(DAY(ФевВс1)=1,IF(AND(YEAR(ФевВс1+13)=КалендарныйГод,MONTH(ФевВс1+13)=2),ФевВс1+13,""),IF(AND(YEAR(ФевВс1+20)=КалендарныйГод,MONTH(ФевВс1+20)=2),ФевВс1+20,""))</f>
        <v>43876</v>
      </c>
      <c r="Q7" s="25">
        <f>IF(DAY(ФевВс1)=1,IF(AND(YEAR(ФевВс1+14)=КалендарныйГод,MONTH(ФевВс1+14)=2),ФевВс1+14,""),IF(AND(YEAR(ФевВс1+21)=КалендарныйГод,MONTH(ФевВс1+21)=2),ФевВс1+21,""))</f>
        <v>43877</v>
      </c>
      <c r="S7" s="23"/>
      <c r="U7" s="3" t="s">
        <v>48</v>
      </c>
      <c r="V7" s="29"/>
      <c r="W7" s="29"/>
    </row>
    <row r="8" spans="1:23" ht="15" customHeight="1" x14ac:dyDescent="0.2">
      <c r="C8" s="25">
        <f>IF(DAY(ЯнвВс1)=1,IF(AND(YEAR(ЯнвВс1+15)=КалендарныйГод,MONTH(ЯнвВс1+15)=1),ЯнвВс1+15,""),IF(AND(YEAR(ЯнвВс1+22)=КалендарныйГод,MONTH(ЯнвВс1+22)=1),ЯнвВс1+22,""))</f>
        <v>43850</v>
      </c>
      <c r="D8" s="25">
        <f>IF(DAY(ЯнвВс1)=1,IF(AND(YEAR(ЯнвВс1+16)=КалендарныйГод,MONTH(ЯнвВс1+16)=1),ЯнвВс1+16,""),IF(AND(YEAR(ЯнвВс1+23)=КалендарныйГод,MONTH(ЯнвВс1+23)=1),ЯнвВс1+23,""))</f>
        <v>43851</v>
      </c>
      <c r="E8" s="25">
        <f>IF(DAY(ЯнвВс1)=1,IF(AND(YEAR(ЯнвВс1+17)=КалендарныйГод,MONTH(ЯнвВс1+17)=1),ЯнвВс1+17,""),IF(AND(YEAR(ЯнвВс1+24)=КалендарныйГод,MONTH(ЯнвВс1+24)=1),ЯнвВс1+24,""))</f>
        <v>43852</v>
      </c>
      <c r="F8" s="25">
        <f>IF(DAY(ЯнвВс1)=1,IF(AND(YEAR(ЯнвВс1+18)=КалендарныйГод,MONTH(ЯнвВс1+18)=1),ЯнвВс1+18,""),IF(AND(YEAR(ЯнвВс1+25)=КалендарныйГод,MONTH(ЯнвВс1+25)=1),ЯнвВс1+25,""))</f>
        <v>43853</v>
      </c>
      <c r="G8" s="25">
        <f>IF(DAY(ЯнвВс1)=1,IF(AND(YEAR(ЯнвВс1+19)=КалендарныйГод,MONTH(ЯнвВс1+19)=1),ЯнвВс1+19,""),IF(AND(YEAR(ЯнвВс1+26)=КалендарныйГод,MONTH(ЯнвВс1+26)=1),ЯнвВс1+26,""))</f>
        <v>43854</v>
      </c>
      <c r="H8" s="25">
        <f>IF(DAY(ЯнвВс1)=1,IF(AND(YEAR(ЯнвВс1+20)=КалендарныйГод,MONTH(ЯнвВс1+20)=1),ЯнвВс1+20,""),IF(AND(YEAR(ЯнвВс1+27)=КалендарныйГод,MONTH(ЯнвВс1+27)=1),ЯнвВс1+27,""))</f>
        <v>43855</v>
      </c>
      <c r="I8" s="25">
        <f>IF(DAY(ЯнвВс1)=1,IF(AND(YEAR(ЯнвВс1+21)=КалендарныйГод,MONTH(ЯнвВс1+21)=1),ЯнвВс1+21,""),IF(AND(YEAR(ЯнвВс1+28)=КалендарныйГод,MONTH(ЯнвВс1+28)=1),ЯнвВс1+28,""))</f>
        <v>43856</v>
      </c>
      <c r="J8" s="21"/>
      <c r="K8" s="25">
        <f>IF(DAY(ФевВс1)=1,IF(AND(YEAR(ФевВс1+15)=КалендарныйГод,MONTH(ФевВс1+15)=2),ФевВс1+15,""),IF(AND(YEAR(ФевВс1+22)=КалендарныйГод,MONTH(ФевВс1+22)=2),ФевВс1+22,""))</f>
        <v>43878</v>
      </c>
      <c r="L8" s="25">
        <f>IF(DAY(ФевВс1)=1,IF(AND(YEAR(ФевВс1+16)=КалендарныйГод,MONTH(ФевВс1+16)=2),ФевВс1+16,""),IF(AND(YEAR(ФевВс1+23)=КалендарныйГод,MONTH(ФевВс1+23)=2),ФевВс1+23,""))</f>
        <v>43879</v>
      </c>
      <c r="M8" s="25">
        <f>IF(DAY(ФевВс1)=1,IF(AND(YEAR(ФевВс1+17)=КалендарныйГод,MONTH(ФевВс1+17)=2),ФевВс1+17,""),IF(AND(YEAR(ФевВс1+24)=КалендарныйГод,MONTH(ФевВс1+24)=2),ФевВс1+24,""))</f>
        <v>43880</v>
      </c>
      <c r="N8" s="25">
        <f>IF(DAY(ФевВс1)=1,IF(AND(YEAR(ФевВс1+18)=КалендарныйГод,MONTH(ФевВс1+18)=2),ФевВс1+18,""),IF(AND(YEAR(ФевВс1+25)=КалендарныйГод,MONTH(ФевВс1+25)=2),ФевВс1+25,""))</f>
        <v>43881</v>
      </c>
      <c r="O8" s="25">
        <f>IF(DAY(ФевВс1)=1,IF(AND(YEAR(ФевВс1+19)=КалендарныйГод,MONTH(ФевВс1+19)=2),ФевВс1+19,""),IF(AND(YEAR(ФевВс1+26)=КалендарныйГод,MONTH(ФевВс1+26)=2),ФевВс1+26,""))</f>
        <v>43882</v>
      </c>
      <c r="P8" s="25">
        <f>IF(DAY(ФевВс1)=1,IF(AND(YEAR(ФевВс1+20)=КалендарныйГод,MONTH(ФевВс1+20)=2),ФевВс1+20,""),IF(AND(YEAR(ФевВс1+27)=КалендарныйГод,MONTH(ФевВс1+27)=2),ФевВс1+27,""))</f>
        <v>43883</v>
      </c>
      <c r="Q8" s="25">
        <f>IF(DAY(ФевВс1)=1,IF(AND(YEAR(ФевВс1+21)=КалендарныйГод,MONTH(ФевВс1+21)=2),ФевВс1+21,""),IF(AND(YEAR(ФевВс1+28)=КалендарныйГод,MONTH(ФевВс1+28)=2),ФевВс1+28,""))</f>
        <v>43884</v>
      </c>
      <c r="S8" s="23"/>
      <c r="U8" s="2"/>
      <c r="V8" s="29"/>
      <c r="W8" s="29"/>
    </row>
    <row r="9" spans="1:23" ht="15" customHeight="1" x14ac:dyDescent="0.2">
      <c r="C9" s="25">
        <f>IF(DAY(ЯнвВс1)=1,IF(AND(YEAR(ЯнвВс1+22)=КалендарныйГод,MONTH(ЯнвВс1+22)=1),ЯнвВс1+22,""),IF(AND(YEAR(ЯнвВс1+29)=КалендарныйГод,MONTH(ЯнвВс1+29)=1),ЯнвВс1+29,""))</f>
        <v>43857</v>
      </c>
      <c r="D9" s="25">
        <f>IF(DAY(ЯнвВс1)=1,IF(AND(YEAR(ЯнвВс1+23)=КалендарныйГод,MONTH(ЯнвВс1+23)=1),ЯнвВс1+23,""),IF(AND(YEAR(ЯнвВс1+30)=КалендарныйГод,MONTH(ЯнвВс1+30)=1),ЯнвВс1+30,""))</f>
        <v>43858</v>
      </c>
      <c r="E9" s="25">
        <f>IF(DAY(ЯнвВс1)=1,IF(AND(YEAR(ЯнвВс1+24)=КалендарныйГод,MONTH(ЯнвВс1+24)=1),ЯнвВс1+24,""),IF(AND(YEAR(ЯнвВс1+31)=КалендарныйГод,MONTH(ЯнвВс1+31)=1),ЯнвВс1+31,""))</f>
        <v>43859</v>
      </c>
      <c r="F9" s="25">
        <f>IF(DAY(ЯнвВс1)=1,IF(AND(YEAR(ЯнвВс1+25)=КалендарныйГод,MONTH(ЯнвВс1+25)=1),ЯнвВс1+25,""),IF(AND(YEAR(ЯнвВс1+32)=КалендарныйГод,MONTH(ЯнвВс1+32)=1),ЯнвВс1+32,""))</f>
        <v>43860</v>
      </c>
      <c r="G9" s="25">
        <f>IF(DAY(ЯнвВс1)=1,IF(AND(YEAR(ЯнвВс1+26)=КалендарныйГод,MONTH(ЯнвВс1+26)=1),ЯнвВс1+26,""),IF(AND(YEAR(ЯнвВс1+33)=КалендарныйГод,MONTH(ЯнвВс1+33)=1),ЯнвВс1+33,""))</f>
        <v>43861</v>
      </c>
      <c r="H9" s="25" t="str">
        <f>IF(DAY(ЯнвВс1)=1,IF(AND(YEAR(ЯнвВс1+27)=КалендарныйГод,MONTH(ЯнвВс1+27)=1),ЯнвВс1+27,""),IF(AND(YEAR(ЯнвВс1+34)=КалендарныйГод,MONTH(ЯнвВс1+34)=1),ЯнвВс1+34,""))</f>
        <v/>
      </c>
      <c r="I9" s="25" t="str">
        <f>IF(DAY(ЯнвВс1)=1,IF(AND(YEAR(ЯнвВс1+28)=КалендарныйГод,MONTH(ЯнвВс1+28)=1),ЯнвВс1+28,""),IF(AND(YEAR(ЯнвВс1+35)=КалендарныйГод,MONTH(ЯнвВс1+35)=1),ЯнвВс1+35,""))</f>
        <v/>
      </c>
      <c r="J9" s="21"/>
      <c r="K9" s="25">
        <f>IF(DAY(ФевВс1)=1,IF(AND(YEAR(ФевВс1+22)=КалендарныйГод,MONTH(ФевВс1+22)=2),ФевВс1+22,""),IF(AND(YEAR(ФевВс1+29)=КалендарныйГод,MONTH(ФевВс1+29)=2),ФевВс1+29,""))</f>
        <v>43885</v>
      </c>
      <c r="L9" s="25">
        <f>IF(DAY(ФевВс1)=1,IF(AND(YEAR(ФевВс1+23)=КалендарныйГод,MONTH(ФевВс1+23)=2),ФевВс1+23,""),IF(AND(YEAR(ФевВс1+30)=КалендарныйГод,MONTH(ФевВс1+30)=2),ФевВс1+30,""))</f>
        <v>43886</v>
      </c>
      <c r="M9" s="25">
        <f>IF(DAY(ФевВс1)=1,IF(AND(YEAR(ФевВс1+24)=КалендарныйГод,MONTH(ФевВс1+24)=2),ФевВс1+24,""),IF(AND(YEAR(ФевВс1+31)=КалендарныйГод,MONTH(ФевВс1+31)=2),ФевВс1+31,""))</f>
        <v>43887</v>
      </c>
      <c r="N9" s="25">
        <f>IF(DAY(ФевВс1)=1,IF(AND(YEAR(ФевВс1+25)=КалендарныйГод,MONTH(ФевВс1+25)=2),ФевВс1+25,""),IF(AND(YEAR(ФевВс1+32)=КалендарныйГод,MONTH(ФевВс1+32)=2),ФевВс1+32,""))</f>
        <v>43888</v>
      </c>
      <c r="O9" s="25">
        <f>IF(DAY(ФевВс1)=1,IF(AND(YEAR(ФевВс1+26)=КалендарныйГод,MONTH(ФевВс1+26)=2),ФевВс1+26,""),IF(AND(YEAR(ФевВс1+33)=КалендарныйГод,MONTH(ФевВс1+33)=2),ФевВс1+33,""))</f>
        <v>43889</v>
      </c>
      <c r="P9" s="25">
        <f>IF(DAY(ФевВс1)=1,IF(AND(YEAR(ФевВс1+27)=КалендарныйГод,MONTH(ФевВс1+27)=2),ФевВс1+27,""),IF(AND(YEAR(ФевВс1+34)=КалендарныйГод,MONTH(ФевВс1+34)=2),ФевВс1+34,""))</f>
        <v>43890</v>
      </c>
      <c r="Q9" s="25" t="str">
        <f>IF(DAY(ФевВс1)=1,IF(AND(YEAR(ФевВс1+28)=КалендарныйГод,MONTH(ФевВс1+28)=2),ФевВс1+28,""),IF(AND(YEAR(ФевВс1+35)=КалендарныйГод,MONTH(ФевВс1+35)=2),ФевВс1+35,""))</f>
        <v/>
      </c>
      <c r="S9" s="23"/>
      <c r="U9" s="10" t="s">
        <v>49</v>
      </c>
      <c r="V9" s="29"/>
      <c r="W9" s="29"/>
    </row>
    <row r="10" spans="1:23" ht="15" customHeight="1" x14ac:dyDescent="0.2">
      <c r="C10" s="25" t="str">
        <f>IF(DAY(ЯнвВс1)=1,IF(AND(YEAR(ЯнвВс1+29)=КалендарныйГод,MONTH(ЯнвВс1+29)=1),ЯнвВс1+29,""),IF(AND(YEAR(ЯнвВс1+36)=КалендарныйГод,MONTH(ЯнвВс1+36)=1),ЯнвВс1+36,""))</f>
        <v/>
      </c>
      <c r="D10" s="25" t="str">
        <f>IF(DAY(ЯнвВс1)=1,IF(AND(YEAR(ЯнвВс1+30)=КалендарныйГод,MONTH(ЯнвВс1+30)=1),ЯнвВс1+30,""),IF(AND(YEAR(ЯнвВс1+37)=КалендарныйГод,MONTH(ЯнвВс1+37)=1),ЯнвВс1+37,""))</f>
        <v/>
      </c>
      <c r="E10" s="25" t="str">
        <f>IF(DAY(ЯнвВс1)=1,IF(AND(YEAR(ЯнвВс1+31)=КалендарныйГод,MONTH(ЯнвВс1+31)=1),ЯнвВс1+31,""),IF(AND(YEAR(ЯнвВс1+38)=КалендарныйГод,MONTH(ЯнвВс1+38)=1),ЯнвВс1+38,""))</f>
        <v/>
      </c>
      <c r="F10" s="25" t="str">
        <f>IF(DAY(ЯнвВс1)=1,IF(AND(YEAR(ЯнвВс1+32)=КалендарныйГод,MONTH(ЯнвВс1+32)=1),ЯнвВс1+32,""),IF(AND(YEAR(ЯнвВс1+39)=КалендарныйГод,MONTH(ЯнвВс1+39)=1),ЯнвВс1+39,""))</f>
        <v/>
      </c>
      <c r="G10" s="25" t="str">
        <f>IF(DAY(ЯнвВс1)=1,IF(AND(YEAR(ЯнвВс1+33)=КалендарныйГод,MONTH(ЯнвВс1+33)=1),ЯнвВс1+33,""),IF(AND(YEAR(ЯнвВс1+40)=КалендарныйГод,MONTH(ЯнвВс1+40)=1),ЯнвВс1+40,""))</f>
        <v/>
      </c>
      <c r="H10" s="25" t="str">
        <f>IF(DAY(ЯнвВс1)=1,IF(AND(YEAR(ЯнвВс1+34)=КалендарныйГод,MONTH(ЯнвВс1+34)=1),ЯнвВс1+34,""),IF(AND(YEAR(ЯнвВс1+41)=КалендарныйГод,MONTH(ЯнвВс1+41)=1),ЯнвВс1+41,""))</f>
        <v/>
      </c>
      <c r="I10" s="25" t="str">
        <f>IF(DAY(ЯнвВс1)=1,IF(AND(YEAR(ЯнвВс1+35)=КалендарныйГод,MONTH(ЯнвВс1+35)=1),ЯнвВс1+35,""),IF(AND(YEAR(ЯнвВс1+42)=КалендарныйГод,MONTH(ЯнвВс1+42)=1),ЯнвВс1+42,""))</f>
        <v/>
      </c>
      <c r="J10" s="21"/>
      <c r="K10" s="25" t="str">
        <f>IF(DAY(ФевВс1)=1,IF(AND(YEAR(ФевВс1+29)=КалендарныйГод,MONTH(ФевВс1+29)=2),ФевВс1+29,""),IF(AND(YEAR(ФевВс1+36)=КалендарныйГод,MONTH(ФевВс1+36)=2),ФевВс1+36,""))</f>
        <v/>
      </c>
      <c r="L10" s="25" t="str">
        <f>IF(DAY(ФевВс1)=1,IF(AND(YEAR(ФевВс1+30)=КалендарныйГод,MONTH(ФевВс1+30)=2),ФевВс1+30,""),IF(AND(YEAR(ФевВс1+37)=КалендарныйГод,MONTH(ФевВс1+37)=2),ФевВс1+37,""))</f>
        <v/>
      </c>
      <c r="M10" s="25" t="str">
        <f>IF(DAY(ФевВс1)=1,IF(AND(YEAR(ФевВс1+31)=КалендарныйГод,MONTH(ФевВс1+31)=2),ФевВс1+31,""),IF(AND(YEAR(ФевВс1+38)=КалендарныйГод,MONTH(ФевВс1+38)=2),ФевВс1+38,""))</f>
        <v/>
      </c>
      <c r="N10" s="25" t="str">
        <f>IF(DAY(ФевВс1)=1,IF(AND(YEAR(ФевВс1+32)=КалендарныйГод,MONTH(ФевВс1+32)=2),ФевВс1+32,""),IF(AND(YEAR(ФевВс1+39)=КалендарныйГод,MONTH(ФевВс1+39)=2),ФевВс1+39,""))</f>
        <v/>
      </c>
      <c r="O10" s="25" t="str">
        <f>IF(DAY(ФевВс1)=1,IF(AND(YEAR(ФевВс1+33)=КалендарныйГод,MONTH(ФевВс1+33)=2),ФевВс1+33,""),IF(AND(YEAR(ФевВс1+40)=КалендарныйГод,MONTH(ФевВс1+40)=2),ФевВс1+40,""))</f>
        <v/>
      </c>
      <c r="P10" s="25" t="str">
        <f>IF(DAY(ФевВс1)=1,IF(AND(YEAR(ФевВс1+34)=КалендарныйГод,MONTH(ФевВс1+34)=2),ФевВс1+34,""),IF(AND(YEAR(ФевВс1+41)=КалендарныйГод,MONTH(ФевВс1+41)=2),ФевВс1+41,""))</f>
        <v/>
      </c>
      <c r="Q10" s="25" t="str">
        <f>IF(DAY(ФевВс1)=1,IF(AND(YEAR(ФевВс1+35)=КалендарныйГод,MONTH(ФевВс1+35)=2),ФевВс1+35,""),IF(AND(YEAR(ФевВс1+42)=КалендарныйГод,MONTH(ФевВс1+42)=2),ФевВс1+42,""))</f>
        <v/>
      </c>
      <c r="S10" s="23"/>
      <c r="U10" s="3" t="s">
        <v>50</v>
      </c>
      <c r="V10" s="29"/>
      <c r="W10" s="29"/>
    </row>
    <row r="11" spans="1:23" ht="15" customHeight="1" x14ac:dyDescent="0.2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S11" s="23"/>
      <c r="U11" s="2"/>
      <c r="V11" s="29"/>
      <c r="W11" s="29"/>
    </row>
    <row r="12" spans="1:23" ht="15" customHeight="1" x14ac:dyDescent="0.2">
      <c r="A12" s="18" t="s">
        <v>10</v>
      </c>
      <c r="C12" s="27" t="s">
        <v>27</v>
      </c>
      <c r="D12" s="27"/>
      <c r="E12" s="27"/>
      <c r="F12" s="27"/>
      <c r="G12" s="27"/>
      <c r="H12" s="27"/>
      <c r="I12" s="27"/>
      <c r="K12" s="27" t="s">
        <v>39</v>
      </c>
      <c r="L12" s="27"/>
      <c r="M12" s="27"/>
      <c r="N12" s="27"/>
      <c r="O12" s="27"/>
      <c r="P12" s="27"/>
      <c r="Q12" s="27"/>
      <c r="S12" s="23"/>
      <c r="U12" s="10"/>
      <c r="V12" s="29"/>
      <c r="W12" s="29"/>
    </row>
    <row r="13" spans="1:23" ht="15" customHeight="1" x14ac:dyDescent="0.25">
      <c r="A13" s="18" t="s">
        <v>11</v>
      </c>
      <c r="C13" s="11" t="s">
        <v>26</v>
      </c>
      <c r="D13" s="11" t="s">
        <v>32</v>
      </c>
      <c r="E13" s="11" t="s">
        <v>33</v>
      </c>
      <c r="F13" s="11" t="s">
        <v>34</v>
      </c>
      <c r="G13" s="11" t="s">
        <v>35</v>
      </c>
      <c r="H13" s="11" t="s">
        <v>36</v>
      </c>
      <c r="I13" s="11" t="s">
        <v>37</v>
      </c>
      <c r="J13" s="20"/>
      <c r="K13" s="11" t="s">
        <v>26</v>
      </c>
      <c r="L13" s="11" t="s">
        <v>32</v>
      </c>
      <c r="M13" s="11" t="s">
        <v>33</v>
      </c>
      <c r="N13" s="11" t="s">
        <v>34</v>
      </c>
      <c r="O13" s="11" t="s">
        <v>35</v>
      </c>
      <c r="P13" s="11" t="s">
        <v>36</v>
      </c>
      <c r="Q13" s="11" t="s">
        <v>37</v>
      </c>
      <c r="S13" s="23"/>
      <c r="U13" s="3"/>
      <c r="V13" s="29"/>
      <c r="W13" s="29"/>
    </row>
    <row r="14" spans="1:23" ht="15" customHeight="1" x14ac:dyDescent="0.2">
      <c r="C14" s="25" t="str">
        <f>IF(DAY(МарВс1)=1,"",IF(AND(YEAR(МарВс1+1)=КалендарныйГод,MONTH(МарВс1+1)=3),МарВс1+1,""))</f>
        <v/>
      </c>
      <c r="D14" s="25" t="str">
        <f>IF(DAY(МарВс1)=1,"",IF(AND(YEAR(МарВс1+2)=КалендарныйГод,MONTH(МарВс1+2)=3),МарВс1+2,""))</f>
        <v/>
      </c>
      <c r="E14" s="25" t="str">
        <f>IF(DAY(МарВс1)=1,"",IF(AND(YEAR(МарВс1+3)=КалендарныйГод,MONTH(МарВс1+3)=3),МарВс1+3,""))</f>
        <v/>
      </c>
      <c r="F14" s="25" t="str">
        <f>IF(DAY(МарВс1)=1,"",IF(AND(YEAR(МарВс1+4)=КалендарныйГод,MONTH(МарВс1+4)=3),МарВс1+4,""))</f>
        <v/>
      </c>
      <c r="G14" s="25" t="str">
        <f>IF(DAY(МарВс1)=1,"",IF(AND(YEAR(МарВс1+5)=КалендарныйГод,MONTH(МарВс1+5)=3),МарВс1+5,""))</f>
        <v/>
      </c>
      <c r="H14" s="25" t="str">
        <f>IF(DAY(МарВс1)=1,"",IF(AND(YEAR(МарВс1+6)=КалендарныйГод,MONTH(МарВс1+6)=3),МарВс1+6,""))</f>
        <v/>
      </c>
      <c r="I14" s="25">
        <f>IF(DAY(МарВс1)=1,IF(AND(YEAR(МарВс1)=КалендарныйГод,MONTH(МарВс1)=3),МарВс1,""),IF(AND(YEAR(МарВс1+7)=КалендарныйГод,MONTH(МарВс1+7)=3),МарВс1+7,""))</f>
        <v>43891</v>
      </c>
      <c r="J14" s="21"/>
      <c r="K14" s="25" t="str">
        <f>IF(DAY(АпрВс1)=1,"",IF(AND(YEAR(АпрВс1+1)=КалендарныйГод,MONTH(АпрВс1+1)=4),АпрВс1+1,""))</f>
        <v/>
      </c>
      <c r="L14" s="25" t="str">
        <f>IF(DAY(АпрВс1)=1,"",IF(AND(YEAR(АпрВс1+2)=КалендарныйГод,MONTH(АпрВс1+2)=4),АпрВс1+2,""))</f>
        <v/>
      </c>
      <c r="M14" s="25">
        <f>IF(DAY(АпрВс1)=1,"",IF(AND(YEAR(АпрВс1+3)=КалендарныйГод,MONTH(АпрВс1+3)=4),АпрВс1+3,""))</f>
        <v>43922</v>
      </c>
      <c r="N14" s="25">
        <f>IF(DAY(АпрВс1)=1,"",IF(AND(YEAR(АпрВс1+4)=КалендарныйГод,MONTH(АпрВс1+4)=4),АпрВс1+4,""))</f>
        <v>43923</v>
      </c>
      <c r="O14" s="25">
        <f>IF(DAY(АпрВс1)=1,"",IF(AND(YEAR(АпрВс1+5)=КалендарныйГод,MONTH(АпрВс1+5)=4),АпрВс1+5,""))</f>
        <v>43924</v>
      </c>
      <c r="P14" s="25">
        <f>IF(DAY(АпрВс1)=1,"",IF(AND(YEAR(АпрВс1+6)=КалендарныйГод,MONTH(АпрВс1+6)=4),АпрВс1+6,""))</f>
        <v>43925</v>
      </c>
      <c r="Q14" s="25">
        <f>IF(DAY(АпрВс1)=1,IF(AND(YEAR(АпрВс1)=КалендарныйГод,MONTH(АпрВс1)=4),АпрВс1,""),IF(AND(YEAR(АпрВс1+7)=КалендарныйГод,MONTH(АпрВс1+7)=4),АпрВс1+7,""))</f>
        <v>43926</v>
      </c>
      <c r="S14" s="23"/>
      <c r="U14" s="2"/>
      <c r="V14" s="29"/>
      <c r="W14" s="29"/>
    </row>
    <row r="15" spans="1:23" ht="15" customHeight="1" x14ac:dyDescent="0.2">
      <c r="A15" s="18"/>
      <c r="C15" s="25">
        <f>IF(DAY(МарВс1)=1,IF(AND(YEAR(МарВс1+1)=КалендарныйГод,MONTH(МарВс1+1)=3),МарВс1+1,""),IF(AND(YEAR(МарВс1+8)=КалендарныйГод,MONTH(МарВс1+8)=3),МарВс1+8,""))</f>
        <v>43892</v>
      </c>
      <c r="D15" s="25">
        <f>IF(DAY(МарВс1)=1,IF(AND(YEAR(МарВс1+2)=КалендарныйГод,MONTH(МарВс1+2)=3),МарВс1+2,""),IF(AND(YEAR(МарВс1+9)=КалендарныйГод,MONTH(МарВс1+9)=3),МарВс1+9,""))</f>
        <v>43893</v>
      </c>
      <c r="E15" s="25">
        <f>IF(DAY(МарВс1)=1,IF(AND(YEAR(МарВс1+3)=КалендарныйГод,MONTH(МарВс1+3)=3),МарВс1+3,""),IF(AND(YEAR(МарВс1+10)=КалендарныйГод,MONTH(МарВс1+10)=3),МарВс1+10,""))</f>
        <v>43894</v>
      </c>
      <c r="F15" s="25">
        <f>IF(DAY(МарВс1)=1,IF(AND(YEAR(МарВс1+4)=КалендарныйГод,MONTH(МарВс1+4)=3),МарВс1+4,""),IF(AND(YEAR(МарВс1+11)=КалендарныйГод,MONTH(МарВс1+11)=3),МарВс1+11,""))</f>
        <v>43895</v>
      </c>
      <c r="G15" s="25">
        <f>IF(DAY(МарВс1)=1,IF(AND(YEAR(МарВс1+5)=КалендарныйГод,MONTH(МарВс1+5)=3),МарВс1+5,""),IF(AND(YEAR(МарВс1+12)=КалендарныйГод,MONTH(МарВс1+12)=3),МарВс1+12,""))</f>
        <v>43896</v>
      </c>
      <c r="H15" s="25">
        <f>IF(DAY(МарВс1)=1,IF(AND(YEAR(МарВс1+6)=КалендарныйГод,MONTH(МарВс1+6)=3),МарВс1+6,""),IF(AND(YEAR(МарВс1+13)=КалендарныйГод,MONTH(МарВс1+13)=3),МарВс1+13,""))</f>
        <v>43897</v>
      </c>
      <c r="I15" s="25">
        <f>IF(DAY(МарВс1)=1,IF(AND(YEAR(МарВс1+7)=КалендарныйГод,MONTH(МарВс1+7)=3),МарВс1+7,""),IF(AND(YEAR(МарВс1+14)=КалендарныйГод,MONTH(МарВс1+14)=3),МарВс1+14,""))</f>
        <v>43898</v>
      </c>
      <c r="J15" s="21"/>
      <c r="K15" s="25">
        <f>IF(DAY(АпрВс1)=1,IF(AND(YEAR(АпрВс1+1)=КалендарныйГод,MONTH(АпрВс1+1)=4),АпрВс1+1,""),IF(AND(YEAR(АпрВс1+8)=КалендарныйГод,MONTH(АпрВс1+8)=4),АпрВс1+8,""))</f>
        <v>43927</v>
      </c>
      <c r="L15" s="25">
        <f>IF(DAY(АпрВс1)=1,IF(AND(YEAR(АпрВс1+2)=КалендарныйГод,MONTH(АпрВс1+2)=4),АпрВс1+2,""),IF(AND(YEAR(АпрВс1+9)=КалендарныйГод,MONTH(АпрВс1+9)=4),АпрВс1+9,""))</f>
        <v>43928</v>
      </c>
      <c r="M15" s="25">
        <f>IF(DAY(АпрВс1)=1,IF(AND(YEAR(АпрВс1+3)=КалендарныйГод,MONTH(АпрВс1+3)=4),АпрВс1+3,""),IF(AND(YEAR(АпрВс1+10)=КалендарныйГод,MONTH(АпрВс1+10)=4),АпрВс1+10,""))</f>
        <v>43929</v>
      </c>
      <c r="N15" s="25">
        <f>IF(DAY(АпрВс1)=1,IF(AND(YEAR(АпрВс1+4)=КалендарныйГод,MONTH(АпрВс1+4)=4),АпрВс1+4,""),IF(AND(YEAR(АпрВс1+11)=КалендарныйГод,MONTH(АпрВс1+11)=4),АпрВс1+11,""))</f>
        <v>43930</v>
      </c>
      <c r="O15" s="25">
        <f>IF(DAY(АпрВс1)=1,IF(AND(YEAR(АпрВс1+5)=КалендарныйГод,MONTH(АпрВс1+5)=4),АпрВс1+5,""),IF(AND(YEAR(АпрВс1+12)=КалендарныйГод,MONTH(АпрВс1+12)=4),АпрВс1+12,""))</f>
        <v>43931</v>
      </c>
      <c r="P15" s="25">
        <f>IF(DAY(АпрВс1)=1,IF(AND(YEAR(АпрВс1+6)=КалендарныйГод,MONTH(АпрВс1+6)=4),АпрВс1+6,""),IF(AND(YEAR(АпрВс1+13)=КалендарныйГод,MONTH(АпрВс1+13)=4),АпрВс1+13,""))</f>
        <v>43932</v>
      </c>
      <c r="Q15" s="25">
        <f>IF(DAY(АпрВс1)=1,IF(AND(YEAR(АпрВс1+7)=КалендарныйГод,MONTH(АпрВс1+7)=4),АпрВс1+7,""),IF(AND(YEAR(АпрВс1+14)=КалендарныйГод,MONTH(АпрВс1+14)=4),АпрВс1+14,""))</f>
        <v>43933</v>
      </c>
      <c r="S15" s="23"/>
      <c r="U15" s="10"/>
      <c r="V15" s="29"/>
      <c r="W15" s="29"/>
    </row>
    <row r="16" spans="1:23" ht="15" customHeight="1" x14ac:dyDescent="0.2">
      <c r="C16" s="25">
        <f>IF(DAY(МарВс1)=1,IF(AND(YEAR(МарВс1+8)=КалендарныйГод,MONTH(МарВс1+8)=3),МарВс1+8,""),IF(AND(YEAR(МарВс1+15)=КалендарныйГод,MONTH(МарВс1+15)=3),МарВс1+15,""))</f>
        <v>43899</v>
      </c>
      <c r="D16" s="25">
        <f>IF(DAY(МарВс1)=1,IF(AND(YEAR(МарВс1+9)=КалендарныйГод,MONTH(МарВс1+9)=3),МарВс1+9,""),IF(AND(YEAR(МарВс1+16)=КалендарныйГод,MONTH(МарВс1+16)=3),МарВс1+16,""))</f>
        <v>43900</v>
      </c>
      <c r="E16" s="25">
        <f>IF(DAY(МарВс1)=1,IF(AND(YEAR(МарВс1+10)=КалендарныйГод,MONTH(МарВс1+10)=3),МарВс1+10,""),IF(AND(YEAR(МарВс1+17)=КалендарныйГод,MONTH(МарВс1+17)=3),МарВс1+17,""))</f>
        <v>43901</v>
      </c>
      <c r="F16" s="25">
        <f>IF(DAY(МарВс1)=1,IF(AND(YEAR(МарВс1+11)=КалендарныйГод,MONTH(МарВс1+11)=3),МарВс1+11,""),IF(AND(YEAR(МарВс1+18)=КалендарныйГод,MONTH(МарВс1+18)=3),МарВс1+18,""))</f>
        <v>43902</v>
      </c>
      <c r="G16" s="25">
        <f>IF(DAY(МарВс1)=1,IF(AND(YEAR(МарВс1+12)=КалендарныйГод,MONTH(МарВс1+12)=3),МарВс1+12,""),IF(AND(YEAR(МарВс1+19)=КалендарныйГод,MONTH(МарВс1+19)=3),МарВс1+19,""))</f>
        <v>43903</v>
      </c>
      <c r="H16" s="25">
        <f>IF(DAY(МарВс1)=1,IF(AND(YEAR(МарВс1+13)=КалендарныйГод,MONTH(МарВс1+13)=3),МарВс1+13,""),IF(AND(YEAR(МарВс1+20)=КалендарныйГод,MONTH(МарВс1+20)=3),МарВс1+20,""))</f>
        <v>43904</v>
      </c>
      <c r="I16" s="25">
        <f>IF(DAY(МарВс1)=1,IF(AND(YEAR(МарВс1+14)=КалендарныйГод,MONTH(МарВс1+14)=3),МарВс1+14,""),IF(AND(YEAR(МарВс1+21)=КалендарныйГод,MONTH(МарВс1+21)=3),МарВс1+21,""))</f>
        <v>43905</v>
      </c>
      <c r="J16" s="21"/>
      <c r="K16" s="25">
        <f>IF(DAY(АпрВс1)=1,IF(AND(YEAR(АпрВс1+8)=КалендарныйГод,MONTH(АпрВс1+8)=4),АпрВс1+8,""),IF(AND(YEAR(АпрВс1+15)=КалендарныйГод,MONTH(АпрВс1+15)=4),АпрВс1+15,""))</f>
        <v>43934</v>
      </c>
      <c r="L16" s="25">
        <f>IF(DAY(АпрВс1)=1,IF(AND(YEAR(АпрВс1+9)=КалендарныйГод,MONTH(АпрВс1+9)=4),АпрВс1+9,""),IF(AND(YEAR(АпрВс1+16)=КалендарныйГод,MONTH(АпрВс1+16)=4),АпрВс1+16,""))</f>
        <v>43935</v>
      </c>
      <c r="M16" s="25">
        <f>IF(DAY(АпрВс1)=1,IF(AND(YEAR(АпрВс1+10)=КалендарныйГод,MONTH(АпрВс1+10)=4),АпрВс1+10,""),IF(AND(YEAR(АпрВс1+17)=КалендарныйГод,MONTH(АпрВс1+17)=4),АпрВс1+17,""))</f>
        <v>43936</v>
      </c>
      <c r="N16" s="25">
        <f>IF(DAY(АпрВс1)=1,IF(AND(YEAR(АпрВс1+11)=КалендарныйГод,MONTH(АпрВс1+11)=4),АпрВс1+11,""),IF(AND(YEAR(АпрВс1+18)=КалендарныйГод,MONTH(АпрВс1+18)=4),АпрВс1+18,""))</f>
        <v>43937</v>
      </c>
      <c r="O16" s="25">
        <f>IF(DAY(АпрВс1)=1,IF(AND(YEAR(АпрВс1+12)=КалендарныйГод,MONTH(АпрВс1+12)=4),АпрВс1+12,""),IF(AND(YEAR(АпрВс1+19)=КалендарныйГод,MONTH(АпрВс1+19)=4),АпрВс1+19,""))</f>
        <v>43938</v>
      </c>
      <c r="P16" s="25">
        <f>IF(DAY(АпрВс1)=1,IF(AND(YEAR(АпрВс1+13)=КалендарныйГод,MONTH(АпрВс1+13)=4),АпрВс1+13,""),IF(AND(YEAR(АпрВс1+20)=КалендарныйГод,MONTH(АпрВс1+20)=4),АпрВс1+20,""))</f>
        <v>43939</v>
      </c>
      <c r="Q16" s="25">
        <f>IF(DAY(АпрВс1)=1,IF(AND(YEAR(АпрВс1+14)=КалендарныйГод,MONTH(АпрВс1+14)=4),АпрВс1+14,""),IF(AND(YEAR(АпрВс1+21)=КалендарныйГод,MONTH(АпрВс1+21)=4),АпрВс1+21,""))</f>
        <v>43940</v>
      </c>
      <c r="S16" s="23"/>
      <c r="U16" s="3"/>
      <c r="V16" s="29"/>
      <c r="W16" s="29"/>
    </row>
    <row r="17" spans="1:23" ht="15" customHeight="1" x14ac:dyDescent="0.2">
      <c r="C17" s="25">
        <f>IF(DAY(МарВс1)=1,IF(AND(YEAR(МарВс1+15)=КалендарныйГод,MONTH(МарВс1+15)=3),МарВс1+15,""),IF(AND(YEAR(МарВс1+22)=КалендарныйГод,MONTH(МарВс1+22)=3),МарВс1+22,""))</f>
        <v>43906</v>
      </c>
      <c r="D17" s="25">
        <f>IF(DAY(МарВс1)=1,IF(AND(YEAR(МарВс1+16)=КалендарныйГод,MONTH(МарВс1+16)=3),МарВс1+16,""),IF(AND(YEAR(МарВс1+23)=КалендарныйГод,MONTH(МарВс1+23)=3),МарВс1+23,""))</f>
        <v>43907</v>
      </c>
      <c r="E17" s="25">
        <f>IF(DAY(МарВс1)=1,IF(AND(YEAR(МарВс1+17)=КалендарныйГод,MONTH(МарВс1+17)=3),МарВс1+17,""),IF(AND(YEAR(МарВс1+24)=КалендарныйГод,MONTH(МарВс1+24)=3),МарВс1+24,""))</f>
        <v>43908</v>
      </c>
      <c r="F17" s="25">
        <f>IF(DAY(МарВс1)=1,IF(AND(YEAR(МарВс1+18)=КалендарныйГод,MONTH(МарВс1+18)=3),МарВс1+18,""),IF(AND(YEAR(МарВс1+25)=КалендарныйГод,MONTH(МарВс1+25)=3),МарВс1+25,""))</f>
        <v>43909</v>
      </c>
      <c r="G17" s="25">
        <f>IF(DAY(МарВс1)=1,IF(AND(YEAR(МарВс1+19)=КалендарныйГод,MONTH(МарВс1+19)=3),МарВс1+19,""),IF(AND(YEAR(МарВс1+26)=КалендарныйГод,MONTH(МарВс1+26)=3),МарВс1+26,""))</f>
        <v>43910</v>
      </c>
      <c r="H17" s="25">
        <f>IF(DAY(МарВс1)=1,IF(AND(YEAR(МарВс1+20)=КалендарныйГод,MONTH(МарВс1+20)=3),МарВс1+20,""),IF(AND(YEAR(МарВс1+27)=КалендарныйГод,MONTH(МарВс1+27)=3),МарВс1+27,""))</f>
        <v>43911</v>
      </c>
      <c r="I17" s="25">
        <f>IF(DAY(МарВс1)=1,IF(AND(YEAR(МарВс1+21)=КалендарныйГод,MONTH(МарВс1+21)=3),МарВс1+21,""),IF(AND(YEAR(МарВс1+28)=КалендарныйГод,MONTH(МарВс1+28)=3),МарВс1+28,""))</f>
        <v>43912</v>
      </c>
      <c r="J17" s="21"/>
      <c r="K17" s="25">
        <f>IF(DAY(АпрВс1)=1,IF(AND(YEAR(АпрВс1+15)=КалендарныйГод,MONTH(АпрВс1+15)=4),АпрВс1+15,""),IF(AND(YEAR(АпрВс1+22)=КалендарныйГод,MONTH(АпрВс1+22)=4),АпрВс1+22,""))</f>
        <v>43941</v>
      </c>
      <c r="L17" s="25">
        <f>IF(DAY(АпрВс1)=1,IF(AND(YEAR(АпрВс1+16)=КалендарныйГод,MONTH(АпрВс1+16)=4),АпрВс1+16,""),IF(AND(YEAR(АпрВс1+23)=КалендарныйГод,MONTH(АпрВс1+23)=4),АпрВс1+23,""))</f>
        <v>43942</v>
      </c>
      <c r="M17" s="25">
        <f>IF(DAY(АпрВс1)=1,IF(AND(YEAR(АпрВс1+17)=КалендарныйГод,MONTH(АпрВс1+17)=4),АпрВс1+17,""),IF(AND(YEAR(АпрВс1+24)=КалендарныйГод,MONTH(АпрВс1+24)=4),АпрВс1+24,""))</f>
        <v>43943</v>
      </c>
      <c r="N17" s="25">
        <f>IF(DAY(АпрВс1)=1,IF(AND(YEAR(АпрВс1+18)=КалендарныйГод,MONTH(АпрВс1+18)=4),АпрВс1+18,""),IF(AND(YEAR(АпрВс1+25)=КалендарныйГод,MONTH(АпрВс1+25)=4),АпрВс1+25,""))</f>
        <v>43944</v>
      </c>
      <c r="O17" s="25">
        <f>IF(DAY(АпрВс1)=1,IF(AND(YEAR(АпрВс1+19)=КалендарныйГод,MONTH(АпрВс1+19)=4),АпрВс1+19,""),IF(AND(YEAR(АпрВс1+26)=КалендарныйГод,MONTH(АпрВс1+26)=4),АпрВс1+26,""))</f>
        <v>43945</v>
      </c>
      <c r="P17" s="25">
        <f>IF(DAY(АпрВс1)=1,IF(AND(YEAR(АпрВс1+20)=КалендарныйГод,MONTH(АпрВс1+20)=4),АпрВс1+20,""),IF(AND(YEAR(АпрВс1+27)=КалендарныйГод,MONTH(АпрВс1+27)=4),АпрВс1+27,""))</f>
        <v>43946</v>
      </c>
      <c r="Q17" s="25">
        <f>IF(DAY(АпрВс1)=1,IF(AND(YEAR(АпрВс1+21)=КалендарныйГод,MONTH(АпрВс1+21)=4),АпрВс1+21,""),IF(AND(YEAR(АпрВс1+28)=КалендарныйГод,MONTH(АпрВс1+28)=4),АпрВс1+28,""))</f>
        <v>43947</v>
      </c>
      <c r="S17" s="23"/>
      <c r="U17" s="2"/>
      <c r="V17" s="29"/>
      <c r="W17" s="29"/>
    </row>
    <row r="18" spans="1:23" ht="15" customHeight="1" x14ac:dyDescent="0.2">
      <c r="C18" s="25">
        <f>IF(DAY(МарВс1)=1,IF(AND(YEAR(МарВс1+22)=КалендарныйГод,MONTH(МарВс1+22)=3),МарВс1+22,""),IF(AND(YEAR(МарВс1+29)=КалендарныйГод,MONTH(МарВс1+29)=3),МарВс1+29,""))</f>
        <v>43913</v>
      </c>
      <c r="D18" s="25">
        <f>IF(DAY(МарВс1)=1,IF(AND(YEAR(МарВс1+23)=КалендарныйГод,MONTH(МарВс1+23)=3),МарВс1+23,""),IF(AND(YEAR(МарВс1+30)=КалендарныйГод,MONTH(МарВс1+30)=3),МарВс1+30,""))</f>
        <v>43914</v>
      </c>
      <c r="E18" s="25">
        <f>IF(DAY(МарВс1)=1,IF(AND(YEAR(МарВс1+24)=КалендарныйГод,MONTH(МарВс1+24)=3),МарВс1+24,""),IF(AND(YEAR(МарВс1+31)=КалендарныйГод,MONTH(МарВс1+31)=3),МарВс1+31,""))</f>
        <v>43915</v>
      </c>
      <c r="F18" s="25">
        <f>IF(DAY(МарВс1)=1,IF(AND(YEAR(МарВс1+25)=КалендарныйГод,MONTH(МарВс1+25)=3),МарВс1+25,""),IF(AND(YEAR(МарВс1+32)=КалендарныйГод,MONTH(МарВс1+32)=3),МарВс1+32,""))</f>
        <v>43916</v>
      </c>
      <c r="G18" s="25">
        <f>IF(DAY(МарВс1)=1,IF(AND(YEAR(МарВс1+26)=КалендарныйГод,MONTH(МарВс1+26)=3),МарВс1+26,""),IF(AND(YEAR(МарВс1+33)=КалендарныйГод,MONTH(МарВс1+33)=3),МарВс1+33,""))</f>
        <v>43917</v>
      </c>
      <c r="H18" s="25">
        <f>IF(DAY(МарВс1)=1,IF(AND(YEAR(МарВс1+27)=КалендарныйГод,MONTH(МарВс1+27)=3),МарВс1+27,""),IF(AND(YEAR(МарВс1+34)=КалендарныйГод,MONTH(МарВс1+34)=3),МарВс1+34,""))</f>
        <v>43918</v>
      </c>
      <c r="I18" s="25">
        <f>IF(DAY(МарВс1)=1,IF(AND(YEAR(МарВс1+28)=КалендарныйГод,MONTH(МарВс1+28)=3),МарВс1+28,""),IF(AND(YEAR(МарВс1+35)=КалендарныйГод,MONTH(МарВс1+35)=3),МарВс1+35,""))</f>
        <v>43919</v>
      </c>
      <c r="J18" s="21"/>
      <c r="K18" s="25">
        <f>IF(DAY(АпрВс1)=1,IF(AND(YEAR(АпрВс1+22)=КалендарныйГод,MONTH(АпрВс1+22)=4),АпрВс1+22,""),IF(AND(YEAR(АпрВс1+29)=КалендарныйГод,MONTH(АпрВс1+29)=4),АпрВс1+29,""))</f>
        <v>43948</v>
      </c>
      <c r="L18" s="25">
        <f>IF(DAY(АпрВс1)=1,IF(AND(YEAR(АпрВс1+23)=КалендарныйГод,MONTH(АпрВс1+23)=4),АпрВс1+23,""),IF(AND(YEAR(АпрВс1+30)=КалендарныйГод,MONTH(АпрВс1+30)=4),АпрВс1+30,""))</f>
        <v>43949</v>
      </c>
      <c r="M18" s="25">
        <f>IF(DAY(АпрВс1)=1,IF(AND(YEAR(АпрВс1+24)=КалендарныйГод,MONTH(АпрВс1+24)=4),АпрВс1+24,""),IF(AND(YEAR(АпрВс1+31)=КалендарныйГод,MONTH(АпрВс1+31)=4),АпрВс1+31,""))</f>
        <v>43950</v>
      </c>
      <c r="N18" s="25">
        <f>IF(DAY(АпрВс1)=1,IF(AND(YEAR(АпрВс1+25)=КалендарныйГод,MONTH(АпрВс1+25)=4),АпрВс1+25,""),IF(AND(YEAR(АпрВс1+32)=КалендарныйГод,MONTH(АпрВс1+32)=4),АпрВс1+32,""))</f>
        <v>43951</v>
      </c>
      <c r="O18" s="25" t="str">
        <f>IF(DAY(АпрВс1)=1,IF(AND(YEAR(АпрВс1+26)=КалендарныйГод,MONTH(АпрВс1+26)=4),АпрВс1+26,""),IF(AND(YEAR(АпрВс1+33)=КалендарныйГод,MONTH(АпрВс1+33)=4),АпрВс1+33,""))</f>
        <v/>
      </c>
      <c r="P18" s="25" t="str">
        <f>IF(DAY(АпрВс1)=1,IF(AND(YEAR(АпрВс1+27)=КалендарныйГод,MONTH(АпрВс1+27)=4),АпрВс1+27,""),IF(AND(YEAR(АпрВс1+34)=КалендарныйГод,MONTH(АпрВс1+34)=4),АпрВс1+34,""))</f>
        <v/>
      </c>
      <c r="Q18" s="25" t="str">
        <f>IF(DAY(АпрВс1)=1,IF(AND(YEAR(АпрВс1+28)=КалендарныйГод,MONTH(АпрВс1+28)=4),АпрВс1+28,""),IF(AND(YEAR(АпрВс1+35)=КалендарныйГод,MONTH(АпрВс1+35)=4),АпрВс1+35,""))</f>
        <v/>
      </c>
      <c r="S18" s="23"/>
      <c r="U18" s="10"/>
      <c r="V18" s="29"/>
      <c r="W18" s="29"/>
    </row>
    <row r="19" spans="1:23" ht="15" customHeight="1" x14ac:dyDescent="0.2">
      <c r="C19" s="25">
        <f>IF(DAY(МарВс1)=1,IF(AND(YEAR(МарВс1+29)=КалендарныйГод,MONTH(МарВс1+29)=3),МарВс1+29,""),IF(AND(YEAR(МарВс1+36)=КалендарныйГод,MONTH(МарВс1+36)=3),МарВс1+36,""))</f>
        <v>43920</v>
      </c>
      <c r="D19" s="25">
        <f>IF(DAY(МарВс1)=1,IF(AND(YEAR(МарВс1+30)=КалендарныйГод,MONTH(МарВс1+30)=3),МарВс1+30,""),IF(AND(YEAR(МарВс1+37)=КалендарныйГод,MONTH(МарВс1+37)=3),МарВс1+37,""))</f>
        <v>43921</v>
      </c>
      <c r="E19" s="25" t="str">
        <f>IF(DAY(МарВс1)=1,IF(AND(YEAR(МарВс1+31)=КалендарныйГод,MONTH(МарВс1+31)=3),МарВс1+31,""),IF(AND(YEAR(МарВс1+38)=КалендарныйГод,MONTH(МарВс1+38)=3),МарВс1+38,""))</f>
        <v/>
      </c>
      <c r="F19" s="25" t="str">
        <f>IF(DAY(МарВс1)=1,IF(AND(YEAR(МарВс1+32)=КалендарныйГод,MONTH(МарВс1+32)=3),МарВс1+32,""),IF(AND(YEAR(МарВс1+39)=КалендарныйГод,MONTH(МарВс1+39)=3),МарВс1+39,""))</f>
        <v/>
      </c>
      <c r="G19" s="25" t="str">
        <f>IF(DAY(МарВс1)=1,IF(AND(YEAR(МарВс1+33)=КалендарныйГод,MONTH(МарВс1+33)=3),МарВс1+33,""),IF(AND(YEAR(МарВс1+40)=КалендарныйГод,MONTH(МарВс1+40)=3),МарВс1+40,""))</f>
        <v/>
      </c>
      <c r="H19" s="25" t="str">
        <f>IF(DAY(МарВс1)=1,IF(AND(YEAR(МарВс1+34)=КалендарныйГод,MONTH(МарВс1+34)=3),МарВс1+34,""),IF(AND(YEAR(МарВс1+41)=КалендарныйГод,MONTH(МарВс1+41)=3),МарВс1+41,""))</f>
        <v/>
      </c>
      <c r="I19" s="25" t="str">
        <f>IF(DAY(МарВс1)=1,IF(AND(YEAR(МарВс1+35)=КалендарныйГод,MONTH(МарВс1+35)=3),МарВс1+35,""),IF(AND(YEAR(МарВс1+42)=КалендарныйГод,MONTH(МарВс1+42)=3),МарВс1+42,""))</f>
        <v/>
      </c>
      <c r="J19" s="21"/>
      <c r="K19" s="25" t="str">
        <f>IF(DAY(АпрВс1)=1,IF(AND(YEAR(АпрВс1+29)=КалендарныйГод,MONTH(АпрВс1+29)=4),АпрВс1+29,""),IF(AND(YEAR(АпрВс1+36)=КалендарныйГод,MONTH(АпрВс1+36)=4),АпрВс1+36,""))</f>
        <v/>
      </c>
      <c r="L19" s="25" t="str">
        <f>IF(DAY(АпрВс1)=1,IF(AND(YEAR(АпрВс1+30)=КалендарныйГод,MONTH(АпрВс1+30)=4),АпрВс1+30,""),IF(AND(YEAR(АпрВс1+37)=КалендарныйГод,MONTH(АпрВс1+37)=4),АпрВс1+37,""))</f>
        <v/>
      </c>
      <c r="M19" s="25" t="str">
        <f>IF(DAY(АпрВс1)=1,IF(AND(YEAR(АпрВс1+31)=КалендарныйГод,MONTH(АпрВс1+31)=4),АпрВс1+31,""),IF(AND(YEAR(АпрВс1+38)=КалендарныйГод,MONTH(АпрВс1+38)=4),АпрВс1+38,""))</f>
        <v/>
      </c>
      <c r="N19" s="25" t="str">
        <f>IF(DAY(АпрВс1)=1,IF(AND(YEAR(АпрВс1+32)=КалендарныйГод,MONTH(АпрВс1+32)=4),АпрВс1+32,""),IF(AND(YEAR(АпрВс1+39)=КалендарныйГод,MONTH(АпрВс1+39)=4),АпрВс1+39,""))</f>
        <v/>
      </c>
      <c r="O19" s="25" t="str">
        <f>IF(DAY(АпрВс1)=1,IF(AND(YEAR(АпрВс1+33)=КалендарныйГод,MONTH(АпрВс1+33)=4),АпрВс1+33,""),IF(AND(YEAR(АпрВс1+40)=КалендарныйГод,MONTH(АпрВс1+40)=4),АпрВс1+40,""))</f>
        <v/>
      </c>
      <c r="P19" s="25" t="str">
        <f>IF(DAY(АпрВс1)=1,IF(AND(YEAR(АпрВс1+34)=КалендарныйГод,MONTH(АпрВс1+34)=4),АпрВс1+34,""),IF(AND(YEAR(АпрВс1+41)=КалендарныйГод,MONTH(АпрВс1+41)=4),АпрВс1+41,""))</f>
        <v/>
      </c>
      <c r="Q19" s="25" t="str">
        <f>IF(DAY(АпрВс1)=1,IF(AND(YEAR(АпрВс1+35)=КалендарныйГод,MONTH(АпрВс1+35)=4),АпрВс1+35,""),IF(AND(YEAR(АпрВс1+42)=КалендарныйГод,MONTH(АпрВс1+42)=4),АпрВс1+42,""))</f>
        <v/>
      </c>
      <c r="S19" s="23"/>
      <c r="U19" s="3"/>
      <c r="V19" s="29"/>
      <c r="W19" s="29"/>
    </row>
    <row r="20" spans="1:23" ht="15" customHeight="1" x14ac:dyDescent="0.2">
      <c r="J20" s="21"/>
      <c r="S20" s="23"/>
      <c r="U20" s="2"/>
      <c r="V20" s="29"/>
      <c r="W20" s="29"/>
    </row>
    <row r="21" spans="1:23" ht="15" customHeight="1" x14ac:dyDescent="0.2">
      <c r="A21" s="18" t="s">
        <v>12</v>
      </c>
      <c r="C21" s="27" t="s">
        <v>28</v>
      </c>
      <c r="D21" s="27"/>
      <c r="E21" s="27"/>
      <c r="F21" s="27"/>
      <c r="G21" s="27"/>
      <c r="H21" s="27"/>
      <c r="I21" s="27"/>
      <c r="J21" s="21"/>
      <c r="K21" s="27" t="s">
        <v>40</v>
      </c>
      <c r="L21" s="27"/>
      <c r="M21" s="27"/>
      <c r="N21" s="27"/>
      <c r="O21" s="27"/>
      <c r="P21" s="27"/>
      <c r="Q21" s="27"/>
      <c r="S21" s="23"/>
      <c r="U21" s="10"/>
      <c r="V21" s="29"/>
      <c r="W21" s="29"/>
    </row>
    <row r="22" spans="1:23" ht="15" customHeight="1" x14ac:dyDescent="0.2">
      <c r="A22" s="18" t="s">
        <v>13</v>
      </c>
      <c r="C22" s="11" t="s">
        <v>26</v>
      </c>
      <c r="D22" s="11" t="s">
        <v>32</v>
      </c>
      <c r="E22" s="11" t="s">
        <v>33</v>
      </c>
      <c r="F22" s="11" t="s">
        <v>34</v>
      </c>
      <c r="G22" s="11" t="s">
        <v>35</v>
      </c>
      <c r="H22" s="11" t="s">
        <v>36</v>
      </c>
      <c r="I22" s="11" t="s">
        <v>37</v>
      </c>
      <c r="K22" s="11" t="s">
        <v>26</v>
      </c>
      <c r="L22" s="11" t="s">
        <v>32</v>
      </c>
      <c r="M22" s="11" t="s">
        <v>33</v>
      </c>
      <c r="N22" s="11" t="s">
        <v>34</v>
      </c>
      <c r="O22" s="11" t="s">
        <v>35</v>
      </c>
      <c r="P22" s="11" t="s">
        <v>36</v>
      </c>
      <c r="Q22" s="11" t="s">
        <v>37</v>
      </c>
      <c r="S22" s="23"/>
      <c r="U22" s="3"/>
      <c r="V22" s="29"/>
      <c r="W22" s="29"/>
    </row>
    <row r="23" spans="1:23" ht="15" customHeight="1" x14ac:dyDescent="0.25">
      <c r="A23" s="18"/>
      <c r="C23" s="25" t="str">
        <f>IF(DAY(МайВс1)=1,"",IF(AND(YEAR(МайВс1+1)=КалендарныйГод,MONTH(МайВс1+1)=5),МайВс1+1,""))</f>
        <v/>
      </c>
      <c r="D23" s="25" t="str">
        <f>IF(DAY(МайВс1)=1,"",IF(AND(YEAR(МайВс1+2)=КалендарныйГод,MONTH(МайВс1+2)=5),МайВс1+2,""))</f>
        <v/>
      </c>
      <c r="E23" s="25" t="str">
        <f>IF(DAY(МайВс1)=1,"",IF(AND(YEAR(МайВс1+3)=КалендарныйГод,MONTH(МайВс1+3)=5),МайВс1+3,""))</f>
        <v/>
      </c>
      <c r="F23" s="25" t="str">
        <f>IF(DAY(МайВс1)=1,"",IF(AND(YEAR(МайВс1+4)=КалендарныйГод,MONTH(МайВс1+4)=5),МайВс1+4,""))</f>
        <v/>
      </c>
      <c r="G23" s="25">
        <f>IF(DAY(МайВс1)=1,"",IF(AND(YEAR(МайВс1+5)=КалендарныйГод,MONTH(МайВс1+5)=5),МайВс1+5,""))</f>
        <v>43952</v>
      </c>
      <c r="H23" s="25">
        <f>IF(DAY(МайВс1)=1,"",IF(AND(YEAR(МайВс1+6)=КалендарныйГод,MONTH(МайВс1+6)=5),МайВс1+6,""))</f>
        <v>43953</v>
      </c>
      <c r="I23" s="25">
        <f>IF(DAY(МайВс1)=1,IF(AND(YEAR(МайВс1)=КалендарныйГод,MONTH(МайВс1)=5),МайВс1,""),IF(AND(YEAR(МайВс1+7)=КалендарныйГод,MONTH(МайВс1+7)=5),МайВс1+7,""))</f>
        <v>43954</v>
      </c>
      <c r="J23" s="20"/>
      <c r="K23" s="25">
        <f>IF(DAY(ИюнВс1)=1,"",IF(AND(YEAR(ИюнВс1+1)=КалендарныйГод,MONTH(ИюнВс1+1)=6),ИюнВс1+1,""))</f>
        <v>43983</v>
      </c>
      <c r="L23" s="25">
        <f>IF(DAY(ИюнВс1)=1,"",IF(AND(YEAR(ИюнВс1+2)=КалендарныйГод,MONTH(ИюнВс1+2)=6),ИюнВс1+2,""))</f>
        <v>43984</v>
      </c>
      <c r="M23" s="25">
        <f>IF(DAY(ИюнВс1)=1,"",IF(AND(YEAR(ИюнВс1+3)=КалендарныйГод,MONTH(ИюнВс1+3)=6),ИюнВс1+3,""))</f>
        <v>43985</v>
      </c>
      <c r="N23" s="25">
        <f>IF(DAY(ИюнВс1)=1,"",IF(AND(YEAR(ИюнВс1+4)=КалендарныйГод,MONTH(ИюнВс1+4)=6),ИюнВс1+4,""))</f>
        <v>43986</v>
      </c>
      <c r="O23" s="25">
        <f>IF(DAY(ИюнВс1)=1,"",IF(AND(YEAR(ИюнВс1+5)=КалендарныйГод,MONTH(ИюнВс1+5)=6),ИюнВс1+5,""))</f>
        <v>43987</v>
      </c>
      <c r="P23" s="25">
        <f>IF(DAY(ИюнВс1)=1,"",IF(AND(YEAR(ИюнВс1+6)=КалендарныйГод,MONTH(ИюнВс1+6)=6),ИюнВс1+6,""))</f>
        <v>43988</v>
      </c>
      <c r="Q23" s="25">
        <f>IF(DAY(ИюнВс1)=1,IF(AND(YEAR(ИюнВс1)=КалендарныйГод,MONTH(ИюнВс1)=6),ИюнВс1,""),IF(AND(YEAR(ИюнВс1+7)=КалендарныйГод,MONTH(ИюнВс1+7)=6),ИюнВс1+7,""))</f>
        <v>43989</v>
      </c>
      <c r="S23" s="23"/>
      <c r="U23" s="2"/>
      <c r="V23" s="29"/>
      <c r="W23" s="29"/>
    </row>
    <row r="24" spans="1:23" ht="15" customHeight="1" x14ac:dyDescent="0.2">
      <c r="C24" s="25">
        <f>IF(DAY(МайВс1)=1,IF(AND(YEAR(МайВс1+1)=КалендарныйГод,MONTH(МайВс1+1)=5),МайВс1+1,""),IF(AND(YEAR(МайВс1+8)=КалендарныйГод,MONTH(МайВс1+8)=5),МайВс1+8,""))</f>
        <v>43955</v>
      </c>
      <c r="D24" s="25">
        <f>IF(DAY(МайВс1)=1,IF(AND(YEAR(МайВс1+2)=КалендарныйГод,MONTH(МайВс1+2)=5),МайВс1+2,""),IF(AND(YEAR(МайВс1+9)=КалендарныйГод,MONTH(МайВс1+9)=5),МайВс1+9,""))</f>
        <v>43956</v>
      </c>
      <c r="E24" s="25">
        <f>IF(DAY(МайВс1)=1,IF(AND(YEAR(МайВс1+3)=КалендарныйГод,MONTH(МайВс1+3)=5),МайВс1+3,""),IF(AND(YEAR(МайВс1+10)=КалендарныйГод,MONTH(МайВс1+10)=5),МайВс1+10,""))</f>
        <v>43957</v>
      </c>
      <c r="F24" s="25">
        <f>IF(DAY(МайВс1)=1,IF(AND(YEAR(МайВс1+4)=КалендарныйГод,MONTH(МайВс1+4)=5),МайВс1+4,""),IF(AND(YEAR(МайВс1+11)=КалендарныйГод,MONTH(МайВс1+11)=5),МайВс1+11,""))</f>
        <v>43958</v>
      </c>
      <c r="G24" s="25">
        <f>IF(DAY(МайВс1)=1,IF(AND(YEAR(МайВс1+5)=КалендарныйГод,MONTH(МайВс1+5)=5),МайВс1+5,""),IF(AND(YEAR(МайВс1+12)=КалендарныйГод,MONTH(МайВс1+12)=5),МайВс1+12,""))</f>
        <v>43959</v>
      </c>
      <c r="H24" s="25">
        <f>IF(DAY(МайВс1)=1,IF(AND(YEAR(МайВс1+6)=КалендарныйГод,MONTH(МайВс1+6)=5),МайВс1+6,""),IF(AND(YEAR(МайВс1+13)=КалендарныйГод,MONTH(МайВс1+13)=5),МайВс1+13,""))</f>
        <v>43960</v>
      </c>
      <c r="I24" s="25">
        <f>IF(DAY(МайВс1)=1,IF(AND(YEAR(МайВс1+7)=КалендарныйГод,MONTH(МайВс1+7)=5),МайВс1+7,""),IF(AND(YEAR(МайВс1+14)=КалендарныйГод,MONTH(МайВс1+14)=5),МайВс1+14,""))</f>
        <v>43961</v>
      </c>
      <c r="J24" s="21"/>
      <c r="K24" s="25">
        <f>IF(DAY(ИюнВс1)=1,IF(AND(YEAR(ИюнВс1+1)=КалендарныйГод,MONTH(ИюнВс1+1)=6),ИюнВс1+1,""),IF(AND(YEAR(ИюнВс1+8)=КалендарныйГод,MONTH(ИюнВс1+8)=6),ИюнВс1+8,""))</f>
        <v>43990</v>
      </c>
      <c r="L24" s="25">
        <f>IF(DAY(ИюнВс1)=1,IF(AND(YEAR(ИюнВс1+2)=КалендарныйГод,MONTH(ИюнВс1+2)=6),ИюнВс1+2,""),IF(AND(YEAR(ИюнВс1+9)=КалендарныйГод,MONTH(ИюнВс1+9)=6),ИюнВс1+9,""))</f>
        <v>43991</v>
      </c>
      <c r="M24" s="25">
        <f>IF(DAY(ИюнВс1)=1,IF(AND(YEAR(ИюнВс1+3)=КалендарныйГод,MONTH(ИюнВс1+3)=6),ИюнВс1+3,""),IF(AND(YEAR(ИюнВс1+10)=КалендарныйГод,MONTH(ИюнВс1+10)=6),ИюнВс1+10,""))</f>
        <v>43992</v>
      </c>
      <c r="N24" s="25">
        <f>IF(DAY(ИюнВс1)=1,IF(AND(YEAR(ИюнВс1+4)=КалендарныйГод,MONTH(ИюнВс1+4)=6),ИюнВс1+4,""),IF(AND(YEAR(ИюнВс1+11)=КалендарныйГод,MONTH(ИюнВс1+11)=6),ИюнВс1+11,""))</f>
        <v>43993</v>
      </c>
      <c r="O24" s="25">
        <f>IF(DAY(ИюнВс1)=1,IF(AND(YEAR(ИюнВс1+5)=КалендарныйГод,MONTH(ИюнВс1+5)=6),ИюнВс1+5,""),IF(AND(YEAR(ИюнВс1+12)=КалендарныйГод,MONTH(ИюнВс1+12)=6),ИюнВс1+12,""))</f>
        <v>43994</v>
      </c>
      <c r="P24" s="25">
        <f>IF(DAY(ИюнВс1)=1,IF(AND(YEAR(ИюнВс1+6)=КалендарныйГод,MONTH(ИюнВс1+6)=6),ИюнВс1+6,""),IF(AND(YEAR(ИюнВс1+13)=КалендарныйГод,MONTH(ИюнВс1+13)=6),ИюнВс1+13,""))</f>
        <v>43995</v>
      </c>
      <c r="Q24" s="25">
        <f>IF(DAY(ИюнВс1)=1,IF(AND(YEAR(ИюнВс1+7)=КалендарныйГод,MONTH(ИюнВс1+7)=6),ИюнВс1+7,""),IF(AND(YEAR(ИюнВс1+14)=КалендарныйГод,MONTH(ИюнВс1+14)=6),ИюнВс1+14,""))</f>
        <v>43996</v>
      </c>
      <c r="S24" s="23"/>
      <c r="U24" s="10"/>
      <c r="V24" s="29"/>
      <c r="W24" s="29"/>
    </row>
    <row r="25" spans="1:23" ht="15" customHeight="1" x14ac:dyDescent="0.2">
      <c r="C25" s="25">
        <f>IF(DAY(МайВс1)=1,IF(AND(YEAR(МайВс1+8)=КалендарныйГод,MONTH(МайВс1+8)=5),МайВс1+8,""),IF(AND(YEAR(МайВс1+15)=КалендарныйГод,MONTH(МайВс1+15)=5),МайВс1+15,""))</f>
        <v>43962</v>
      </c>
      <c r="D25" s="25">
        <f>IF(DAY(МайВс1)=1,IF(AND(YEAR(МайВс1+9)=КалендарныйГод,MONTH(МайВс1+9)=5),МайВс1+9,""),IF(AND(YEAR(МайВс1+16)=КалендарныйГод,MONTH(МайВс1+16)=5),МайВс1+16,""))</f>
        <v>43963</v>
      </c>
      <c r="E25" s="25">
        <f>IF(DAY(МайВс1)=1,IF(AND(YEAR(МайВс1+10)=КалендарныйГод,MONTH(МайВс1+10)=5),МайВс1+10,""),IF(AND(YEAR(МайВс1+17)=КалендарныйГод,MONTH(МайВс1+17)=5),МайВс1+17,""))</f>
        <v>43964</v>
      </c>
      <c r="F25" s="25">
        <f>IF(DAY(МайВс1)=1,IF(AND(YEAR(МайВс1+11)=КалендарныйГод,MONTH(МайВс1+11)=5),МайВс1+11,""),IF(AND(YEAR(МайВс1+18)=КалендарныйГод,MONTH(МайВс1+18)=5),МайВс1+18,""))</f>
        <v>43965</v>
      </c>
      <c r="G25" s="25">
        <f>IF(DAY(МайВс1)=1,IF(AND(YEAR(МайВс1+12)=КалендарныйГод,MONTH(МайВс1+12)=5),МайВс1+12,""),IF(AND(YEAR(МайВс1+19)=КалендарныйГод,MONTH(МайВс1+19)=5),МайВс1+19,""))</f>
        <v>43966</v>
      </c>
      <c r="H25" s="25">
        <f>IF(DAY(МайВс1)=1,IF(AND(YEAR(МайВс1+13)=КалендарныйГод,MONTH(МайВс1+13)=5),МайВс1+13,""),IF(AND(YEAR(МайВс1+20)=КалендарныйГод,MONTH(МайВс1+20)=5),МайВс1+20,""))</f>
        <v>43967</v>
      </c>
      <c r="I25" s="25">
        <f>IF(DAY(МайВс1)=1,IF(AND(YEAR(МайВс1+14)=КалендарныйГод,MONTH(МайВс1+14)=5),МайВс1+14,""),IF(AND(YEAR(МайВс1+21)=КалендарныйГод,MONTH(МайВс1+21)=5),МайВс1+21,""))</f>
        <v>43968</v>
      </c>
      <c r="J25" s="21"/>
      <c r="K25" s="25">
        <f>IF(DAY(ИюнВс1)=1,IF(AND(YEAR(ИюнВс1+8)=КалендарныйГод,MONTH(ИюнВс1+8)=6),ИюнВс1+8,""),IF(AND(YEAR(ИюнВс1+15)=КалендарныйГод,MONTH(ИюнВс1+15)=6),ИюнВс1+15,""))</f>
        <v>43997</v>
      </c>
      <c r="L25" s="25">
        <f>IF(DAY(ИюнВс1)=1,IF(AND(YEAR(ИюнВс1+9)=КалендарныйГод,MONTH(ИюнВс1+9)=6),ИюнВс1+9,""),IF(AND(YEAR(ИюнВс1+16)=КалендарныйГод,MONTH(ИюнВс1+16)=6),ИюнВс1+16,""))</f>
        <v>43998</v>
      </c>
      <c r="M25" s="25">
        <f>IF(DAY(ИюнВс1)=1,IF(AND(YEAR(ИюнВс1+10)=КалендарныйГод,MONTH(ИюнВс1+10)=6),ИюнВс1+10,""),IF(AND(YEAR(ИюнВс1+17)=КалендарныйГод,MONTH(ИюнВс1+17)=6),ИюнВс1+17,""))</f>
        <v>43999</v>
      </c>
      <c r="N25" s="25">
        <f>IF(DAY(ИюнВс1)=1,IF(AND(YEAR(ИюнВс1+11)=КалендарныйГод,MONTH(ИюнВс1+11)=6),ИюнВс1+11,""),IF(AND(YEAR(ИюнВс1+18)=КалендарныйГод,MONTH(ИюнВс1+18)=6),ИюнВс1+18,""))</f>
        <v>44000</v>
      </c>
      <c r="O25" s="25">
        <f>IF(DAY(ИюнВс1)=1,IF(AND(YEAR(ИюнВс1+12)=КалендарныйГод,MONTH(ИюнВс1+12)=6),ИюнВс1+12,""),IF(AND(YEAR(ИюнВс1+19)=КалендарныйГод,MONTH(ИюнВс1+19)=6),ИюнВс1+19,""))</f>
        <v>44001</v>
      </c>
      <c r="P25" s="25">
        <f>IF(DAY(ИюнВс1)=1,IF(AND(YEAR(ИюнВс1+13)=КалендарныйГод,MONTH(ИюнВс1+13)=6),ИюнВс1+13,""),IF(AND(YEAR(ИюнВс1+20)=КалендарныйГод,MONTH(ИюнВс1+20)=6),ИюнВс1+20,""))</f>
        <v>44002</v>
      </c>
      <c r="Q25" s="25">
        <f>IF(DAY(ИюнВс1)=1,IF(AND(YEAR(ИюнВс1+14)=КалендарныйГод,MONTH(ИюнВс1+14)=6),ИюнВс1+14,""),IF(AND(YEAR(ИюнВс1+21)=КалендарныйГод,MONTH(ИюнВс1+21)=6),ИюнВс1+21,""))</f>
        <v>44003</v>
      </c>
      <c r="S25" s="23"/>
      <c r="U25" s="3"/>
      <c r="V25" s="29"/>
      <c r="W25" s="29"/>
    </row>
    <row r="26" spans="1:23" ht="15" customHeight="1" x14ac:dyDescent="0.2">
      <c r="C26" s="25">
        <f>IF(DAY(МайВс1)=1,IF(AND(YEAR(МайВс1+15)=КалендарныйГод,MONTH(МайВс1+15)=5),МайВс1+15,""),IF(AND(YEAR(МайВс1+22)=КалендарныйГод,MONTH(МайВс1+22)=5),МайВс1+22,""))</f>
        <v>43969</v>
      </c>
      <c r="D26" s="25">
        <f>IF(DAY(МайВс1)=1,IF(AND(YEAR(МайВс1+16)=КалендарныйГод,MONTH(МайВс1+16)=5),МайВс1+16,""),IF(AND(YEAR(МайВс1+23)=КалендарныйГод,MONTH(МайВс1+23)=5),МайВс1+23,""))</f>
        <v>43970</v>
      </c>
      <c r="E26" s="25">
        <f>IF(DAY(МайВс1)=1,IF(AND(YEAR(МайВс1+17)=КалендарныйГод,MONTH(МайВс1+17)=5),МайВс1+17,""),IF(AND(YEAR(МайВс1+24)=КалендарныйГод,MONTH(МайВс1+24)=5),МайВс1+24,""))</f>
        <v>43971</v>
      </c>
      <c r="F26" s="25">
        <f>IF(DAY(МайВс1)=1,IF(AND(YEAR(МайВс1+18)=КалендарныйГод,MONTH(МайВс1+18)=5),МайВс1+18,""),IF(AND(YEAR(МайВс1+25)=КалендарныйГод,MONTH(МайВс1+25)=5),МайВс1+25,""))</f>
        <v>43972</v>
      </c>
      <c r="G26" s="25">
        <f>IF(DAY(МайВс1)=1,IF(AND(YEAR(МайВс1+19)=КалендарныйГод,MONTH(МайВс1+19)=5),МайВс1+19,""),IF(AND(YEAR(МайВс1+26)=КалендарныйГод,MONTH(МайВс1+26)=5),МайВс1+26,""))</f>
        <v>43973</v>
      </c>
      <c r="H26" s="25">
        <f>IF(DAY(МайВс1)=1,IF(AND(YEAR(МайВс1+20)=КалендарныйГод,MONTH(МайВс1+20)=5),МайВс1+20,""),IF(AND(YEAR(МайВс1+27)=КалендарныйГод,MONTH(МайВс1+27)=5),МайВс1+27,""))</f>
        <v>43974</v>
      </c>
      <c r="I26" s="25">
        <f>IF(DAY(МайВс1)=1,IF(AND(YEAR(МайВс1+21)=КалендарныйГод,MONTH(МайВс1+21)=5),МайВс1+21,""),IF(AND(YEAR(МайВс1+28)=КалендарныйГод,MONTH(МайВс1+28)=5),МайВс1+28,""))</f>
        <v>43975</v>
      </c>
      <c r="J26" s="21"/>
      <c r="K26" s="25">
        <f>IF(DAY(ИюнВс1)=1,IF(AND(YEAR(ИюнВс1+15)=КалендарныйГод,MONTH(ИюнВс1+15)=6),ИюнВс1+15,""),IF(AND(YEAR(ИюнВс1+22)=КалендарныйГод,MONTH(ИюнВс1+22)=6),ИюнВс1+22,""))</f>
        <v>44004</v>
      </c>
      <c r="L26" s="25">
        <f>IF(DAY(ИюнВс1)=1,IF(AND(YEAR(ИюнВс1+16)=КалендарныйГод,MONTH(ИюнВс1+16)=6),ИюнВс1+16,""),IF(AND(YEAR(ИюнВс1+23)=КалендарныйГод,MONTH(ИюнВс1+23)=6),ИюнВс1+23,""))</f>
        <v>44005</v>
      </c>
      <c r="M26" s="25">
        <f>IF(DAY(ИюнВс1)=1,IF(AND(YEAR(ИюнВс1+17)=КалендарныйГод,MONTH(ИюнВс1+17)=6),ИюнВс1+17,""),IF(AND(YEAR(ИюнВс1+24)=КалендарныйГод,MONTH(ИюнВс1+24)=6),ИюнВс1+24,""))</f>
        <v>44006</v>
      </c>
      <c r="N26" s="25">
        <f>IF(DAY(ИюнВс1)=1,IF(AND(YEAR(ИюнВс1+18)=КалендарныйГод,MONTH(ИюнВс1+18)=6),ИюнВс1+18,""),IF(AND(YEAR(ИюнВс1+25)=КалендарныйГод,MONTH(ИюнВс1+25)=6),ИюнВс1+25,""))</f>
        <v>44007</v>
      </c>
      <c r="O26" s="25">
        <f>IF(DAY(ИюнВс1)=1,IF(AND(YEAR(ИюнВс1+19)=КалендарныйГод,MONTH(ИюнВс1+19)=6),ИюнВс1+19,""),IF(AND(YEAR(ИюнВс1+26)=КалендарныйГод,MONTH(ИюнВс1+26)=6),ИюнВс1+26,""))</f>
        <v>44008</v>
      </c>
      <c r="P26" s="25">
        <f>IF(DAY(ИюнВс1)=1,IF(AND(YEAR(ИюнВс1+20)=КалендарныйГод,MONTH(ИюнВс1+20)=6),ИюнВс1+20,""),IF(AND(YEAR(ИюнВс1+27)=КалендарныйГод,MONTH(ИюнВс1+27)=6),ИюнВс1+27,""))</f>
        <v>44009</v>
      </c>
      <c r="Q26" s="25">
        <f>IF(DAY(ИюнВс1)=1,IF(AND(YEAR(ИюнВс1+21)=КалендарныйГод,MONTH(ИюнВс1+21)=6),ИюнВс1+21,""),IF(AND(YEAR(ИюнВс1+28)=КалендарныйГод,MONTH(ИюнВс1+28)=6),ИюнВс1+28,""))</f>
        <v>44010</v>
      </c>
      <c r="S26" s="23"/>
      <c r="U26" s="2"/>
      <c r="V26" s="29"/>
      <c r="W26" s="29"/>
    </row>
    <row r="27" spans="1:23" ht="15" customHeight="1" x14ac:dyDescent="0.2">
      <c r="C27" s="25">
        <f>IF(DAY(МайВс1)=1,IF(AND(YEAR(МайВс1+22)=КалендарныйГод,MONTH(МайВс1+22)=5),МайВс1+22,""),IF(AND(YEAR(МайВс1+29)=КалендарныйГод,MONTH(МайВс1+29)=5),МайВс1+29,""))</f>
        <v>43976</v>
      </c>
      <c r="D27" s="25">
        <f>IF(DAY(МайВс1)=1,IF(AND(YEAR(МайВс1+23)=КалендарныйГод,MONTH(МайВс1+23)=5),МайВс1+23,""),IF(AND(YEAR(МайВс1+30)=КалендарныйГод,MONTH(МайВс1+30)=5),МайВс1+30,""))</f>
        <v>43977</v>
      </c>
      <c r="E27" s="25">
        <f>IF(DAY(МайВс1)=1,IF(AND(YEAR(МайВс1+24)=КалендарныйГод,MONTH(МайВс1+24)=5),МайВс1+24,""),IF(AND(YEAR(МайВс1+31)=КалендарныйГод,MONTH(МайВс1+31)=5),МайВс1+31,""))</f>
        <v>43978</v>
      </c>
      <c r="F27" s="25">
        <f>IF(DAY(МайВс1)=1,IF(AND(YEAR(МайВс1+25)=КалендарныйГод,MONTH(МайВс1+25)=5),МайВс1+25,""),IF(AND(YEAR(МайВс1+32)=КалендарныйГод,MONTH(МайВс1+32)=5),МайВс1+32,""))</f>
        <v>43979</v>
      </c>
      <c r="G27" s="25">
        <f>IF(DAY(МайВс1)=1,IF(AND(YEAR(МайВс1+26)=КалендарныйГод,MONTH(МайВс1+26)=5),МайВс1+26,""),IF(AND(YEAR(МайВс1+33)=КалендарныйГод,MONTH(МайВс1+33)=5),МайВс1+33,""))</f>
        <v>43980</v>
      </c>
      <c r="H27" s="25">
        <f>IF(DAY(МайВс1)=1,IF(AND(YEAR(МайВс1+27)=КалендарныйГод,MONTH(МайВс1+27)=5),МайВс1+27,""),IF(AND(YEAR(МайВс1+34)=КалендарныйГод,MONTH(МайВс1+34)=5),МайВс1+34,""))</f>
        <v>43981</v>
      </c>
      <c r="I27" s="25">
        <f>IF(DAY(МайВс1)=1,IF(AND(YEAR(МайВс1+28)=КалендарныйГод,MONTH(МайВс1+28)=5),МайВс1+28,""),IF(AND(YEAR(МайВс1+35)=КалендарныйГод,MONTH(МайВс1+35)=5),МайВс1+35,""))</f>
        <v>43982</v>
      </c>
      <c r="J27" s="21"/>
      <c r="K27" s="25">
        <f>IF(DAY(ИюнВс1)=1,IF(AND(YEAR(ИюнВс1+22)=КалендарныйГод,MONTH(ИюнВс1+22)=6),ИюнВс1+22,""),IF(AND(YEAR(ИюнВс1+29)=КалендарныйГод,MONTH(ИюнВс1+29)=6),ИюнВс1+29,""))</f>
        <v>44011</v>
      </c>
      <c r="L27" s="25">
        <f>IF(DAY(ИюнВс1)=1,IF(AND(YEAR(ИюнВс1+23)=КалендарныйГод,MONTH(ИюнВс1+23)=6),ИюнВс1+23,""),IF(AND(YEAR(ИюнВс1+30)=КалендарныйГод,MONTH(ИюнВс1+30)=6),ИюнВс1+30,""))</f>
        <v>44012</v>
      </c>
      <c r="M27" s="25" t="str">
        <f>IF(DAY(ИюнВс1)=1,IF(AND(YEAR(ИюнВс1+24)=КалендарныйГод,MONTH(ИюнВс1+24)=6),ИюнВс1+24,""),IF(AND(YEAR(ИюнВс1+31)=КалендарныйГод,MONTH(ИюнВс1+31)=6),ИюнВс1+31,""))</f>
        <v/>
      </c>
      <c r="N27" s="25" t="str">
        <f>IF(DAY(ИюнВс1)=1,IF(AND(YEAR(ИюнВс1+25)=КалендарныйГод,MONTH(ИюнВс1+25)=6),ИюнВс1+25,""),IF(AND(YEAR(ИюнВс1+32)=КалендарныйГод,MONTH(ИюнВс1+32)=6),ИюнВс1+32,""))</f>
        <v/>
      </c>
      <c r="O27" s="25" t="str">
        <f>IF(DAY(ИюнВс1)=1,IF(AND(YEAR(ИюнВс1+26)=КалендарныйГод,MONTH(ИюнВс1+26)=6),ИюнВс1+26,""),IF(AND(YEAR(ИюнВс1+33)=КалендарныйГод,MONTH(ИюнВс1+33)=6),ИюнВс1+33,""))</f>
        <v/>
      </c>
      <c r="P27" s="25" t="str">
        <f>IF(DAY(ИюнВс1)=1,IF(AND(YEAR(ИюнВс1+27)=КалендарныйГод,MONTH(ИюнВс1+27)=6),ИюнВс1+27,""),IF(AND(YEAR(ИюнВс1+34)=КалендарныйГод,MONTH(ИюнВс1+34)=6),ИюнВс1+34,""))</f>
        <v/>
      </c>
      <c r="Q27" s="25" t="str">
        <f>IF(DAY(ИюнВс1)=1,IF(AND(YEAR(ИюнВс1+28)=КалендарныйГод,MONTH(ИюнВс1+28)=6),ИюнВс1+28,""),IF(AND(YEAR(ИюнВс1+35)=КалендарныйГод,MONTH(ИюнВс1+35)=6),ИюнВс1+35,""))</f>
        <v/>
      </c>
      <c r="S27" s="23"/>
      <c r="U27" s="10"/>
      <c r="V27" s="29"/>
      <c r="W27" s="29"/>
    </row>
    <row r="28" spans="1:23" ht="15" customHeight="1" x14ac:dyDescent="0.2">
      <c r="C28" s="25" t="str">
        <f>IF(DAY(МайВс1)=1,IF(AND(YEAR(МайВс1+29)=КалендарныйГод,MONTH(МайВс1+29)=5),МайВс1+29,""),IF(AND(YEAR(МайВс1+36)=КалендарныйГод,MONTH(МайВс1+36)=5),МайВс1+36,""))</f>
        <v/>
      </c>
      <c r="D28" s="25" t="str">
        <f>IF(DAY(МайВс1)=1,IF(AND(YEAR(МайВс1+30)=КалендарныйГод,MONTH(МайВс1+30)=5),МайВс1+30,""),IF(AND(YEAR(МайВс1+37)=КалендарныйГод,MONTH(МайВс1+37)=5),МайВс1+37,""))</f>
        <v/>
      </c>
      <c r="E28" s="25" t="str">
        <f>IF(DAY(МайВс1)=1,IF(AND(YEAR(МайВс1+31)=КалендарныйГод,MONTH(МайВс1+31)=5),МайВс1+31,""),IF(AND(YEAR(МайВс1+38)=КалендарныйГод,MONTH(МайВс1+38)=5),МайВс1+38,""))</f>
        <v/>
      </c>
      <c r="F28" s="25" t="str">
        <f>IF(DAY(МайВс1)=1,IF(AND(YEAR(МайВс1+32)=КалендарныйГод,MONTH(МайВс1+32)=5),МайВс1+32,""),IF(AND(YEAR(МайВс1+39)=КалендарныйГод,MONTH(МайВс1+39)=5),МайВс1+39,""))</f>
        <v/>
      </c>
      <c r="G28" s="25" t="str">
        <f>IF(DAY(МайВс1)=1,IF(AND(YEAR(МайВс1+33)=КалендарныйГод,MONTH(МайВс1+33)=5),МайВс1+33,""),IF(AND(YEAR(МайВс1+40)=КалендарныйГод,MONTH(МайВс1+40)=5),МайВс1+40,""))</f>
        <v/>
      </c>
      <c r="H28" s="25" t="str">
        <f>IF(DAY(МайВс1)=1,IF(AND(YEAR(МайВс1+34)=КалендарныйГод,MONTH(МайВс1+34)=5),МайВс1+34,""),IF(AND(YEAR(МайВс1+41)=КалендарныйГод,MONTH(МайВс1+41)=5),МайВс1+41,""))</f>
        <v/>
      </c>
      <c r="I28" s="25" t="str">
        <f>IF(DAY(МайВс1)=1,IF(AND(YEAR(МайВс1+35)=КалендарныйГод,MONTH(МайВс1+35)=5),МайВс1+35,""),IF(AND(YEAR(МайВс1+42)=КалендарныйГод,MONTH(МайВс1+42)=5),МайВс1+42,""))</f>
        <v/>
      </c>
      <c r="J28" s="21"/>
      <c r="K28" s="25" t="str">
        <f>IF(DAY(ИюнВс1)=1,IF(AND(YEAR(ИюнВс1+29)=КалендарныйГод,MONTH(ИюнВс1+29)=6),ИюнВс1+29,""),IF(AND(YEAR(ИюнВс1+36)=КалендарныйГод,MONTH(ИюнВс1+36)=6),ИюнВс1+36,""))</f>
        <v/>
      </c>
      <c r="L28" s="25" t="str">
        <f>IF(DAY(ИюнВс1)=1,IF(AND(YEAR(ИюнВс1+30)=КалендарныйГод,MONTH(ИюнВс1+30)=6),ИюнВс1+30,""),IF(AND(YEAR(ИюнВс1+37)=КалендарныйГод,MONTH(ИюнВс1+37)=6),ИюнВс1+37,""))</f>
        <v/>
      </c>
      <c r="M28" s="25" t="str">
        <f>IF(DAY(ИюнВс1)=1,IF(AND(YEAR(ИюнВс1+31)=КалендарныйГод,MONTH(ИюнВс1+31)=6),ИюнВс1+31,""),IF(AND(YEAR(ИюнВс1+38)=КалендарныйГод,MONTH(ИюнВс1+38)=6),ИюнВс1+38,""))</f>
        <v/>
      </c>
      <c r="N28" s="25" t="str">
        <f>IF(DAY(ИюнВс1)=1,IF(AND(YEAR(ИюнВс1+32)=КалендарныйГод,MONTH(ИюнВс1+32)=6),ИюнВс1+32,""),IF(AND(YEAR(ИюнВс1+39)=КалендарныйГод,MONTH(ИюнВс1+39)=6),ИюнВс1+39,""))</f>
        <v/>
      </c>
      <c r="O28" s="25" t="str">
        <f>IF(DAY(ИюнВс1)=1,IF(AND(YEAR(ИюнВс1+33)=КалендарныйГод,MONTH(ИюнВс1+33)=6),ИюнВс1+33,""),IF(AND(YEAR(ИюнВс1+40)=КалендарныйГод,MONTH(ИюнВс1+40)=6),ИюнВс1+40,""))</f>
        <v/>
      </c>
      <c r="P28" s="25" t="str">
        <f>IF(DAY(ИюнВс1)=1,IF(AND(YEAR(ИюнВс1+34)=КалендарныйГод,MONTH(ИюнВс1+34)=6),ИюнВс1+34,""),IF(AND(YEAR(ИюнВс1+41)=КалендарныйГод,MONTH(ИюнВс1+41)=6),ИюнВс1+41,""))</f>
        <v/>
      </c>
      <c r="Q28" s="25" t="str">
        <f>IF(DAY(ИюнВс1)=1,IF(AND(YEAR(ИюнВс1+35)=КалендарныйГод,MONTH(ИюнВс1+35)=6),ИюнВс1+35,""),IF(AND(YEAR(ИюнВс1+42)=КалендарныйГод,MONTH(ИюнВс1+42)=6),ИюнВс1+42,""))</f>
        <v/>
      </c>
      <c r="S28" s="23"/>
      <c r="U28" s="3"/>
      <c r="V28" s="29"/>
      <c r="W28" s="29"/>
    </row>
    <row r="29" spans="1:23" ht="15" customHeight="1" x14ac:dyDescent="0.2">
      <c r="J29" s="21"/>
      <c r="S29" s="23"/>
      <c r="U29" s="2"/>
      <c r="V29" s="29"/>
      <c r="W29" s="29"/>
    </row>
    <row r="30" spans="1:23" ht="15" customHeight="1" x14ac:dyDescent="0.2">
      <c r="A30" s="18" t="s">
        <v>14</v>
      </c>
      <c r="C30" s="27" t="s">
        <v>29</v>
      </c>
      <c r="D30" s="27"/>
      <c r="E30" s="27"/>
      <c r="F30" s="27"/>
      <c r="G30" s="27"/>
      <c r="H30" s="27"/>
      <c r="I30" s="27"/>
      <c r="J30" s="21"/>
      <c r="K30" s="27" t="s">
        <v>41</v>
      </c>
      <c r="L30" s="27"/>
      <c r="M30" s="27"/>
      <c r="N30" s="27"/>
      <c r="O30" s="27"/>
      <c r="P30" s="27"/>
      <c r="Q30" s="27"/>
      <c r="S30" s="23"/>
      <c r="U30" s="10"/>
      <c r="V30" s="29"/>
      <c r="W30" s="29"/>
    </row>
    <row r="31" spans="1:23" ht="15" customHeight="1" x14ac:dyDescent="0.2">
      <c r="A31" s="18" t="s">
        <v>15</v>
      </c>
      <c r="C31" s="11" t="s">
        <v>26</v>
      </c>
      <c r="D31" s="11" t="s">
        <v>32</v>
      </c>
      <c r="E31" s="11" t="s">
        <v>33</v>
      </c>
      <c r="F31" s="11" t="s">
        <v>34</v>
      </c>
      <c r="G31" s="11" t="s">
        <v>35</v>
      </c>
      <c r="H31" s="11" t="s">
        <v>36</v>
      </c>
      <c r="I31" s="11" t="s">
        <v>37</v>
      </c>
      <c r="J31" s="21"/>
      <c r="K31" s="11" t="s">
        <v>26</v>
      </c>
      <c r="L31" s="11" t="s">
        <v>32</v>
      </c>
      <c r="M31" s="11" t="s">
        <v>33</v>
      </c>
      <c r="N31" s="11" t="s">
        <v>34</v>
      </c>
      <c r="O31" s="11" t="s">
        <v>35</v>
      </c>
      <c r="P31" s="11" t="s">
        <v>36</v>
      </c>
      <c r="Q31" s="11" t="s">
        <v>37</v>
      </c>
      <c r="S31" s="23"/>
      <c r="U31" s="3"/>
      <c r="V31" s="29"/>
      <c r="W31" s="29"/>
    </row>
    <row r="32" spans="1:23" ht="15" customHeight="1" x14ac:dyDescent="0.2">
      <c r="A32" s="18"/>
      <c r="C32" s="25" t="str">
        <f>IF(DAY(ИюлВс1)=1,"",IF(AND(YEAR(ИюлВс1+1)=КалендарныйГод,MONTH(ИюлВс1+1)=7),ИюлВс1+1,""))</f>
        <v/>
      </c>
      <c r="D32" s="25" t="str">
        <f>IF(DAY(ИюлВс1)=1,"",IF(AND(YEAR(ИюлВс1+2)=КалендарныйГод,MONTH(ИюлВс1+2)=7),ИюлВс1+2,""))</f>
        <v/>
      </c>
      <c r="E32" s="25">
        <f>IF(DAY(ИюлВс1)=1,"",IF(AND(YEAR(ИюлВс1+3)=КалендарныйГод,MONTH(ИюлВс1+3)=7),ИюлВс1+3,""))</f>
        <v>44013</v>
      </c>
      <c r="F32" s="25">
        <f>IF(DAY(ИюлВс1)=1,"",IF(AND(YEAR(ИюлВс1+4)=КалендарныйГод,MONTH(ИюлВс1+4)=7),ИюлВс1+4,""))</f>
        <v>44014</v>
      </c>
      <c r="G32" s="25">
        <f>IF(DAY(ИюлВс1)=1,"",IF(AND(YEAR(ИюлВс1+5)=КалендарныйГод,MONTH(ИюлВс1+5)=7),ИюлВс1+5,""))</f>
        <v>44015</v>
      </c>
      <c r="H32" s="25">
        <f>IF(DAY(ИюлВс1)=1,"",IF(AND(YEAR(ИюлВс1+6)=КалендарныйГод,MONTH(ИюлВс1+6)=7),ИюлВс1+6,""))</f>
        <v>44016</v>
      </c>
      <c r="I32" s="25">
        <f>IF(DAY(ИюлВс1)=1,IF(AND(YEAR(ИюлВс1)=КалендарныйГод,MONTH(ИюлВс1)=7),ИюлВс1,""),IF(AND(YEAR(ИюлВс1+7)=КалендарныйГод,MONTH(ИюлВс1+7)=7),ИюлВс1+7,""))</f>
        <v>44017</v>
      </c>
      <c r="K32" s="25" t="str">
        <f>IF(DAY(АвгВс1)=1,"",IF(AND(YEAR(АвгВс1+1)=КалендарныйГод,MONTH(АвгВс1+1)=8),АвгВс1+1,""))</f>
        <v/>
      </c>
      <c r="L32" s="25" t="str">
        <f>IF(DAY(АвгВс1)=1,"",IF(AND(YEAR(АвгВс1+2)=КалендарныйГод,MONTH(АвгВс1+2)=8),АвгВс1+2,""))</f>
        <v/>
      </c>
      <c r="M32" s="25" t="str">
        <f>IF(DAY(АвгВс1)=1,"",IF(AND(YEAR(АвгВс1+3)=КалендарныйГод,MONTH(АвгВс1+3)=8),АвгВс1+3,""))</f>
        <v/>
      </c>
      <c r="N32" s="25" t="str">
        <f>IF(DAY(АвгВс1)=1,"",IF(AND(YEAR(АвгВс1+4)=КалендарныйГод,MONTH(АвгВс1+4)=8),АвгВс1+4,""))</f>
        <v/>
      </c>
      <c r="O32" s="25" t="str">
        <f>IF(DAY(АвгВс1)=1,"",IF(AND(YEAR(АвгВс1+5)=КалендарныйГод,MONTH(АвгВс1+5)=8),АвгВс1+5,""))</f>
        <v/>
      </c>
      <c r="P32" s="25">
        <f>IF(DAY(АвгВс1)=1,"",IF(AND(YEAR(АвгВс1+6)=КалендарныйГод,MONTH(АвгВс1+6)=8),АвгВс1+6,""))</f>
        <v>44044</v>
      </c>
      <c r="Q32" s="25">
        <f>IF(DAY(АвгВс1)=1,IF(AND(YEAR(АвгВс1)=КалендарныйГод,MONTH(АвгВс1)=8),АвгВс1,""),IF(AND(YEAR(АвгВс1+7)=КалендарныйГод,MONTH(АвгВс1+7)=8),АвгВс1+7,""))</f>
        <v>44045</v>
      </c>
      <c r="S32" s="23"/>
      <c r="U32" s="2"/>
      <c r="V32" s="29"/>
      <c r="W32" s="29"/>
    </row>
    <row r="33" spans="1:23" ht="15" customHeight="1" x14ac:dyDescent="0.2">
      <c r="A33" s="18"/>
      <c r="C33" s="25">
        <f>IF(DAY(ИюлВс1)=1,IF(AND(YEAR(ИюлВс1+1)=КалендарныйГод,MONTH(ИюлВс1+1)=7),ИюлВс1+1,""),IF(AND(YEAR(ИюлВс1+8)=КалендарныйГод,MONTH(ИюлВс1+8)=7),ИюлВс1+8,""))</f>
        <v>44018</v>
      </c>
      <c r="D33" s="25">
        <f>IF(DAY(ИюлВс1)=1,IF(AND(YEAR(ИюлВс1+2)=КалендарныйГод,MONTH(ИюлВс1+2)=7),ИюлВс1+2,""),IF(AND(YEAR(ИюлВс1+9)=КалендарныйГод,MONTH(ИюлВс1+9)=7),ИюлВс1+9,""))</f>
        <v>44019</v>
      </c>
      <c r="E33" s="25">
        <f>IF(DAY(ИюлВс1)=1,IF(AND(YEAR(ИюлВс1+3)=КалендарныйГод,MONTH(ИюлВс1+3)=7),ИюлВс1+3,""),IF(AND(YEAR(ИюлВс1+10)=КалендарныйГод,MONTH(ИюлВс1+10)=7),ИюлВс1+10,""))</f>
        <v>44020</v>
      </c>
      <c r="F33" s="25">
        <f>IF(DAY(ИюлВс1)=1,IF(AND(YEAR(ИюлВс1+4)=КалендарныйГод,MONTH(ИюлВс1+4)=7),ИюлВс1+4,""),IF(AND(YEAR(ИюлВс1+11)=КалендарныйГод,MONTH(ИюлВс1+11)=7),ИюлВс1+11,""))</f>
        <v>44021</v>
      </c>
      <c r="G33" s="25">
        <f>IF(DAY(ИюлВс1)=1,IF(AND(YEAR(ИюлВс1+5)=КалендарныйГод,MONTH(ИюлВс1+5)=7),ИюлВс1+5,""),IF(AND(YEAR(ИюлВс1+12)=КалендарныйГод,MONTH(ИюлВс1+12)=7),ИюлВс1+12,""))</f>
        <v>44022</v>
      </c>
      <c r="H33" s="25">
        <f>IF(DAY(ИюлВс1)=1,IF(AND(YEAR(ИюлВс1+6)=КалендарныйГод,MONTH(ИюлВс1+6)=7),ИюлВс1+6,""),IF(AND(YEAR(ИюлВс1+13)=КалендарныйГод,MONTH(ИюлВс1+13)=7),ИюлВс1+13,""))</f>
        <v>44023</v>
      </c>
      <c r="I33" s="25">
        <f>IF(DAY(ИюлВс1)=1,IF(AND(YEAR(ИюлВс1+7)=КалендарныйГод,MONTH(ИюлВс1+7)=7),ИюлВс1+7,""),IF(AND(YEAR(ИюлВс1+14)=КалендарныйГод,MONTH(ИюлВс1+14)=7),ИюлВс1+14,""))</f>
        <v>44024</v>
      </c>
      <c r="K33" s="25">
        <f>IF(DAY(АвгВс1)=1,IF(AND(YEAR(АвгВс1+1)=КалендарныйГод,MONTH(АвгВс1+1)=8),АвгВс1+1,""),IF(AND(YEAR(АвгВс1+8)=КалендарныйГод,MONTH(АвгВс1+8)=8),АвгВс1+8,""))</f>
        <v>44046</v>
      </c>
      <c r="L33" s="25">
        <f>IF(DAY(АвгВс1)=1,IF(AND(YEAR(АвгВс1+2)=КалендарныйГод,MONTH(АвгВс1+2)=8),АвгВс1+2,""),IF(AND(YEAR(АвгВс1+9)=КалендарныйГод,MONTH(АвгВс1+9)=8),АвгВс1+9,""))</f>
        <v>44047</v>
      </c>
      <c r="M33" s="25">
        <f>IF(DAY(АвгВс1)=1,IF(AND(YEAR(АвгВс1+3)=КалендарныйГод,MONTH(АвгВс1+3)=8),АвгВс1+3,""),IF(AND(YEAR(АвгВс1+10)=КалендарныйГод,MONTH(АвгВс1+10)=8),АвгВс1+10,""))</f>
        <v>44048</v>
      </c>
      <c r="N33" s="25">
        <f>IF(DAY(АвгВс1)=1,IF(AND(YEAR(АвгВс1+4)=КалендарныйГод,MONTH(АвгВс1+4)=8),АвгВс1+4,""),IF(AND(YEAR(АвгВс1+11)=КалендарныйГод,MONTH(АвгВс1+11)=8),АвгВс1+11,""))</f>
        <v>44049</v>
      </c>
      <c r="O33" s="25">
        <f>IF(DAY(АвгВс1)=1,IF(AND(YEAR(АвгВс1+5)=КалендарныйГод,MONTH(АвгВс1+5)=8),АвгВс1+5,""),IF(AND(YEAR(АвгВс1+12)=КалендарныйГод,MONTH(АвгВс1+12)=8),АвгВс1+12,""))</f>
        <v>44050</v>
      </c>
      <c r="P33" s="25">
        <f>IF(DAY(АвгВс1)=1,IF(AND(YEAR(АвгВс1+6)=КалендарныйГод,MONTH(АвгВс1+6)=8),АвгВс1+6,""),IF(AND(YEAR(АвгВс1+13)=КалендарныйГод,MONTH(АвгВс1+13)=8),АвгВс1+13,""))</f>
        <v>44051</v>
      </c>
      <c r="Q33" s="25">
        <f>IF(DAY(АвгВс1)=1,IF(AND(YEAR(АвгВс1+7)=КалендарныйГод,MONTH(АвгВс1+7)=8),АвгВс1+7,""),IF(AND(YEAR(АвгВс1+14)=КалендарныйГод,MONTH(АвгВс1+14)=8),АвгВс1+14,""))</f>
        <v>44052</v>
      </c>
      <c r="S33" s="23"/>
      <c r="U33" s="10"/>
      <c r="V33" s="29"/>
      <c r="W33" s="29"/>
    </row>
    <row r="34" spans="1:23" ht="15" customHeight="1" x14ac:dyDescent="0.2">
      <c r="C34" s="25">
        <f>IF(DAY(ИюлВс1)=1,IF(AND(YEAR(ИюлВс1+8)=КалендарныйГод,MONTH(ИюлВс1+8)=7),ИюлВс1+8,""),IF(AND(YEAR(ИюлВс1+15)=КалендарныйГод,MONTH(ИюлВс1+15)=7),ИюлВс1+15,""))</f>
        <v>44025</v>
      </c>
      <c r="D34" s="25">
        <f>IF(DAY(ИюлВс1)=1,IF(AND(YEAR(ИюлВс1+9)=КалендарныйГод,MONTH(ИюлВс1+9)=7),ИюлВс1+9,""),IF(AND(YEAR(ИюлВс1+16)=КалендарныйГод,MONTH(ИюлВс1+16)=7),ИюлВс1+16,""))</f>
        <v>44026</v>
      </c>
      <c r="E34" s="25">
        <f>IF(DAY(ИюлВс1)=1,IF(AND(YEAR(ИюлВс1+10)=КалендарныйГод,MONTH(ИюлВс1+10)=7),ИюлВс1+10,""),IF(AND(YEAR(ИюлВс1+17)=КалендарныйГод,MONTH(ИюлВс1+17)=7),ИюлВс1+17,""))</f>
        <v>44027</v>
      </c>
      <c r="F34" s="25">
        <f>IF(DAY(ИюлВс1)=1,IF(AND(YEAR(ИюлВс1+11)=КалендарныйГод,MONTH(ИюлВс1+11)=7),ИюлВс1+11,""),IF(AND(YEAR(ИюлВс1+18)=КалендарныйГод,MONTH(ИюлВс1+18)=7),ИюлВс1+18,""))</f>
        <v>44028</v>
      </c>
      <c r="G34" s="25">
        <f>IF(DAY(ИюлВс1)=1,IF(AND(YEAR(ИюлВс1+12)=КалендарныйГод,MONTH(ИюлВс1+12)=7),ИюлВс1+12,""),IF(AND(YEAR(ИюлВс1+19)=КалендарныйГод,MONTH(ИюлВс1+19)=7),ИюлВс1+19,""))</f>
        <v>44029</v>
      </c>
      <c r="H34" s="25">
        <f>IF(DAY(ИюлВс1)=1,IF(AND(YEAR(ИюлВс1+13)=КалендарныйГод,MONTH(ИюлВс1+13)=7),ИюлВс1+13,""),IF(AND(YEAR(ИюлВс1+20)=КалендарныйГод,MONTH(ИюлВс1+20)=7),ИюлВс1+20,""))</f>
        <v>44030</v>
      </c>
      <c r="I34" s="25">
        <f>IF(DAY(ИюлВс1)=1,IF(AND(YEAR(ИюлВс1+14)=КалендарныйГод,MONTH(ИюлВс1+14)=7),ИюлВс1+14,""),IF(AND(YEAR(ИюлВс1+21)=КалендарныйГод,MONTH(ИюлВс1+21)=7),ИюлВс1+21,""))</f>
        <v>44031</v>
      </c>
      <c r="K34" s="25">
        <f>IF(DAY(АвгВс1)=1,IF(AND(YEAR(АвгВс1+8)=КалендарныйГод,MONTH(АвгВс1+8)=8),АвгВс1+8,""),IF(AND(YEAR(АвгВс1+15)=КалендарныйГод,MONTH(АвгВс1+15)=8),АвгВс1+15,""))</f>
        <v>44053</v>
      </c>
      <c r="L34" s="25">
        <f>IF(DAY(АвгВс1)=1,IF(AND(YEAR(АвгВс1+9)=КалендарныйГод,MONTH(АвгВс1+9)=8),АвгВс1+9,""),IF(AND(YEAR(АвгВс1+16)=КалендарныйГод,MONTH(АвгВс1+16)=8),АвгВс1+16,""))</f>
        <v>44054</v>
      </c>
      <c r="M34" s="25">
        <f>IF(DAY(АвгВс1)=1,IF(AND(YEAR(АвгВс1+10)=КалендарныйГод,MONTH(АвгВс1+10)=8),АвгВс1+10,""),IF(AND(YEAR(АвгВс1+17)=КалендарныйГод,MONTH(АвгВс1+17)=8),АвгВс1+17,""))</f>
        <v>44055</v>
      </c>
      <c r="N34" s="25">
        <f>IF(DAY(АвгВс1)=1,IF(AND(YEAR(АвгВс1+11)=КалендарныйГод,MONTH(АвгВс1+11)=8),АвгВс1+11,""),IF(AND(YEAR(АвгВс1+18)=КалендарныйГод,MONTH(АвгВс1+18)=8),АвгВс1+18,""))</f>
        <v>44056</v>
      </c>
      <c r="O34" s="25">
        <f>IF(DAY(АвгВс1)=1,IF(AND(YEAR(АвгВс1+12)=КалендарныйГод,MONTH(АвгВс1+12)=8),АвгВс1+12,""),IF(AND(YEAR(АвгВс1+19)=КалендарныйГод,MONTH(АвгВс1+19)=8),АвгВс1+19,""))</f>
        <v>44057</v>
      </c>
      <c r="P34" s="25">
        <f>IF(DAY(АвгВс1)=1,IF(AND(YEAR(АвгВс1+13)=КалендарныйГод,MONTH(АвгВс1+13)=8),АвгВс1+13,""),IF(AND(YEAR(АвгВс1+20)=КалендарныйГод,MONTH(АвгВс1+20)=8),АвгВс1+20,""))</f>
        <v>44058</v>
      </c>
      <c r="Q34" s="25">
        <f>IF(DAY(АвгВс1)=1,IF(AND(YEAR(АвгВс1+14)=КалендарныйГод,MONTH(АвгВс1+14)=8),АвгВс1+14,""),IF(AND(YEAR(АвгВс1+21)=КалендарныйГод,MONTH(АвгВс1+21)=8),АвгВс1+21,""))</f>
        <v>44059</v>
      </c>
      <c r="S34" s="23"/>
      <c r="U34" s="3"/>
      <c r="V34" s="29"/>
      <c r="W34" s="29"/>
    </row>
    <row r="35" spans="1:23" ht="15" customHeight="1" x14ac:dyDescent="0.2">
      <c r="C35" s="25">
        <f>IF(DAY(ИюлВс1)=1,IF(AND(YEAR(ИюлВс1+15)=КалендарныйГод,MONTH(ИюлВс1+15)=7),ИюлВс1+15,""),IF(AND(YEAR(ИюлВс1+22)=КалендарныйГод,MONTH(ИюлВс1+22)=7),ИюлВс1+22,""))</f>
        <v>44032</v>
      </c>
      <c r="D35" s="25">
        <f>IF(DAY(ИюлВс1)=1,IF(AND(YEAR(ИюлВс1+16)=КалендарныйГод,MONTH(ИюлВс1+16)=7),ИюлВс1+16,""),IF(AND(YEAR(ИюлВс1+23)=КалендарныйГод,MONTH(ИюлВс1+23)=7),ИюлВс1+23,""))</f>
        <v>44033</v>
      </c>
      <c r="E35" s="25">
        <f>IF(DAY(ИюлВс1)=1,IF(AND(YEAR(ИюлВс1+17)=КалендарныйГод,MONTH(ИюлВс1+17)=7),ИюлВс1+17,""),IF(AND(YEAR(ИюлВс1+24)=КалендарныйГод,MONTH(ИюлВс1+24)=7),ИюлВс1+24,""))</f>
        <v>44034</v>
      </c>
      <c r="F35" s="25">
        <f>IF(DAY(ИюлВс1)=1,IF(AND(YEAR(ИюлВс1+18)=КалендарныйГод,MONTH(ИюлВс1+18)=7),ИюлВс1+18,""),IF(AND(YEAR(ИюлВс1+25)=КалендарныйГод,MONTH(ИюлВс1+25)=7),ИюлВс1+25,""))</f>
        <v>44035</v>
      </c>
      <c r="G35" s="25">
        <f>IF(DAY(ИюлВс1)=1,IF(AND(YEAR(ИюлВс1+19)=КалендарныйГод,MONTH(ИюлВс1+19)=7),ИюлВс1+19,""),IF(AND(YEAR(ИюлВс1+26)=КалендарныйГод,MONTH(ИюлВс1+26)=7),ИюлВс1+26,""))</f>
        <v>44036</v>
      </c>
      <c r="H35" s="25">
        <f>IF(DAY(ИюлВс1)=1,IF(AND(YEAR(ИюлВс1+20)=КалендарныйГод,MONTH(ИюлВс1+20)=7),ИюлВс1+20,""),IF(AND(YEAR(ИюлВс1+27)=КалендарныйГод,MONTH(ИюлВс1+27)=7),ИюлВс1+27,""))</f>
        <v>44037</v>
      </c>
      <c r="I35" s="25">
        <f>IF(DAY(ИюлВс1)=1,IF(AND(YEAR(ИюлВс1+21)=КалендарныйГод,MONTH(ИюлВс1+21)=7),ИюлВс1+21,""),IF(AND(YEAR(ИюлВс1+28)=КалендарныйГод,MONTH(ИюлВс1+28)=7),ИюлВс1+28,""))</f>
        <v>44038</v>
      </c>
      <c r="K35" s="25">
        <f>IF(DAY(АвгВс1)=1,IF(AND(YEAR(АвгВс1+15)=КалендарныйГод,MONTH(АвгВс1+15)=8),АвгВс1+15,""),IF(AND(YEAR(АвгВс1+22)=КалендарныйГод,MONTH(АвгВс1+22)=8),АвгВс1+22,""))</f>
        <v>44060</v>
      </c>
      <c r="L35" s="25">
        <f>IF(DAY(АвгВс1)=1,IF(AND(YEAR(АвгВс1+16)=КалендарныйГод,MONTH(АвгВс1+16)=8),АвгВс1+16,""),IF(AND(YEAR(АвгВс1+23)=КалендарныйГод,MONTH(АвгВс1+23)=8),АвгВс1+23,""))</f>
        <v>44061</v>
      </c>
      <c r="M35" s="25">
        <f>IF(DAY(АвгВс1)=1,IF(AND(YEAR(АвгВс1+17)=КалендарныйГод,MONTH(АвгВс1+17)=8),АвгВс1+17,""),IF(AND(YEAR(АвгВс1+24)=КалендарныйГод,MONTH(АвгВс1+24)=8),АвгВс1+24,""))</f>
        <v>44062</v>
      </c>
      <c r="N35" s="25">
        <f>IF(DAY(АвгВс1)=1,IF(AND(YEAR(АвгВс1+18)=КалендарныйГод,MONTH(АвгВс1+18)=8),АвгВс1+18,""),IF(AND(YEAR(АвгВс1+25)=КалендарныйГод,MONTH(АвгВс1+25)=8),АвгВс1+25,""))</f>
        <v>44063</v>
      </c>
      <c r="O35" s="25">
        <f>IF(DAY(АвгВс1)=1,IF(AND(YEAR(АвгВс1+19)=КалендарныйГод,MONTH(АвгВс1+19)=8),АвгВс1+19,""),IF(AND(YEAR(АвгВс1+26)=КалендарныйГод,MONTH(АвгВс1+26)=8),АвгВс1+26,""))</f>
        <v>44064</v>
      </c>
      <c r="P35" s="25">
        <f>IF(DAY(АвгВс1)=1,IF(AND(YEAR(АвгВс1+20)=КалендарныйГод,MONTH(АвгВс1+20)=8),АвгВс1+20,""),IF(AND(YEAR(АвгВс1+27)=КалендарныйГод,MONTH(АвгВс1+27)=8),АвгВс1+27,""))</f>
        <v>44065</v>
      </c>
      <c r="Q35" s="25">
        <f>IF(DAY(АвгВс1)=1,IF(AND(YEAR(АвгВс1+21)=КалендарныйГод,MONTH(АвгВс1+21)=8),АвгВс1+21,""),IF(AND(YEAR(АвгВс1+28)=КалендарныйГод,MONTH(АвгВс1+28)=8),АвгВс1+28,""))</f>
        <v>44066</v>
      </c>
      <c r="S35" s="23"/>
      <c r="U35" s="2"/>
      <c r="V35" s="29"/>
      <c r="W35" s="29"/>
    </row>
    <row r="36" spans="1:23" ht="15" customHeight="1" x14ac:dyDescent="0.2">
      <c r="C36" s="25">
        <f>IF(DAY(ИюлВс1)=1,IF(AND(YEAR(ИюлВс1+22)=КалендарныйГод,MONTH(ИюлВс1+22)=7),ИюлВс1+22,""),IF(AND(YEAR(ИюлВс1+29)=КалендарныйГод,MONTH(ИюлВс1+29)=7),ИюлВс1+29,""))</f>
        <v>44039</v>
      </c>
      <c r="D36" s="25">
        <f>IF(DAY(ИюлВс1)=1,IF(AND(YEAR(ИюлВс1+23)=КалендарныйГод,MONTH(ИюлВс1+23)=7),ИюлВс1+23,""),IF(AND(YEAR(ИюлВс1+30)=КалендарныйГод,MONTH(ИюлВс1+30)=7),ИюлВс1+30,""))</f>
        <v>44040</v>
      </c>
      <c r="E36" s="25">
        <f>IF(DAY(ИюлВс1)=1,IF(AND(YEAR(ИюлВс1+24)=КалендарныйГод,MONTH(ИюлВс1+24)=7),ИюлВс1+24,""),IF(AND(YEAR(ИюлВс1+31)=КалендарныйГод,MONTH(ИюлВс1+31)=7),ИюлВс1+31,""))</f>
        <v>44041</v>
      </c>
      <c r="F36" s="25">
        <f>IF(DAY(ИюлВс1)=1,IF(AND(YEAR(ИюлВс1+25)=КалендарныйГод,MONTH(ИюлВс1+25)=7),ИюлВс1+25,""),IF(AND(YEAR(ИюлВс1+32)=КалендарныйГод,MONTH(ИюлВс1+32)=7),ИюлВс1+32,""))</f>
        <v>44042</v>
      </c>
      <c r="G36" s="25">
        <f>IF(DAY(ИюлВс1)=1,IF(AND(YEAR(ИюлВс1+26)=КалендарныйГод,MONTH(ИюлВс1+26)=7),ИюлВс1+26,""),IF(AND(YEAR(ИюлВс1+33)=КалендарныйГод,MONTH(ИюлВс1+33)=7),ИюлВс1+33,""))</f>
        <v>44043</v>
      </c>
      <c r="H36" s="25" t="str">
        <f>IF(DAY(ИюлВс1)=1,IF(AND(YEAR(ИюлВс1+27)=КалендарныйГод,MONTH(ИюлВс1+27)=7),ИюлВс1+27,""),IF(AND(YEAR(ИюлВс1+34)=КалендарныйГод,MONTH(ИюлВс1+34)=7),ИюлВс1+34,""))</f>
        <v/>
      </c>
      <c r="I36" s="25" t="str">
        <f>IF(DAY(ИюлВс1)=1,IF(AND(YEAR(ИюлВс1+28)=КалендарныйГод,MONTH(ИюлВс1+28)=7),ИюлВс1+28,""),IF(AND(YEAR(ИюлВс1+35)=КалендарныйГод,MONTH(ИюлВс1+35)=7),ИюлВс1+35,""))</f>
        <v/>
      </c>
      <c r="K36" s="25">
        <f>IF(DAY(АвгВс1)=1,IF(AND(YEAR(АвгВс1+22)=КалендарныйГод,MONTH(АвгВс1+22)=8),АвгВс1+22,""),IF(AND(YEAR(АвгВс1+29)=КалендарныйГод,MONTH(АвгВс1+29)=8),АвгВс1+29,""))</f>
        <v>44067</v>
      </c>
      <c r="L36" s="25">
        <f>IF(DAY(АвгВс1)=1,IF(AND(YEAR(АвгВс1+23)=КалендарныйГод,MONTH(АвгВс1+23)=8),АвгВс1+23,""),IF(AND(YEAR(АвгВс1+30)=КалендарныйГод,MONTH(АвгВс1+30)=8),АвгВс1+30,""))</f>
        <v>44068</v>
      </c>
      <c r="M36" s="25">
        <f>IF(DAY(АвгВс1)=1,IF(AND(YEAR(АвгВс1+24)=КалендарныйГод,MONTH(АвгВс1+24)=8),АвгВс1+24,""),IF(AND(YEAR(АвгВс1+31)=КалендарныйГод,MONTH(АвгВс1+31)=8),АвгВс1+31,""))</f>
        <v>44069</v>
      </c>
      <c r="N36" s="25">
        <f>IF(DAY(АвгВс1)=1,IF(AND(YEAR(АвгВс1+25)=КалендарныйГод,MONTH(АвгВс1+25)=8),АвгВс1+25,""),IF(AND(YEAR(АвгВс1+32)=КалендарныйГод,MONTH(АвгВс1+32)=8),АвгВс1+32,""))</f>
        <v>44070</v>
      </c>
      <c r="O36" s="25">
        <f>IF(DAY(АвгВс1)=1,IF(AND(YEAR(АвгВс1+26)=КалендарныйГод,MONTH(АвгВс1+26)=8),АвгВс1+26,""),IF(AND(YEAR(АвгВс1+33)=КалендарныйГод,MONTH(АвгВс1+33)=8),АвгВс1+33,""))</f>
        <v>44071</v>
      </c>
      <c r="P36" s="25">
        <f>IF(DAY(АвгВс1)=1,IF(AND(YEAR(АвгВс1+27)=КалендарныйГод,MONTH(АвгВс1+27)=8),АвгВс1+27,""),IF(AND(YEAR(АвгВс1+34)=КалендарныйГод,MONTH(АвгВс1+34)=8),АвгВс1+34,""))</f>
        <v>44072</v>
      </c>
      <c r="Q36" s="25">
        <f>IF(DAY(АвгВс1)=1,IF(AND(YEAR(АвгВс1+28)=КалендарныйГод,MONTH(АвгВс1+28)=8),АвгВс1+28,""),IF(AND(YEAR(АвгВс1+35)=КалендарныйГод,MONTH(АвгВс1+35)=8),АвгВс1+35,""))</f>
        <v>44073</v>
      </c>
      <c r="S36" s="23"/>
      <c r="U36" s="10"/>
      <c r="V36" s="29"/>
      <c r="W36" s="29"/>
    </row>
    <row r="37" spans="1:23" ht="15" customHeight="1" x14ac:dyDescent="0.2">
      <c r="C37" s="25" t="str">
        <f>IF(DAY(ИюлВс1)=1,IF(AND(YEAR(ИюлВс1+29)=КалендарныйГод,MONTH(ИюлВс1+29)=7),ИюлВс1+29,""),IF(AND(YEAR(ИюлВс1+36)=КалендарныйГод,MONTH(ИюлВс1+36)=7),ИюлВс1+36,""))</f>
        <v/>
      </c>
      <c r="D37" s="25" t="str">
        <f>IF(DAY(ИюлВс1)=1,IF(AND(YEAR(ИюлВс1+30)=КалендарныйГод,MONTH(ИюлВс1+30)=7),ИюлВс1+30,""),IF(AND(YEAR(ИюлВс1+37)=КалендарныйГод,MONTH(ИюлВс1+37)=7),ИюлВс1+37,""))</f>
        <v/>
      </c>
      <c r="E37" s="25" t="str">
        <f>IF(DAY(ИюлВс1)=1,IF(AND(YEAR(ИюлВс1+31)=КалендарныйГод,MONTH(ИюлВс1+31)=7),ИюлВс1+31,""),IF(AND(YEAR(ИюлВс1+38)=КалендарныйГод,MONTH(ИюлВс1+38)=7),ИюлВс1+38,""))</f>
        <v/>
      </c>
      <c r="F37" s="25" t="str">
        <f>IF(DAY(ИюлВс1)=1,IF(AND(YEAR(ИюлВс1+32)=КалендарныйГод,MONTH(ИюлВс1+32)=7),ИюлВс1+32,""),IF(AND(YEAR(ИюлВс1+39)=КалендарныйГод,MONTH(ИюлВс1+39)=7),ИюлВс1+39,""))</f>
        <v/>
      </c>
      <c r="G37" s="25" t="str">
        <f>IF(DAY(ИюлВс1)=1,IF(AND(YEAR(ИюлВс1+33)=КалендарныйГод,MONTH(ИюлВс1+33)=7),ИюлВс1+33,""),IF(AND(YEAR(ИюлВс1+40)=КалендарныйГод,MONTH(ИюлВс1+40)=7),ИюлВс1+40,""))</f>
        <v/>
      </c>
      <c r="H37" s="25" t="str">
        <f>IF(DAY(ИюлВс1)=1,IF(AND(YEAR(ИюлВс1+34)=КалендарныйГод,MONTH(ИюлВс1+34)=7),ИюлВс1+34,""),IF(AND(YEAR(ИюлВс1+41)=КалендарныйГод,MONTH(ИюлВс1+41)=7),ИюлВс1+41,""))</f>
        <v/>
      </c>
      <c r="I37" s="25" t="str">
        <f>IF(DAY(ИюлВс1)=1,IF(AND(YEAR(ИюлВс1+35)=КалендарныйГод,MONTH(ИюлВс1+35)=7),ИюлВс1+35,""),IF(AND(YEAR(ИюлВс1+42)=КалендарныйГод,MONTH(ИюлВс1+42)=7),ИюлВс1+42,""))</f>
        <v/>
      </c>
      <c r="K37" s="25">
        <f>IF(DAY(АвгВс1)=1,IF(AND(YEAR(АвгВс1+29)=КалендарныйГод,MONTH(АвгВс1+29)=8),АвгВс1+29,""),IF(AND(YEAR(АвгВс1+36)=КалендарныйГод,MONTH(АвгВс1+36)=8),АвгВс1+36,""))</f>
        <v>44074</v>
      </c>
      <c r="L37" s="25" t="str">
        <f>IF(DAY(АвгВс1)=1,IF(AND(YEAR(АвгВс1+30)=КалендарныйГод,MONTH(АвгВс1+30)=8),АвгВс1+30,""),IF(AND(YEAR(АвгВс1+37)=КалендарныйГод,MONTH(АвгВс1+37)=8),АвгВс1+37,""))</f>
        <v/>
      </c>
      <c r="M37" s="25" t="str">
        <f>IF(DAY(АвгВс1)=1,IF(AND(YEAR(АвгВс1+31)=КалендарныйГод,MONTH(АвгВс1+31)=8),АвгВс1+31,""),IF(AND(YEAR(АвгВс1+38)=КалендарныйГод,MONTH(АвгВс1+38)=8),АвгВс1+38,""))</f>
        <v/>
      </c>
      <c r="N37" s="25" t="str">
        <f>IF(DAY(АвгВс1)=1,IF(AND(YEAR(АвгВс1+32)=КалендарныйГод,MONTH(АвгВс1+32)=8),АвгВс1+32,""),IF(AND(YEAR(АвгВс1+39)=КалендарныйГод,MONTH(АвгВс1+39)=8),АвгВс1+39,""))</f>
        <v/>
      </c>
      <c r="O37" s="25" t="str">
        <f>IF(DAY(АвгВс1)=1,IF(AND(YEAR(АвгВс1+33)=КалендарныйГод,MONTH(АвгВс1+33)=8),АвгВс1+33,""),IF(AND(YEAR(АвгВс1+40)=КалендарныйГод,MONTH(АвгВс1+40)=8),АвгВс1+40,""))</f>
        <v/>
      </c>
      <c r="P37" s="25" t="str">
        <f>IF(DAY(АвгВс1)=1,IF(AND(YEAR(АвгВс1+34)=КалендарныйГод,MONTH(АвгВс1+34)=8),АвгВс1+34,""),IF(AND(YEAR(АвгВс1+41)=КалендарныйГод,MONTH(АвгВс1+41)=8),АвгВс1+41,""))</f>
        <v/>
      </c>
      <c r="Q37" s="25" t="str">
        <f>IF(DAY(АвгВс1)=1,IF(AND(YEAR(АвгВс1+35)=КалендарныйГод,MONTH(АвгВс1+35)=8),АвгВс1+35,""),IF(AND(YEAR(АвгВс1+42)=КалендарныйГод,MONTH(АвгВс1+42)=8),АвгВс1+42,""))</f>
        <v/>
      </c>
      <c r="S37" s="23"/>
      <c r="U37" s="3"/>
      <c r="V37" s="29"/>
      <c r="W37" s="29"/>
    </row>
    <row r="38" spans="1:23" ht="15" customHeight="1" x14ac:dyDescent="0.2">
      <c r="C38" s="21"/>
      <c r="D38" s="21"/>
      <c r="E38" s="21"/>
      <c r="F38" s="21"/>
      <c r="G38" s="21"/>
      <c r="H38" s="21"/>
      <c r="I38" s="21"/>
      <c r="K38" s="21"/>
      <c r="L38" s="21"/>
      <c r="M38" s="21"/>
      <c r="N38" s="21"/>
      <c r="O38" s="21"/>
      <c r="P38" s="21"/>
      <c r="Q38" s="21"/>
      <c r="S38" s="23"/>
      <c r="U38" s="2"/>
      <c r="V38" s="29"/>
      <c r="W38" s="29"/>
    </row>
    <row r="39" spans="1:23" ht="15" customHeight="1" x14ac:dyDescent="0.2">
      <c r="A39" s="18" t="s">
        <v>16</v>
      </c>
      <c r="C39" s="27" t="s">
        <v>30</v>
      </c>
      <c r="D39" s="27"/>
      <c r="E39" s="27"/>
      <c r="F39" s="27"/>
      <c r="G39" s="27"/>
      <c r="H39" s="27"/>
      <c r="I39" s="27"/>
      <c r="K39" s="27" t="s">
        <v>42</v>
      </c>
      <c r="L39" s="27"/>
      <c r="M39" s="27"/>
      <c r="N39" s="27"/>
      <c r="O39" s="27"/>
      <c r="P39" s="27"/>
      <c r="Q39" s="27"/>
      <c r="S39" s="23"/>
      <c r="U39" s="10"/>
      <c r="V39" s="29"/>
      <c r="W39" s="29"/>
    </row>
    <row r="40" spans="1:23" ht="15" customHeight="1" x14ac:dyDescent="0.2">
      <c r="A40" s="18" t="s">
        <v>17</v>
      </c>
      <c r="C40" s="11" t="s">
        <v>26</v>
      </c>
      <c r="D40" s="11" t="s">
        <v>32</v>
      </c>
      <c r="E40" s="11" t="s">
        <v>33</v>
      </c>
      <c r="F40" s="11" t="s">
        <v>34</v>
      </c>
      <c r="G40" s="11" t="s">
        <v>35</v>
      </c>
      <c r="H40" s="11" t="s">
        <v>36</v>
      </c>
      <c r="I40" s="11" t="s">
        <v>37</v>
      </c>
      <c r="K40" s="11" t="s">
        <v>26</v>
      </c>
      <c r="L40" s="11" t="s">
        <v>32</v>
      </c>
      <c r="M40" s="11" t="s">
        <v>33</v>
      </c>
      <c r="N40" s="11" t="s">
        <v>34</v>
      </c>
      <c r="O40" s="11" t="s">
        <v>35</v>
      </c>
      <c r="P40" s="11" t="s">
        <v>36</v>
      </c>
      <c r="Q40" s="11" t="s">
        <v>37</v>
      </c>
      <c r="S40" s="23"/>
      <c r="U40" s="3"/>
      <c r="V40" s="29"/>
      <c r="W40" s="29"/>
    </row>
    <row r="41" spans="1:23" ht="15" customHeight="1" x14ac:dyDescent="0.2">
      <c r="C41" s="25" t="str">
        <f>IF(DAY(СенВс1)=1,"",IF(AND(YEAR(СенВс1+1)=КалендарныйГод,MONTH(СенВс1+1)=9),СенВс1+1,""))</f>
        <v/>
      </c>
      <c r="D41" s="25">
        <f>IF(DAY(СенВс1)=1,"",IF(AND(YEAR(СенВс1+2)=КалендарныйГод,MONTH(СенВс1+2)=9),СенВс1+2,""))</f>
        <v>44075</v>
      </c>
      <c r="E41" s="25">
        <f>IF(DAY(СенВс1)=1,"",IF(AND(YEAR(СенВс1+3)=КалендарныйГод,MONTH(СенВс1+3)=9),СенВс1+3,""))</f>
        <v>44076</v>
      </c>
      <c r="F41" s="25">
        <f>IF(DAY(СенВс1)=1,"",IF(AND(YEAR(СенВс1+4)=КалендарныйГод,MONTH(СенВс1+4)=9),СенВс1+4,""))</f>
        <v>44077</v>
      </c>
      <c r="G41" s="25">
        <f>IF(DAY(СенВс1)=1,"",IF(AND(YEAR(СенВс1+5)=КалендарныйГод,MONTH(СенВс1+5)=9),СенВс1+5,""))</f>
        <v>44078</v>
      </c>
      <c r="H41" s="25">
        <f>IF(DAY(СенВс1)=1,"",IF(AND(YEAR(СенВс1+6)=КалендарныйГод,MONTH(СенВс1+6)=9),СенВс1+6,""))</f>
        <v>44079</v>
      </c>
      <c r="I41" s="25">
        <f>IF(DAY(СенВс1)=1,IF(AND(YEAR(СенВс1)=КалендарныйГод,MONTH(СенВс1)=9),СенВс1,""),IF(AND(YEAR(СенВс1+7)=КалендарныйГод,MONTH(СенВс1+7)=9),СенВс1+7,""))</f>
        <v>44080</v>
      </c>
      <c r="K41" s="25" t="str">
        <f>IF(DAY(ОктВс1)=1,"",IF(AND(YEAR(ОктВс1+1)=КалендарныйГод,MONTH(ОктВс1+1)=10),ОктВс1+1,""))</f>
        <v/>
      </c>
      <c r="L41" s="25" t="str">
        <f>IF(DAY(ОктВс1)=1,"",IF(AND(YEAR(ОктВс1+2)=КалендарныйГод,MONTH(ОктВс1+2)=10),ОктВс1+2,""))</f>
        <v/>
      </c>
      <c r="M41" s="25" t="str">
        <f>IF(DAY(ОктВс1)=1,"",IF(AND(YEAR(ОктВс1+3)=КалендарныйГод,MONTH(ОктВс1+3)=10),ОктВс1+3,""))</f>
        <v/>
      </c>
      <c r="N41" s="25">
        <f>IF(DAY(ОктВс1)=1,"",IF(AND(YEAR(ОктВс1+4)=КалендарныйГод,MONTH(ОктВс1+4)=10),ОктВс1+4,""))</f>
        <v>44105</v>
      </c>
      <c r="O41" s="25">
        <f>IF(DAY(ОктВс1)=1,"",IF(AND(YEAR(ОктВс1+5)=КалендарныйГод,MONTH(ОктВс1+5)=10),ОктВс1+5,""))</f>
        <v>44106</v>
      </c>
      <c r="P41" s="25">
        <f>IF(DAY(ОктВс1)=1,"",IF(AND(YEAR(ОктВс1+6)=КалендарныйГод,MONTH(ОктВс1+6)=10),ОктВс1+6,""))</f>
        <v>44107</v>
      </c>
      <c r="Q41" s="25">
        <f>IF(DAY(ОктВс1)=1,IF(AND(YEAR(ОктВс1)=КалендарныйГод,MONTH(ОктВс1)=10),ОктВс1,""),IF(AND(YEAR(ОктВс1+7)=КалендарныйГод,MONTH(ОктВс1+7)=10),ОктВс1+7,""))</f>
        <v>44108</v>
      </c>
      <c r="S41" s="23"/>
      <c r="U41" s="2"/>
      <c r="V41" s="29"/>
      <c r="W41" s="29"/>
    </row>
    <row r="42" spans="1:23" ht="15" customHeight="1" x14ac:dyDescent="0.2">
      <c r="C42" s="25">
        <f>IF(DAY(СенВс1)=1,IF(AND(YEAR(СенВс1+1)=КалендарныйГод,MONTH(СенВс1+1)=9),СенВс1+1,""),IF(AND(YEAR(СенВс1+8)=КалендарныйГод,MONTH(СенВс1+8)=9),СенВс1+8,""))</f>
        <v>44081</v>
      </c>
      <c r="D42" s="25">
        <f>IF(DAY(СенВс1)=1,IF(AND(YEAR(СенВс1+2)=КалендарныйГод,MONTH(СенВс1+2)=9),СенВс1+2,""),IF(AND(YEAR(СенВс1+9)=КалендарныйГод,MONTH(СенВс1+9)=9),СенВс1+9,""))</f>
        <v>44082</v>
      </c>
      <c r="E42" s="25">
        <f>IF(DAY(СенВс1)=1,IF(AND(YEAR(СенВс1+3)=КалендарныйГод,MONTH(СенВс1+3)=9),СенВс1+3,""),IF(AND(YEAR(СенВс1+10)=КалендарныйГод,MONTH(СенВс1+10)=9),СенВс1+10,""))</f>
        <v>44083</v>
      </c>
      <c r="F42" s="25">
        <f>IF(DAY(СенВс1)=1,IF(AND(YEAR(СенВс1+4)=КалендарныйГод,MONTH(СенВс1+4)=9),СенВс1+4,""),IF(AND(YEAR(СенВс1+11)=КалендарныйГод,MONTH(СенВс1+11)=9),СенВс1+11,""))</f>
        <v>44084</v>
      </c>
      <c r="G42" s="25">
        <f>IF(DAY(СенВс1)=1,IF(AND(YEAR(СенВс1+5)=КалендарныйГод,MONTH(СенВс1+5)=9),СенВс1+5,""),IF(AND(YEAR(СенВс1+12)=КалендарныйГод,MONTH(СенВс1+12)=9),СенВс1+12,""))</f>
        <v>44085</v>
      </c>
      <c r="H42" s="25">
        <f>IF(DAY(СенВс1)=1,IF(AND(YEAR(СенВс1+6)=КалендарныйГод,MONTH(СенВс1+6)=9),СенВс1+6,""),IF(AND(YEAR(СенВс1+13)=КалендарныйГод,MONTH(СенВс1+13)=9),СенВс1+13,""))</f>
        <v>44086</v>
      </c>
      <c r="I42" s="25">
        <f>IF(DAY(СенВс1)=1,IF(AND(YEAR(СенВс1+7)=КалендарныйГод,MONTH(СенВс1+7)=9),СенВс1+7,""),IF(AND(YEAR(СенВс1+14)=КалендарныйГод,MONTH(СенВс1+14)=9),СенВс1+14,""))</f>
        <v>44087</v>
      </c>
      <c r="K42" s="25">
        <f>IF(DAY(ОктВс1)=1,IF(AND(YEAR(ОктВс1+1)=КалендарныйГод,MONTH(ОктВс1+1)=10),ОктВс1+1,""),IF(AND(YEAR(ОктВс1+8)=КалендарныйГод,MONTH(ОктВс1+8)=10),ОктВс1+8,""))</f>
        <v>44109</v>
      </c>
      <c r="L42" s="25">
        <f>IF(DAY(ОктВс1)=1,IF(AND(YEAR(ОктВс1+2)=КалендарныйГод,MONTH(ОктВс1+2)=10),ОктВс1+2,""),IF(AND(YEAR(ОктВс1+9)=КалендарныйГод,MONTH(ОктВс1+9)=10),ОктВс1+9,""))</f>
        <v>44110</v>
      </c>
      <c r="M42" s="25">
        <f>IF(DAY(ОктВс1)=1,IF(AND(YEAR(ОктВс1+3)=КалендарныйГод,MONTH(ОктВс1+3)=10),ОктВс1+3,""),IF(AND(YEAR(ОктВс1+10)=КалендарныйГод,MONTH(ОктВс1+10)=10),ОктВс1+10,""))</f>
        <v>44111</v>
      </c>
      <c r="N42" s="25">
        <f>IF(DAY(ОктВс1)=1,IF(AND(YEAR(ОктВс1+4)=КалендарныйГод,MONTH(ОктВс1+4)=10),ОктВс1+4,""),IF(AND(YEAR(ОктВс1+11)=КалендарныйГод,MONTH(ОктВс1+11)=10),ОктВс1+11,""))</f>
        <v>44112</v>
      </c>
      <c r="O42" s="25">
        <f>IF(DAY(ОктВс1)=1,IF(AND(YEAR(ОктВс1+5)=КалендарныйГод,MONTH(ОктВс1+5)=10),ОктВс1+5,""),IF(AND(YEAR(ОктВс1+12)=КалендарныйГод,MONTH(ОктВс1+12)=10),ОктВс1+12,""))</f>
        <v>44113</v>
      </c>
      <c r="P42" s="25">
        <f>IF(DAY(ОктВс1)=1,IF(AND(YEAR(ОктВс1+6)=КалендарныйГод,MONTH(ОктВс1+6)=10),ОктВс1+6,""),IF(AND(YEAR(ОктВс1+13)=КалендарныйГод,MONTH(ОктВс1+13)=10),ОктВс1+13,""))</f>
        <v>44114</v>
      </c>
      <c r="Q42" s="25">
        <f>IF(DAY(ОктВс1)=1,IF(AND(YEAR(ОктВс1+7)=КалендарныйГод,MONTH(ОктВс1+7)=10),ОктВс1+7,""),IF(AND(YEAR(ОктВс1+14)=КалендарныйГод,MONTH(ОктВс1+14)=10),ОктВс1+14,""))</f>
        <v>44115</v>
      </c>
      <c r="S42" s="23"/>
      <c r="U42" s="10"/>
      <c r="V42" s="29"/>
      <c r="W42" s="29"/>
    </row>
    <row r="43" spans="1:23" ht="15" customHeight="1" x14ac:dyDescent="0.2">
      <c r="C43" s="25">
        <f>IF(DAY(СенВс1)=1,IF(AND(YEAR(СенВс1+8)=КалендарныйГод,MONTH(СенВс1+8)=9),СенВс1+8,""),IF(AND(YEAR(СенВс1+15)=КалендарныйГод,MONTH(СенВс1+15)=9),СенВс1+15,""))</f>
        <v>44088</v>
      </c>
      <c r="D43" s="25">
        <f>IF(DAY(СенВс1)=1,IF(AND(YEAR(СенВс1+9)=КалендарныйГод,MONTH(СенВс1+9)=9),СенВс1+9,""),IF(AND(YEAR(СенВс1+16)=КалендарныйГод,MONTH(СенВс1+16)=9),СенВс1+16,""))</f>
        <v>44089</v>
      </c>
      <c r="E43" s="25">
        <f>IF(DAY(СенВс1)=1,IF(AND(YEAR(СенВс1+10)=КалендарныйГод,MONTH(СенВс1+10)=9),СенВс1+10,""),IF(AND(YEAR(СенВс1+17)=КалендарныйГод,MONTH(СенВс1+17)=9),СенВс1+17,""))</f>
        <v>44090</v>
      </c>
      <c r="F43" s="25">
        <f>IF(DAY(СенВс1)=1,IF(AND(YEAR(СенВс1+11)=КалендарныйГод,MONTH(СенВс1+11)=9),СенВс1+11,""),IF(AND(YEAR(СенВс1+18)=КалендарныйГод,MONTH(СенВс1+18)=9),СенВс1+18,""))</f>
        <v>44091</v>
      </c>
      <c r="G43" s="25">
        <f>IF(DAY(СенВс1)=1,IF(AND(YEAR(СенВс1+12)=КалендарныйГод,MONTH(СенВс1+12)=9),СенВс1+12,""),IF(AND(YEAR(СенВс1+19)=КалендарныйГод,MONTH(СенВс1+19)=9),СенВс1+19,""))</f>
        <v>44092</v>
      </c>
      <c r="H43" s="25">
        <f>IF(DAY(СенВс1)=1,IF(AND(YEAR(СенВс1+13)=КалендарныйГод,MONTH(СенВс1+13)=9),СенВс1+13,""),IF(AND(YEAR(СенВс1+20)=КалендарныйГод,MONTH(СенВс1+20)=9),СенВс1+20,""))</f>
        <v>44093</v>
      </c>
      <c r="I43" s="25">
        <f>IF(DAY(СенВс1)=1,IF(AND(YEAR(СенВс1+14)=КалендарныйГод,MONTH(СенВс1+14)=9),СенВс1+14,""),IF(AND(YEAR(СенВс1+21)=КалендарныйГод,MONTH(СенВс1+21)=9),СенВс1+21,""))</f>
        <v>44094</v>
      </c>
      <c r="K43" s="25">
        <f>IF(DAY(ОктВс1)=1,IF(AND(YEAR(ОктВс1+8)=КалендарныйГод,MONTH(ОктВс1+8)=10),ОктВс1+8,""),IF(AND(YEAR(ОктВс1+15)=КалендарныйГод,MONTH(ОктВс1+15)=10),ОктВс1+15,""))</f>
        <v>44116</v>
      </c>
      <c r="L43" s="25">
        <f>IF(DAY(ОктВс1)=1,IF(AND(YEAR(ОктВс1+9)=КалендарныйГод,MONTH(ОктВс1+9)=10),ОктВс1+9,""),IF(AND(YEAR(ОктВс1+16)=КалендарныйГод,MONTH(ОктВс1+16)=10),ОктВс1+16,""))</f>
        <v>44117</v>
      </c>
      <c r="M43" s="25">
        <f>IF(DAY(ОктВс1)=1,IF(AND(YEAR(ОктВс1+10)=КалендарныйГод,MONTH(ОктВс1+10)=10),ОктВс1+10,""),IF(AND(YEAR(ОктВс1+17)=КалендарныйГод,MONTH(ОктВс1+17)=10),ОктВс1+17,""))</f>
        <v>44118</v>
      </c>
      <c r="N43" s="25">
        <f>IF(DAY(ОктВс1)=1,IF(AND(YEAR(ОктВс1+11)=КалендарныйГод,MONTH(ОктВс1+11)=10),ОктВс1+11,""),IF(AND(YEAR(ОктВс1+18)=КалендарныйГод,MONTH(ОктВс1+18)=10),ОктВс1+18,""))</f>
        <v>44119</v>
      </c>
      <c r="O43" s="25">
        <f>IF(DAY(ОктВс1)=1,IF(AND(YEAR(ОктВс1+12)=КалендарныйГод,MONTH(ОктВс1+12)=10),ОктВс1+12,""),IF(AND(YEAR(ОктВс1+19)=КалендарныйГод,MONTH(ОктВс1+19)=10),ОктВс1+19,""))</f>
        <v>44120</v>
      </c>
      <c r="P43" s="25">
        <f>IF(DAY(ОктВс1)=1,IF(AND(YEAR(ОктВс1+13)=КалендарныйГод,MONTH(ОктВс1+13)=10),ОктВс1+13,""),IF(AND(YEAR(ОктВс1+20)=КалендарныйГод,MONTH(ОктВс1+20)=10),ОктВс1+20,""))</f>
        <v>44121</v>
      </c>
      <c r="Q43" s="25">
        <f>IF(DAY(ОктВс1)=1,IF(AND(YEAR(ОктВс1+14)=КалендарныйГод,MONTH(ОктВс1+14)=10),ОктВс1+14,""),IF(AND(YEAR(ОктВс1+21)=КалендарныйГод,MONTH(ОктВс1+21)=10),ОктВс1+21,""))</f>
        <v>44122</v>
      </c>
      <c r="S43" s="23"/>
      <c r="U43" s="3"/>
      <c r="V43" s="29"/>
      <c r="W43" s="29"/>
    </row>
    <row r="44" spans="1:23" ht="15" customHeight="1" x14ac:dyDescent="0.2">
      <c r="A44" s="18" t="s">
        <v>18</v>
      </c>
      <c r="C44" s="25">
        <f>IF(DAY(СенВс1)=1,IF(AND(YEAR(СенВс1+15)=КалендарныйГод,MONTH(СенВс1+15)=9),СенВс1+15,""),IF(AND(YEAR(СенВс1+22)=КалендарныйГод,MONTH(СенВс1+22)=9),СенВс1+22,""))</f>
        <v>44095</v>
      </c>
      <c r="D44" s="25">
        <f>IF(DAY(СенВс1)=1,IF(AND(YEAR(СенВс1+16)=КалендарныйГод,MONTH(СенВс1+16)=9),СенВс1+16,""),IF(AND(YEAR(СенВс1+23)=КалендарныйГод,MONTH(СенВс1+23)=9),СенВс1+23,""))</f>
        <v>44096</v>
      </c>
      <c r="E44" s="25">
        <f>IF(DAY(СенВс1)=1,IF(AND(YEAR(СенВс1+17)=КалендарныйГод,MONTH(СенВс1+17)=9),СенВс1+17,""),IF(AND(YEAR(СенВс1+24)=КалендарныйГод,MONTH(СенВс1+24)=9),СенВс1+24,""))</f>
        <v>44097</v>
      </c>
      <c r="F44" s="25">
        <f>IF(DAY(СенВс1)=1,IF(AND(YEAR(СенВс1+18)=КалендарныйГод,MONTH(СенВс1+18)=9),СенВс1+18,""),IF(AND(YEAR(СенВс1+25)=КалендарныйГод,MONTH(СенВс1+25)=9),СенВс1+25,""))</f>
        <v>44098</v>
      </c>
      <c r="G44" s="25">
        <f>IF(DAY(СенВс1)=1,IF(AND(YEAR(СенВс1+19)=КалендарныйГод,MONTH(СенВс1+19)=9),СенВс1+19,""),IF(AND(YEAR(СенВс1+26)=КалендарныйГод,MONTH(СенВс1+26)=9),СенВс1+26,""))</f>
        <v>44099</v>
      </c>
      <c r="H44" s="25">
        <f>IF(DAY(СенВс1)=1,IF(AND(YEAR(СенВс1+20)=КалендарныйГод,MONTH(СенВс1+20)=9),СенВс1+20,""),IF(AND(YEAR(СенВс1+27)=КалендарныйГод,MONTH(СенВс1+27)=9),СенВс1+27,""))</f>
        <v>44100</v>
      </c>
      <c r="I44" s="25">
        <f>IF(DAY(СенВс1)=1,IF(AND(YEAR(СенВс1+21)=КалендарныйГод,MONTH(СенВс1+21)=9),СенВс1+21,""),IF(AND(YEAR(СенВс1+28)=КалендарныйГод,MONTH(СенВс1+28)=9),СенВс1+28,""))</f>
        <v>44101</v>
      </c>
      <c r="K44" s="25">
        <f>IF(DAY(ОктВс1)=1,IF(AND(YEAR(ОктВс1+15)=КалендарныйГод,MONTH(ОктВс1+15)=10),ОктВс1+15,""),IF(AND(YEAR(ОктВс1+22)=КалендарныйГод,MONTH(ОктВс1+22)=10),ОктВс1+22,""))</f>
        <v>44123</v>
      </c>
      <c r="L44" s="25">
        <f>IF(DAY(ОктВс1)=1,IF(AND(YEAR(ОктВс1+16)=КалендарныйГод,MONTH(ОктВс1+16)=10),ОктВс1+16,""),IF(AND(YEAR(ОктВс1+23)=КалендарныйГод,MONTH(ОктВс1+23)=10),ОктВс1+23,""))</f>
        <v>44124</v>
      </c>
      <c r="M44" s="25">
        <f>IF(DAY(ОктВс1)=1,IF(AND(YEAR(ОктВс1+17)=КалендарныйГод,MONTH(ОктВс1+17)=10),ОктВс1+17,""),IF(AND(YEAR(ОктВс1+24)=КалендарныйГод,MONTH(ОктВс1+24)=10),ОктВс1+24,""))</f>
        <v>44125</v>
      </c>
      <c r="N44" s="25">
        <f>IF(DAY(ОктВс1)=1,IF(AND(YEAR(ОктВс1+18)=КалендарныйГод,MONTH(ОктВс1+18)=10),ОктВс1+18,""),IF(AND(YEAR(ОктВс1+25)=КалендарныйГод,MONTH(ОктВс1+25)=10),ОктВс1+25,""))</f>
        <v>44126</v>
      </c>
      <c r="O44" s="25">
        <f>IF(DAY(ОктВс1)=1,IF(AND(YEAR(ОктВс1+19)=КалендарныйГод,MONTH(ОктВс1+19)=10),ОктВс1+19,""),IF(AND(YEAR(ОктВс1+26)=КалендарныйГод,MONTH(ОктВс1+26)=10),ОктВс1+26,""))</f>
        <v>44127</v>
      </c>
      <c r="P44" s="25">
        <f>IF(DAY(ОктВс1)=1,IF(AND(YEAR(ОктВс1+20)=КалендарныйГод,MONTH(ОктВс1+20)=10),ОктВс1+20,""),IF(AND(YEAR(ОктВс1+27)=КалендарныйГод,MONTH(ОктВс1+27)=10),ОктВс1+27,""))</f>
        <v>44128</v>
      </c>
      <c r="Q44" s="25">
        <f>IF(DAY(ОктВс1)=1,IF(AND(YEAR(ОктВс1+21)=КалендарныйГод,MONTH(ОктВс1+21)=10),ОктВс1+21,""),IF(AND(YEAR(ОктВс1+28)=КалендарныйГод,MONTH(ОктВс1+28)=10),ОктВс1+28,""))</f>
        <v>44129</v>
      </c>
      <c r="S44" s="23"/>
      <c r="U44" s="8" t="s">
        <v>51</v>
      </c>
      <c r="V44" s="29"/>
      <c r="W44" s="29"/>
    </row>
    <row r="45" spans="1:23" ht="15" customHeight="1" x14ac:dyDescent="0.2">
      <c r="A45" s="18" t="s">
        <v>19</v>
      </c>
      <c r="C45" s="25">
        <f>IF(DAY(СенВс1)=1,IF(AND(YEAR(СенВс1+22)=КалендарныйГод,MONTH(СенВс1+22)=9),СенВс1+22,""),IF(AND(YEAR(СенВс1+29)=КалендарныйГод,MONTH(СенВс1+29)=9),СенВс1+29,""))</f>
        <v>44102</v>
      </c>
      <c r="D45" s="25">
        <f>IF(DAY(СенВс1)=1,IF(AND(YEAR(СенВс1+23)=КалендарныйГод,MONTH(СенВс1+23)=9),СенВс1+23,""),IF(AND(YEAR(СенВс1+30)=КалендарныйГод,MONTH(СенВс1+30)=9),СенВс1+30,""))</f>
        <v>44103</v>
      </c>
      <c r="E45" s="25">
        <f>IF(DAY(СенВс1)=1,IF(AND(YEAR(СенВс1+24)=КалендарныйГод,MONTH(СенВс1+24)=9),СенВс1+24,""),IF(AND(YEAR(СенВс1+31)=КалендарныйГод,MONTH(СенВс1+31)=9),СенВс1+31,""))</f>
        <v>44104</v>
      </c>
      <c r="F45" s="25" t="str">
        <f>IF(DAY(СенВс1)=1,IF(AND(YEAR(СенВс1+25)=КалендарныйГод,MONTH(СенВс1+25)=9),СенВс1+25,""),IF(AND(YEAR(СенВс1+32)=КалендарныйГод,MONTH(СенВс1+32)=9),СенВс1+32,""))</f>
        <v/>
      </c>
      <c r="G45" s="25" t="str">
        <f>IF(DAY(СенВс1)=1,IF(AND(YEAR(СенВс1+26)=КалендарныйГод,MONTH(СенВс1+26)=9),СенВс1+26,""),IF(AND(YEAR(СенВс1+33)=КалендарныйГод,MONTH(СенВс1+33)=9),СенВс1+33,""))</f>
        <v/>
      </c>
      <c r="H45" s="25" t="str">
        <f>IF(DAY(СенВс1)=1,IF(AND(YEAR(СенВс1+27)=КалендарныйГод,MONTH(СенВс1+27)=9),СенВс1+27,""),IF(AND(YEAR(СенВс1+34)=КалендарныйГод,MONTH(СенВс1+34)=9),СенВс1+34,""))</f>
        <v/>
      </c>
      <c r="I45" s="25" t="str">
        <f>IF(DAY(СенВс1)=1,IF(AND(YEAR(СенВс1+28)=КалендарныйГод,MONTH(СенВс1+28)=9),СенВс1+28,""),IF(AND(YEAR(СенВс1+35)=КалендарныйГод,MONTH(СенВс1+35)=9),СенВс1+35,""))</f>
        <v/>
      </c>
      <c r="K45" s="25">
        <f>IF(DAY(ОктВс1)=1,IF(AND(YEAR(ОктВс1+22)=КалендарныйГод,MONTH(ОктВс1+22)=10),ОктВс1+22,""),IF(AND(YEAR(ОктВс1+29)=КалендарныйГод,MONTH(ОктВс1+29)=10),ОктВс1+29,""))</f>
        <v>44130</v>
      </c>
      <c r="L45" s="25">
        <f>IF(DAY(ОктВс1)=1,IF(AND(YEAR(ОктВс1+23)=КалендарныйГод,MONTH(ОктВс1+23)=10),ОктВс1+23,""),IF(AND(YEAR(ОктВс1+30)=КалендарныйГод,MONTH(ОктВс1+30)=10),ОктВс1+30,""))</f>
        <v>44131</v>
      </c>
      <c r="M45" s="25">
        <f>IF(DAY(ОктВс1)=1,IF(AND(YEAR(ОктВс1+24)=КалендарныйГод,MONTH(ОктВс1+24)=10),ОктВс1+24,""),IF(AND(YEAR(ОктВс1+31)=КалендарныйГод,MONTH(ОктВс1+31)=10),ОктВс1+31,""))</f>
        <v>44132</v>
      </c>
      <c r="N45" s="25">
        <f>IF(DAY(ОктВс1)=1,IF(AND(YEAR(ОктВс1+25)=КалендарныйГод,MONTH(ОктВс1+25)=10),ОктВс1+25,""),IF(AND(YEAR(ОктВс1+32)=КалендарныйГод,MONTH(ОктВс1+32)=10),ОктВс1+32,""))</f>
        <v>44133</v>
      </c>
      <c r="O45" s="25">
        <f>IF(DAY(ОктВс1)=1,IF(AND(YEAR(ОктВс1+26)=КалендарныйГод,MONTH(ОктВс1+26)=10),ОктВс1+26,""),IF(AND(YEAR(ОктВс1+33)=КалендарныйГод,MONTH(ОктВс1+33)=10),ОктВс1+33,""))</f>
        <v>44134</v>
      </c>
      <c r="P45" s="25">
        <f>IF(DAY(ОктВс1)=1,IF(AND(YEAR(ОктВс1+27)=КалендарныйГод,MONTH(ОктВс1+27)=10),ОктВс1+27,""),IF(AND(YEAR(ОктВс1+34)=КалендарныйГод,MONTH(ОктВс1+34)=10),ОктВс1+34,""))</f>
        <v>44135</v>
      </c>
      <c r="Q45" s="25" t="str">
        <f>IF(DAY(ОктВс1)=1,IF(AND(YEAR(ОктВс1+28)=КалендарныйГод,MONTH(ОктВс1+28)=10),ОктВс1+28,""),IF(AND(YEAR(ОктВс1+35)=КалендарныйГод,MONTH(ОктВс1+35)=10),ОктВс1+35,""))</f>
        <v/>
      </c>
      <c r="S45" s="23"/>
      <c r="U45" s="9" t="s">
        <v>52</v>
      </c>
      <c r="V45" s="29"/>
      <c r="W45" s="29"/>
    </row>
    <row r="46" spans="1:23" ht="15" customHeight="1" x14ac:dyDescent="0.2">
      <c r="A46" s="18"/>
      <c r="C46" s="25" t="str">
        <f>IF(DAY(СенВс1)=1,IF(AND(YEAR(СенВс1+29)=КалендарныйГод,MONTH(СенВс1+29)=9),СенВс1+29,""),IF(AND(YEAR(СенВс1+36)=КалендарныйГод,MONTH(СенВс1+36)=9),СенВс1+36,""))</f>
        <v/>
      </c>
      <c r="D46" s="25" t="str">
        <f>IF(DAY(СенВс1)=1,IF(AND(YEAR(СенВс1+30)=КалендарныйГод,MONTH(СенВс1+30)=9),СенВс1+30,""),IF(AND(YEAR(СенВс1+37)=КалендарныйГод,MONTH(СенВс1+37)=9),СенВс1+37,""))</f>
        <v/>
      </c>
      <c r="E46" s="25" t="str">
        <f>IF(DAY(СенВс1)=1,IF(AND(YEAR(СенВс1+31)=КалендарныйГод,MONTH(СенВс1+31)=9),СенВс1+31,""),IF(AND(YEAR(СенВс1+38)=КалендарныйГод,MONTH(СенВс1+38)=9),СенВс1+38,""))</f>
        <v/>
      </c>
      <c r="F46" s="25" t="str">
        <f>IF(DAY(СенВс1)=1,IF(AND(YEAR(СенВс1+32)=КалендарныйГод,MONTH(СенВс1+32)=9),СенВс1+32,""),IF(AND(YEAR(СенВс1+39)=КалендарныйГод,MONTH(СенВс1+39)=9),СенВс1+39,""))</f>
        <v/>
      </c>
      <c r="G46" s="25" t="str">
        <f>IF(DAY(СенВс1)=1,IF(AND(YEAR(СенВс1+33)=КалендарныйГод,MONTH(СенВс1+33)=9),СенВс1+33,""),IF(AND(YEAR(СенВс1+40)=КалендарныйГод,MONTH(СенВс1+40)=9),СенВс1+40,""))</f>
        <v/>
      </c>
      <c r="H46" s="25" t="str">
        <f>IF(DAY(СенВс1)=1,IF(AND(YEAR(СенВс1+34)=КалендарныйГод,MONTH(СенВс1+34)=9),СенВс1+34,""),IF(AND(YEAR(СенВс1+41)=КалендарныйГод,MONTH(СенВс1+41)=9),СенВс1+41,""))</f>
        <v/>
      </c>
      <c r="I46" s="25" t="str">
        <f>IF(DAY(СенВс1)=1,IF(AND(YEAR(СенВс1+35)=КалендарныйГод,MONTH(СенВс1+35)=9),СенВс1+35,""),IF(AND(YEAR(СенВс1+42)=КалендарныйГод,MONTH(СенВс1+42)=9),СенВс1+42,""))</f>
        <v/>
      </c>
      <c r="K46" s="25" t="str">
        <f>IF(DAY(ОктВс1)=1,IF(AND(YEAR(ОктВс1+29)=КалендарныйГод,MONTH(ОктВс1+29)=10),ОктВс1+29,""),IF(AND(YEAR(ОктВс1+36)=КалендарныйГод,MONTH(ОктВс1+36)=10),ОктВс1+36,""))</f>
        <v/>
      </c>
      <c r="L46" s="25" t="str">
        <f>IF(DAY(ОктВс1)=1,IF(AND(YEAR(ОктВс1+30)=КалендарныйГод,MONTH(ОктВс1+30)=10),ОктВс1+30,""),IF(AND(YEAR(ОктВс1+37)=КалендарныйГод,MONTH(ОктВс1+37)=10),ОктВс1+37,""))</f>
        <v/>
      </c>
      <c r="M46" s="25" t="str">
        <f>IF(DAY(ОктВс1)=1,IF(AND(YEAR(ОктВс1+31)=КалендарныйГод,MONTH(ОктВс1+31)=10),ОктВс1+31,""),IF(AND(YEAR(ОктВс1+38)=КалендарныйГод,MONTH(ОктВс1+38)=10),ОктВс1+38,""))</f>
        <v/>
      </c>
      <c r="N46" s="25" t="str">
        <f>IF(DAY(ОктВс1)=1,IF(AND(YEAR(ОктВс1+32)=КалендарныйГод,MONTH(ОктВс1+32)=10),ОктВс1+32,""),IF(AND(YEAR(ОктВс1+39)=КалендарныйГод,MONTH(ОктВс1+39)=10),ОктВс1+39,""))</f>
        <v/>
      </c>
      <c r="O46" s="25" t="str">
        <f>IF(DAY(ОктВс1)=1,IF(AND(YEAR(ОктВс1+33)=КалендарныйГод,MONTH(ОктВс1+33)=10),ОктВс1+33,""),IF(AND(YEAR(ОктВс1+40)=КалендарныйГод,MONTH(ОктВс1+40)=10),ОктВс1+40,""))</f>
        <v/>
      </c>
      <c r="P46" s="25" t="str">
        <f>IF(DAY(ОктВс1)=1,IF(AND(YEAR(ОктВс1+34)=КалендарныйГод,MONTH(ОктВс1+34)=10),ОктВс1+34,""),IF(AND(YEAR(ОктВс1+41)=КалендарныйГод,MONTH(ОктВс1+41)=10),ОктВс1+41,""))</f>
        <v/>
      </c>
      <c r="Q46" s="25" t="str">
        <f>IF(DAY(ОктВс1)=1,IF(AND(YEAR(ОктВс1+35)=КалендарныйГод,MONTH(ОктВс1+35)=10),ОктВс1+35,""),IF(AND(YEAR(ОктВс1+42)=КалендарныйГод,MONTH(ОктВс1+42)=10),ОктВс1+42,""))</f>
        <v/>
      </c>
      <c r="S46" s="23"/>
      <c r="U46" s="9"/>
      <c r="V46" s="29"/>
      <c r="W46" s="29"/>
    </row>
    <row r="47" spans="1:23" ht="15" customHeight="1" x14ac:dyDescent="0.2">
      <c r="A47" s="18" t="s">
        <v>20</v>
      </c>
      <c r="S47" s="23"/>
      <c r="U47" s="9" t="s">
        <v>53</v>
      </c>
      <c r="V47" s="29"/>
      <c r="W47" s="29"/>
    </row>
    <row r="48" spans="1:23" ht="15" customHeight="1" x14ac:dyDescent="0.2">
      <c r="A48" s="18" t="s">
        <v>21</v>
      </c>
      <c r="C48" s="27" t="s">
        <v>31</v>
      </c>
      <c r="D48" s="27"/>
      <c r="E48" s="27"/>
      <c r="F48" s="27"/>
      <c r="G48" s="27"/>
      <c r="H48" s="27"/>
      <c r="I48" s="27"/>
      <c r="K48" s="27" t="s">
        <v>43</v>
      </c>
      <c r="L48" s="27"/>
      <c r="M48" s="27"/>
      <c r="N48" s="27"/>
      <c r="O48" s="27"/>
      <c r="P48" s="27"/>
      <c r="Q48" s="27"/>
      <c r="S48" s="23"/>
      <c r="U48" s="9" t="s">
        <v>54</v>
      </c>
      <c r="V48" s="29"/>
      <c r="W48" s="29"/>
    </row>
    <row r="49" spans="1:21" ht="15" customHeight="1" x14ac:dyDescent="0.2">
      <c r="A49" s="18" t="s">
        <v>22</v>
      </c>
      <c r="C49" s="11" t="s">
        <v>26</v>
      </c>
      <c r="D49" s="11" t="s">
        <v>32</v>
      </c>
      <c r="E49" s="11" t="s">
        <v>33</v>
      </c>
      <c r="F49" s="11" t="s">
        <v>34</v>
      </c>
      <c r="G49" s="11" t="s">
        <v>35</v>
      </c>
      <c r="H49" s="11" t="s">
        <v>36</v>
      </c>
      <c r="I49" s="11" t="s">
        <v>37</v>
      </c>
      <c r="J49" s="22"/>
      <c r="K49" s="11" t="s">
        <v>26</v>
      </c>
      <c r="L49" s="11" t="s">
        <v>32</v>
      </c>
      <c r="M49" s="11" t="s">
        <v>33</v>
      </c>
      <c r="N49" s="11" t="s">
        <v>34</v>
      </c>
      <c r="O49" s="11" t="s">
        <v>35</v>
      </c>
      <c r="P49" s="11" t="s">
        <v>36</v>
      </c>
      <c r="Q49" s="11" t="s">
        <v>37</v>
      </c>
      <c r="S49" s="23"/>
      <c r="U49" s="9" t="s">
        <v>55</v>
      </c>
    </row>
    <row r="50" spans="1:21" ht="15" customHeight="1" x14ac:dyDescent="0.2">
      <c r="A50" s="18"/>
      <c r="C50" s="25" t="str">
        <f>IF(DAY(НояВс1)=1,"",IF(AND(YEAR(НояВс1+1)=КалендарныйГод,MONTH(НояВс1+1)=11),НояВс1+1,""))</f>
        <v/>
      </c>
      <c r="D50" s="25" t="str">
        <f>IF(DAY(НояВс1)=1,"",IF(AND(YEAR(НояВс1+2)=КалендарныйГод,MONTH(НояВс1+2)=11),НояВс1+2,""))</f>
        <v/>
      </c>
      <c r="E50" s="25" t="str">
        <f>IF(DAY(НояВс1)=1,"",IF(AND(YEAR(НояВс1+3)=КалендарныйГод,MONTH(НояВс1+3)=11),НояВс1+3,""))</f>
        <v/>
      </c>
      <c r="F50" s="25" t="str">
        <f>IF(DAY(НояВс1)=1,"",IF(AND(YEAR(НояВс1+4)=КалендарныйГод,MONTH(НояВс1+4)=11),НояВс1+4,""))</f>
        <v/>
      </c>
      <c r="G50" s="25" t="str">
        <f>IF(DAY(НояВс1)=1,"",IF(AND(YEAR(НояВс1+5)=КалендарныйГод,MONTH(НояВс1+5)=11),НояВс1+5,""))</f>
        <v/>
      </c>
      <c r="H50" s="25" t="str">
        <f>IF(DAY(НояВс1)=1,"",IF(AND(YEAR(НояВс1+6)=КалендарныйГод,MONTH(НояВс1+6)=11),НояВс1+6,""))</f>
        <v/>
      </c>
      <c r="I50" s="25">
        <f>IF(DAY(НояВс1)=1,IF(AND(YEAR(НояВс1)=КалендарныйГод,MONTH(НояВс1)=11),НояВс1,""),IF(AND(YEAR(НояВс1+7)=КалендарныйГод,MONTH(НояВс1+7)=11),НояВс1+7,""))</f>
        <v>44136</v>
      </c>
      <c r="K50" s="25" t="str">
        <f>IF(DAY(ДекВс1)=1,"",IF(AND(YEAR(ДекВс1+1)=КалендарныйГод,MONTH(ДекВс1+1)=12),ДекВс1+1,""))</f>
        <v/>
      </c>
      <c r="L50" s="25">
        <f>IF(DAY(ДекВс1)=1,"",IF(AND(YEAR(ДекВс1+2)=КалендарныйГод,MONTH(ДекВс1+2)=12),ДекВс1+2,""))</f>
        <v>44166</v>
      </c>
      <c r="M50" s="25">
        <f>IF(DAY(ДекВс1)=1,"",IF(AND(YEAR(ДекВс1+3)=КалендарныйГод,MONTH(ДекВс1+3)=12),ДекВс1+3,""))</f>
        <v>44167</v>
      </c>
      <c r="N50" s="25">
        <f>IF(DAY(ДекВс1)=1,"",IF(AND(YEAR(ДекВс1+4)=КалендарныйГод,MONTH(ДекВс1+4)=12),ДекВс1+4,""))</f>
        <v>44168</v>
      </c>
      <c r="O50" s="25">
        <f>IF(DAY(ДекВс1)=1,"",IF(AND(YEAR(ДекВс1+5)=КалендарныйГод,MONTH(ДекВс1+5)=12),ДекВс1+5,""))</f>
        <v>44169</v>
      </c>
      <c r="P50" s="25">
        <f>IF(DAY(ДекВс1)=1,"",IF(AND(YEAR(ДекВс1+6)=КалендарныйГод,MONTH(ДекВс1+6)=12),ДекВс1+6,""))</f>
        <v>44170</v>
      </c>
      <c r="Q50" s="25">
        <f>IF(DAY(ДекВс1)=1,IF(AND(YEAR(ДекВс1)=КалендарныйГод,MONTH(ДекВс1)=12),ДекВс1,""),IF(AND(YEAR(ДекВс1+7)=КалендарныйГод,MONTH(ДекВс1+7)=12),ДекВс1+7,""))</f>
        <v>44171</v>
      </c>
      <c r="S50" s="23"/>
      <c r="U50" s="1"/>
    </row>
    <row r="51" spans="1:21" ht="15" customHeight="1" x14ac:dyDescent="0.2">
      <c r="A51" s="18" t="s">
        <v>23</v>
      </c>
      <c r="C51" s="25">
        <f>IF(DAY(НояВс1)=1,IF(AND(YEAR(НояВс1+1)=КалендарныйГод,MONTH(НояВс1+1)=11),НояВс1+1,""),IF(AND(YEAR(НояВс1+8)=КалендарныйГод,MONTH(НояВс1+8)=11),НояВс1+8,""))</f>
        <v>44137</v>
      </c>
      <c r="D51" s="25">
        <f>IF(DAY(НояВс1)=1,IF(AND(YEAR(НояВс1+2)=КалендарныйГод,MONTH(НояВс1+2)=11),НояВс1+2,""),IF(AND(YEAR(НояВс1+9)=КалендарныйГод,MONTH(НояВс1+9)=11),НояВс1+9,""))</f>
        <v>44138</v>
      </c>
      <c r="E51" s="25">
        <f>IF(DAY(НояВс1)=1,IF(AND(YEAR(НояВс1+3)=КалендарныйГод,MONTH(НояВс1+3)=11),НояВс1+3,""),IF(AND(YEAR(НояВс1+10)=КалендарныйГод,MONTH(НояВс1+10)=11),НояВс1+10,""))</f>
        <v>44139</v>
      </c>
      <c r="F51" s="25">
        <f>IF(DAY(НояВс1)=1,IF(AND(YEAR(НояВс1+4)=КалендарныйГод,MONTH(НояВс1+4)=11),НояВс1+4,""),IF(AND(YEAR(НояВс1+11)=КалендарныйГод,MONTH(НояВс1+11)=11),НояВс1+11,""))</f>
        <v>44140</v>
      </c>
      <c r="G51" s="25">
        <f>IF(DAY(НояВс1)=1,IF(AND(YEAR(НояВс1+5)=КалендарныйГод,MONTH(НояВс1+5)=11),НояВс1+5,""),IF(AND(YEAR(НояВс1+12)=КалендарныйГод,MONTH(НояВс1+12)=11),НояВс1+12,""))</f>
        <v>44141</v>
      </c>
      <c r="H51" s="25">
        <f>IF(DAY(НояВс1)=1,IF(AND(YEAR(НояВс1+6)=КалендарныйГод,MONTH(НояВс1+6)=11),НояВс1+6,""),IF(AND(YEAR(НояВс1+13)=КалендарныйГод,MONTH(НояВс1+13)=11),НояВс1+13,""))</f>
        <v>44142</v>
      </c>
      <c r="I51" s="25">
        <f>IF(DAY(НояВс1)=1,IF(AND(YEAR(НояВс1+7)=КалендарныйГод,MONTH(НояВс1+7)=11),НояВс1+7,""),IF(AND(YEAR(НояВс1+14)=КалендарныйГод,MONTH(НояВс1+14)=11),НояВс1+14,""))</f>
        <v>44143</v>
      </c>
      <c r="K51" s="25">
        <f>IF(DAY(ДекВс1)=1,IF(AND(YEAR(ДекВс1+1)=КалендарныйГод,MONTH(ДекВс1+1)=12),ДекВс1+1,""),IF(AND(YEAR(ДекВс1+8)=КалендарныйГод,MONTH(ДекВс1+8)=12),ДекВс1+8,""))</f>
        <v>44172</v>
      </c>
      <c r="L51" s="25">
        <f>IF(DAY(ДекВс1)=1,IF(AND(YEAR(ДекВс1+2)=КалендарныйГод,MONTH(ДекВс1+2)=12),ДекВс1+2,""),IF(AND(YEAR(ДекВс1+9)=КалендарныйГод,MONTH(ДекВс1+9)=12),ДекВс1+9,""))</f>
        <v>44173</v>
      </c>
      <c r="M51" s="25">
        <f>IF(DAY(ДекВс1)=1,IF(AND(YEAR(ДекВс1+3)=КалендарныйГод,MONTH(ДекВс1+3)=12),ДекВс1+3,""),IF(AND(YEAR(ДекВс1+10)=КалендарныйГод,MONTH(ДекВс1+10)=12),ДекВс1+10,""))</f>
        <v>44174</v>
      </c>
      <c r="N51" s="25">
        <f>IF(DAY(ДекВс1)=1,IF(AND(YEAR(ДекВс1+4)=КалендарныйГод,MONTH(ДекВс1+4)=12),ДекВс1+4,""),IF(AND(YEAR(ДекВс1+11)=КалендарныйГод,MONTH(ДекВс1+11)=12),ДекВс1+11,""))</f>
        <v>44175</v>
      </c>
      <c r="O51" s="25">
        <f>IF(DAY(ДекВс1)=1,IF(AND(YEAR(ДекВс1+5)=КалендарныйГод,MONTH(ДекВс1+5)=12),ДекВс1+5,""),IF(AND(YEAR(ДекВс1+12)=КалендарныйГод,MONTH(ДекВс1+12)=12),ДекВс1+12,""))</f>
        <v>44176</v>
      </c>
      <c r="P51" s="25">
        <f>IF(DAY(ДекВс1)=1,IF(AND(YEAR(ДекВс1+6)=КалендарныйГод,MONTH(ДекВс1+6)=12),ДекВс1+6,""),IF(AND(YEAR(ДекВс1+13)=КалендарныйГод,MONTH(ДекВс1+13)=12),ДекВс1+13,""))</f>
        <v>44177</v>
      </c>
      <c r="Q51" s="25">
        <f>IF(DAY(ДекВс1)=1,IF(AND(YEAR(ДекВс1+7)=КалендарныйГод,MONTH(ДекВс1+7)=12),ДекВс1+7,""),IF(AND(YEAR(ДекВс1+14)=КалендарныйГод,MONTH(ДекВс1+14)=12),ДекВс1+14,""))</f>
        <v>44178</v>
      </c>
      <c r="S51" s="23"/>
      <c r="U51" s="28" t="s">
        <v>56</v>
      </c>
    </row>
    <row r="52" spans="1:21" ht="15" customHeight="1" x14ac:dyDescent="0.2">
      <c r="C52" s="25">
        <f>IF(DAY(НояВс1)=1,IF(AND(YEAR(НояВс1+8)=КалендарныйГод,MONTH(НояВс1+8)=11),НояВс1+8,""),IF(AND(YEAR(НояВс1+15)=КалендарныйГод,MONTH(НояВс1+15)=11),НояВс1+15,""))</f>
        <v>44144</v>
      </c>
      <c r="D52" s="25">
        <f>IF(DAY(НояВс1)=1,IF(AND(YEAR(НояВс1+9)=КалендарныйГод,MONTH(НояВс1+9)=11),НояВс1+9,""),IF(AND(YEAR(НояВс1+16)=КалендарныйГод,MONTH(НояВс1+16)=11),НояВс1+16,""))</f>
        <v>44145</v>
      </c>
      <c r="E52" s="25">
        <f>IF(DAY(НояВс1)=1,IF(AND(YEAR(НояВс1+10)=КалендарныйГод,MONTH(НояВс1+10)=11),НояВс1+10,""),IF(AND(YEAR(НояВс1+17)=КалендарныйГод,MONTH(НояВс1+17)=11),НояВс1+17,""))</f>
        <v>44146</v>
      </c>
      <c r="F52" s="25">
        <f>IF(DAY(НояВс1)=1,IF(AND(YEAR(НояВс1+11)=КалендарныйГод,MONTH(НояВс1+11)=11),НояВс1+11,""),IF(AND(YEAR(НояВс1+18)=КалендарныйГод,MONTH(НояВс1+18)=11),НояВс1+18,""))</f>
        <v>44147</v>
      </c>
      <c r="G52" s="25">
        <f>IF(DAY(НояВс1)=1,IF(AND(YEAR(НояВс1+12)=КалендарныйГод,MONTH(НояВс1+12)=11),НояВс1+12,""),IF(AND(YEAR(НояВс1+19)=КалендарныйГод,MONTH(НояВс1+19)=11),НояВс1+19,""))</f>
        <v>44148</v>
      </c>
      <c r="H52" s="25">
        <f>IF(DAY(НояВс1)=1,IF(AND(YEAR(НояВс1+13)=КалендарныйГод,MONTH(НояВс1+13)=11),НояВс1+13,""),IF(AND(YEAR(НояВс1+20)=КалендарныйГод,MONTH(НояВс1+20)=11),НояВс1+20,""))</f>
        <v>44149</v>
      </c>
      <c r="I52" s="25">
        <f>IF(DAY(НояВс1)=1,IF(AND(YEAR(НояВс1+14)=КалендарныйГод,MONTH(НояВс1+14)=11),НояВс1+14,""),IF(AND(YEAR(НояВс1+21)=КалендарныйГод,MONTH(НояВс1+21)=11),НояВс1+21,""))</f>
        <v>44150</v>
      </c>
      <c r="K52" s="25">
        <f>IF(DAY(ДекВс1)=1,IF(AND(YEAR(ДекВс1+8)=КалендарныйГод,MONTH(ДекВс1+8)=12),ДекВс1+8,""),IF(AND(YEAR(ДекВс1+15)=КалендарныйГод,MONTH(ДекВс1+15)=12),ДекВс1+15,""))</f>
        <v>44179</v>
      </c>
      <c r="L52" s="25">
        <f>IF(DAY(ДекВс1)=1,IF(AND(YEAR(ДекВс1+9)=КалендарныйГод,MONTH(ДекВс1+9)=12),ДекВс1+9,""),IF(AND(YEAR(ДекВс1+16)=КалендарныйГод,MONTH(ДекВс1+16)=12),ДекВс1+16,""))</f>
        <v>44180</v>
      </c>
      <c r="M52" s="25">
        <f>IF(DAY(ДекВс1)=1,IF(AND(YEAR(ДекВс1+10)=КалендарныйГод,MONTH(ДекВс1+10)=12),ДекВс1+10,""),IF(AND(YEAR(ДекВс1+17)=КалендарныйГод,MONTH(ДекВс1+17)=12),ДекВс1+17,""))</f>
        <v>44181</v>
      </c>
      <c r="N52" s="25">
        <f>IF(DAY(ДекВс1)=1,IF(AND(YEAR(ДекВс1+11)=КалендарныйГод,MONTH(ДекВс1+11)=12),ДекВс1+11,""),IF(AND(YEAR(ДекВс1+18)=КалендарныйГод,MONTH(ДекВс1+18)=12),ДекВс1+18,""))</f>
        <v>44182</v>
      </c>
      <c r="O52" s="25">
        <f>IF(DAY(ДекВс1)=1,IF(AND(YEAR(ДекВс1+12)=КалендарныйГод,MONTH(ДекВс1+12)=12),ДекВс1+12,""),IF(AND(YEAR(ДекВс1+19)=КалендарныйГод,MONTH(ДекВс1+19)=12),ДекВс1+19,""))</f>
        <v>44183</v>
      </c>
      <c r="P52" s="25">
        <f>IF(DAY(ДекВс1)=1,IF(AND(YEAR(ДекВс1+13)=КалендарныйГод,MONTH(ДекВс1+13)=12),ДекВс1+13,""),IF(AND(YEAR(ДекВс1+20)=КалендарныйГод,MONTH(ДекВс1+20)=12),ДекВс1+20,""))</f>
        <v>44184</v>
      </c>
      <c r="Q52" s="25">
        <f>IF(DAY(ДекВс1)=1,IF(AND(YEAR(ДекВс1+14)=КалендарныйГод,MONTH(ДекВс1+14)=12),ДекВс1+14,""),IF(AND(YEAR(ДекВс1+21)=КалендарныйГод,MONTH(ДекВс1+21)=12),ДекВс1+21,""))</f>
        <v>44185</v>
      </c>
      <c r="S52" s="23"/>
      <c r="U52" s="28"/>
    </row>
    <row r="53" spans="1:21" ht="15" customHeight="1" x14ac:dyDescent="0.2">
      <c r="C53" s="25">
        <f>IF(DAY(НояВс1)=1,IF(AND(YEAR(НояВс1+15)=КалендарныйГод,MONTH(НояВс1+15)=11),НояВс1+15,""),IF(AND(YEAR(НояВс1+22)=КалендарныйГод,MONTH(НояВс1+22)=11),НояВс1+22,""))</f>
        <v>44151</v>
      </c>
      <c r="D53" s="25">
        <f>IF(DAY(НояВс1)=1,IF(AND(YEAR(НояВс1+16)=КалендарныйГод,MONTH(НояВс1+16)=11),НояВс1+16,""),IF(AND(YEAR(НояВс1+23)=КалендарныйГод,MONTH(НояВс1+23)=11),НояВс1+23,""))</f>
        <v>44152</v>
      </c>
      <c r="E53" s="25">
        <f>IF(DAY(НояВс1)=1,IF(AND(YEAR(НояВс1+17)=КалендарныйГод,MONTH(НояВс1+17)=11),НояВс1+17,""),IF(AND(YEAR(НояВс1+24)=КалендарныйГод,MONTH(НояВс1+24)=11),НояВс1+24,""))</f>
        <v>44153</v>
      </c>
      <c r="F53" s="25">
        <f>IF(DAY(НояВс1)=1,IF(AND(YEAR(НояВс1+18)=КалендарныйГод,MONTH(НояВс1+18)=11),НояВс1+18,""),IF(AND(YEAR(НояВс1+25)=КалендарныйГод,MONTH(НояВс1+25)=11),НояВс1+25,""))</f>
        <v>44154</v>
      </c>
      <c r="G53" s="25">
        <f>IF(DAY(НояВс1)=1,IF(AND(YEAR(НояВс1+19)=КалендарныйГод,MONTH(НояВс1+19)=11),НояВс1+19,""),IF(AND(YEAR(НояВс1+26)=КалендарныйГод,MONTH(НояВс1+26)=11),НояВс1+26,""))</f>
        <v>44155</v>
      </c>
      <c r="H53" s="25">
        <f>IF(DAY(НояВс1)=1,IF(AND(YEAR(НояВс1+20)=КалендарныйГод,MONTH(НояВс1+20)=11),НояВс1+20,""),IF(AND(YEAR(НояВс1+27)=КалендарныйГод,MONTH(НояВс1+27)=11),НояВс1+27,""))</f>
        <v>44156</v>
      </c>
      <c r="I53" s="25">
        <f>IF(DAY(НояВс1)=1,IF(AND(YEAR(НояВс1+21)=КалендарныйГод,MONTH(НояВс1+21)=11),НояВс1+21,""),IF(AND(YEAR(НояВс1+28)=КалендарныйГод,MONTH(НояВс1+28)=11),НояВс1+28,""))</f>
        <v>44157</v>
      </c>
      <c r="K53" s="25">
        <f>IF(DAY(ДекВс1)=1,IF(AND(YEAR(ДекВс1+15)=КалендарныйГод,MONTH(ДекВс1+15)=12),ДекВс1+15,""),IF(AND(YEAR(ДекВс1+22)=КалендарныйГод,MONTH(ДекВс1+22)=12),ДекВс1+22,""))</f>
        <v>44186</v>
      </c>
      <c r="L53" s="25">
        <f>IF(DAY(ДекВс1)=1,IF(AND(YEAR(ДекВс1+16)=КалендарныйГод,MONTH(ДекВс1+16)=12),ДекВс1+16,""),IF(AND(YEAR(ДекВс1+23)=КалендарныйГод,MONTH(ДекВс1+23)=12),ДекВс1+23,""))</f>
        <v>44187</v>
      </c>
      <c r="M53" s="25">
        <f>IF(DAY(ДекВс1)=1,IF(AND(YEAR(ДекВс1+17)=КалендарныйГод,MONTH(ДекВс1+17)=12),ДекВс1+17,""),IF(AND(YEAR(ДекВс1+24)=КалендарныйГод,MONTH(ДекВс1+24)=12),ДекВс1+24,""))</f>
        <v>44188</v>
      </c>
      <c r="N53" s="25">
        <f>IF(DAY(ДекВс1)=1,IF(AND(YEAR(ДекВс1+18)=КалендарныйГод,MONTH(ДекВс1+18)=12),ДекВс1+18,""),IF(AND(YEAR(ДекВс1+25)=КалендарныйГод,MONTH(ДекВс1+25)=12),ДекВс1+25,""))</f>
        <v>44189</v>
      </c>
      <c r="O53" s="25">
        <f>IF(DAY(ДекВс1)=1,IF(AND(YEAR(ДекВс1+19)=КалендарныйГод,MONTH(ДекВс1+19)=12),ДекВс1+19,""),IF(AND(YEAR(ДекВс1+26)=КалендарныйГод,MONTH(ДекВс1+26)=12),ДекВс1+26,""))</f>
        <v>44190</v>
      </c>
      <c r="P53" s="25">
        <f>IF(DAY(ДекВс1)=1,IF(AND(YEAR(ДекВс1+20)=КалендарныйГод,MONTH(ДекВс1+20)=12),ДекВс1+20,""),IF(AND(YEAR(ДекВс1+27)=КалендарныйГод,MONTH(ДекВс1+27)=12),ДекВс1+27,""))</f>
        <v>44191</v>
      </c>
      <c r="Q53" s="25">
        <f>IF(DAY(ДекВс1)=1,IF(AND(YEAR(ДекВс1+21)=КалендарныйГод,MONTH(ДекВс1+21)=12),ДекВс1+21,""),IF(AND(YEAR(ДекВс1+28)=КалендарныйГод,MONTH(ДекВс1+28)=12),ДекВс1+28,""))</f>
        <v>44192</v>
      </c>
      <c r="S53" s="23"/>
      <c r="U53" s="28"/>
    </row>
    <row r="54" spans="1:21" ht="15" customHeight="1" x14ac:dyDescent="0.2">
      <c r="C54" s="25">
        <f>IF(DAY(НояВс1)=1,IF(AND(YEAR(НояВс1+22)=КалендарныйГод,MONTH(НояВс1+22)=11),НояВс1+22,""),IF(AND(YEAR(НояВс1+29)=КалендарныйГод,MONTH(НояВс1+29)=11),НояВс1+29,""))</f>
        <v>44158</v>
      </c>
      <c r="D54" s="25">
        <f>IF(DAY(НояВс1)=1,IF(AND(YEAR(НояВс1+23)=КалендарныйГод,MONTH(НояВс1+23)=11),НояВс1+23,""),IF(AND(YEAR(НояВс1+30)=КалендарныйГод,MONTH(НояВс1+30)=11),НояВс1+30,""))</f>
        <v>44159</v>
      </c>
      <c r="E54" s="25">
        <f>IF(DAY(НояВс1)=1,IF(AND(YEAR(НояВс1+24)=КалендарныйГод,MONTH(НояВс1+24)=11),НояВс1+24,""),IF(AND(YEAR(НояВс1+31)=КалендарныйГод,MONTH(НояВс1+31)=11),НояВс1+31,""))</f>
        <v>44160</v>
      </c>
      <c r="F54" s="25">
        <f>IF(DAY(НояВс1)=1,IF(AND(YEAR(НояВс1+25)=КалендарныйГод,MONTH(НояВс1+25)=11),НояВс1+25,""),IF(AND(YEAR(НояВс1+32)=КалендарныйГод,MONTH(НояВс1+32)=11),НояВс1+32,""))</f>
        <v>44161</v>
      </c>
      <c r="G54" s="25">
        <f>IF(DAY(НояВс1)=1,IF(AND(YEAR(НояВс1+26)=КалендарныйГод,MONTH(НояВс1+26)=11),НояВс1+26,""),IF(AND(YEAR(НояВс1+33)=КалендарныйГод,MONTH(НояВс1+33)=11),НояВс1+33,""))</f>
        <v>44162</v>
      </c>
      <c r="H54" s="25">
        <f>IF(DAY(НояВс1)=1,IF(AND(YEAR(НояВс1+27)=КалендарныйГод,MONTH(НояВс1+27)=11),НояВс1+27,""),IF(AND(YEAR(НояВс1+34)=КалендарныйГод,MONTH(НояВс1+34)=11),НояВс1+34,""))</f>
        <v>44163</v>
      </c>
      <c r="I54" s="25">
        <f>IF(DAY(НояВс1)=1,IF(AND(YEAR(НояВс1+28)=КалендарныйГод,MONTH(НояВс1+28)=11),НояВс1+28,""),IF(AND(YEAR(НояВс1+35)=КалендарныйГод,MONTH(НояВс1+35)=11),НояВс1+35,""))</f>
        <v>44164</v>
      </c>
      <c r="K54" s="25">
        <f>IF(DAY(ДекВс1)=1,IF(AND(YEAR(ДекВс1+22)=КалендарныйГод,MONTH(ДекВс1+22)=12),ДекВс1+22,""),IF(AND(YEAR(ДекВс1+29)=КалендарныйГод,MONTH(ДекВс1+29)=12),ДекВс1+29,""))</f>
        <v>44193</v>
      </c>
      <c r="L54" s="25">
        <f>IF(DAY(ДекВс1)=1,IF(AND(YEAR(ДекВс1+23)=КалендарныйГод,MONTH(ДекВс1+23)=12),ДекВс1+23,""),IF(AND(YEAR(ДекВс1+30)=КалендарныйГод,MONTH(ДекВс1+30)=12),ДекВс1+30,""))</f>
        <v>44194</v>
      </c>
      <c r="M54" s="25">
        <f>IF(DAY(ДекВс1)=1,IF(AND(YEAR(ДекВс1+24)=КалендарныйГод,MONTH(ДекВс1+24)=12),ДекВс1+24,""),IF(AND(YEAR(ДекВс1+31)=КалендарныйГод,MONTH(ДекВс1+31)=12),ДекВс1+31,""))</f>
        <v>44195</v>
      </c>
      <c r="N54" s="25">
        <f>IF(DAY(ДекВс1)=1,IF(AND(YEAR(ДекВс1+25)=КалендарныйГод,MONTH(ДекВс1+25)=12),ДекВс1+25,""),IF(AND(YEAR(ДекВс1+32)=КалендарныйГод,MONTH(ДекВс1+32)=12),ДекВс1+32,""))</f>
        <v>44196</v>
      </c>
      <c r="O54" s="25" t="str">
        <f>IF(DAY(ДекВс1)=1,IF(AND(YEAR(ДекВс1+26)=КалендарныйГод,MONTH(ДекВс1+26)=12),ДекВс1+26,""),IF(AND(YEAR(ДекВс1+33)=КалендарныйГод,MONTH(ДекВс1+33)=12),ДекВс1+33,""))</f>
        <v/>
      </c>
      <c r="P54" s="25" t="str">
        <f>IF(DAY(ДекВс1)=1,IF(AND(YEAR(ДекВс1+27)=КалендарныйГод,MONTH(ДекВс1+27)=12),ДекВс1+27,""),IF(AND(YEAR(ДекВс1+34)=КалендарныйГод,MONTH(ДекВс1+34)=12),ДекВс1+34,""))</f>
        <v/>
      </c>
      <c r="Q54" s="25" t="str">
        <f>IF(DAY(ДекВс1)=1,IF(AND(YEAR(ДекВс1+28)=КалендарныйГод,MONTH(ДекВс1+28)=12),ДекВс1+28,""),IF(AND(YEAR(ДекВс1+35)=КалендарныйГод,MONTH(ДекВс1+35)=12),ДекВс1+35,""))</f>
        <v/>
      </c>
      <c r="S54" s="23"/>
      <c r="U54" s="28"/>
    </row>
    <row r="55" spans="1:21" ht="15" customHeight="1" x14ac:dyDescent="0.2">
      <c r="C55" s="25">
        <f>IF(DAY(НояВс1)=1,IF(AND(YEAR(НояВс1+29)=КалендарныйГод,MONTH(НояВс1+29)=11),НояВс1+29,""),IF(AND(YEAR(НояВс1+36)=КалендарныйГод,MONTH(НояВс1+36)=11),НояВс1+36,""))</f>
        <v>44165</v>
      </c>
      <c r="D55" s="25" t="str">
        <f>IF(DAY(НояВс1)=1,IF(AND(YEAR(НояВс1+30)=КалендарныйГод,MONTH(НояВс1+30)=11),НояВс1+30,""),IF(AND(YEAR(НояВс1+37)=КалендарныйГод,MONTH(НояВс1+37)=11),НояВс1+37,""))</f>
        <v/>
      </c>
      <c r="E55" s="25" t="str">
        <f>IF(DAY(НояВс1)=1,IF(AND(YEAR(НояВс1+31)=КалендарныйГод,MONTH(НояВс1+31)=11),НояВс1+31,""),IF(AND(YEAR(НояВс1+38)=КалендарныйГод,MONTH(НояВс1+38)=11),НояВс1+38,""))</f>
        <v/>
      </c>
      <c r="F55" s="25" t="str">
        <f>IF(DAY(НояВс1)=1,IF(AND(YEAR(НояВс1+32)=КалендарныйГод,MONTH(НояВс1+32)=11),НояВс1+32,""),IF(AND(YEAR(НояВс1+39)=КалендарныйГод,MONTH(НояВс1+39)=11),НояВс1+39,""))</f>
        <v/>
      </c>
      <c r="G55" s="25" t="str">
        <f>IF(DAY(НояВс1)=1,IF(AND(YEAR(НояВс1+33)=КалендарныйГод,MONTH(НояВс1+33)=11),НояВс1+33,""),IF(AND(YEAR(НояВс1+40)=КалендарныйГод,MONTH(НояВс1+40)=11),НояВс1+40,""))</f>
        <v/>
      </c>
      <c r="H55" s="25" t="str">
        <f>IF(DAY(НояВс1)=1,IF(AND(YEAR(НояВс1+34)=КалендарныйГод,MONTH(НояВс1+34)=11),НояВс1+34,""),IF(AND(YEAR(НояВс1+41)=КалендарныйГод,MONTH(НояВс1+41)=11),НояВс1+41,""))</f>
        <v/>
      </c>
      <c r="I55" s="25" t="str">
        <f>IF(DAY(НояВс1)=1,IF(AND(YEAR(НояВс1+35)=КалендарныйГод,MONTH(НояВс1+35)=11),НояВс1+35,""),IF(AND(YEAR(НояВс1+42)=КалендарныйГод,MONTH(НояВс1+42)=11),НояВс1+42,""))</f>
        <v/>
      </c>
      <c r="K55" s="25" t="str">
        <f>IF(DAY(ДекВс1)=1,IF(AND(YEAR(ДекВс1+29)=КалендарныйГод,MONTH(ДекВс1+29)=12),ДекВс1+29,""),IF(AND(YEAR(ДекВс1+36)=КалендарныйГод,MONTH(ДекВс1+36)=12),ДекВс1+36,""))</f>
        <v/>
      </c>
      <c r="L55" s="25" t="str">
        <f>IF(DAY(ДекВс1)=1,IF(AND(YEAR(ДекВс1+30)=КалендарныйГод,MONTH(ДекВс1+30)=12),ДекВс1+30,""),IF(AND(YEAR(ДекВс1+37)=КалендарныйГод,MONTH(ДекВс1+37)=12),ДекВс1+37,""))</f>
        <v/>
      </c>
      <c r="M55" s="25" t="str">
        <f>IF(DAY(ДекВс1)=1,IF(AND(YEAR(ДекВс1+31)=КалендарныйГод,MONTH(ДекВс1+31)=12),ДекВс1+31,""),IF(AND(YEAR(ДекВс1+38)=КалендарныйГод,MONTH(ДекВс1+38)=12),ДекВс1+38,""))</f>
        <v/>
      </c>
      <c r="N55" s="25" t="str">
        <f>IF(DAY(ДекВс1)=1,IF(AND(YEAR(ДекВс1+32)=КалендарныйГод,MONTH(ДекВс1+32)=12),ДекВс1+32,""),IF(AND(YEAR(ДекВс1+39)=КалендарныйГод,MONTH(ДекВс1+39)=12),ДекВс1+39,""))</f>
        <v/>
      </c>
      <c r="O55" s="25" t="str">
        <f>IF(DAY(ДекВс1)=1,IF(AND(YEAR(ДекВс1+33)=КалендарныйГод,MONTH(ДекВс1+33)=12),ДекВс1+33,""),IF(AND(YEAR(ДекВс1+40)=КалендарныйГод,MONTH(ДекВс1+40)=12),ДекВс1+40,""))</f>
        <v/>
      </c>
      <c r="P55" s="25" t="str">
        <f>IF(DAY(ДекВс1)=1,IF(AND(YEAR(ДекВс1+34)=КалендарныйГод,MONTH(ДекВс1+34)=12),ДекВс1+34,""),IF(AND(YEAR(ДекВс1+41)=КалендарныйГод,MONTH(ДекВс1+41)=12),ДекВс1+41,""))</f>
        <v/>
      </c>
      <c r="Q55" s="25" t="str">
        <f>IF(DAY(ДекВс1)=1,IF(AND(YEAR(ДекВс1+35)=КалендарныйГод,MONTH(ДекВс1+35)=12),ДекВс1+35,""),IF(AND(YEAR(ДекВс1+42)=КалендарныйГод,MONTH(ДекВс1+42)=12),ДекВс1+42,""))</f>
        <v/>
      </c>
      <c r="S55" s="23"/>
      <c r="U55" s="28"/>
    </row>
    <row r="56" spans="1:21" ht="15" customHeight="1" x14ac:dyDescent="0.2"/>
    <row r="57" spans="1:21" ht="15" customHeight="1" x14ac:dyDescent="0.2"/>
    <row r="58" spans="1:21" ht="15" customHeight="1" x14ac:dyDescent="0.2"/>
    <row r="59" spans="1:21" ht="15" customHeight="1" x14ac:dyDescent="0.2"/>
    <row r="60" spans="1:21" ht="15" customHeight="1" x14ac:dyDescent="0.2"/>
    <row r="61" spans="1:21" ht="15" customHeight="1" x14ac:dyDescent="0.2"/>
    <row r="62" spans="1:21" ht="15" customHeight="1" x14ac:dyDescent="0.2"/>
    <row r="63" spans="1:21" ht="15" customHeight="1" x14ac:dyDescent="0.2"/>
    <row r="64" spans="1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6">
    <mergeCell ref="V3:W48"/>
    <mergeCell ref="C12:I12"/>
    <mergeCell ref="K12:Q12"/>
    <mergeCell ref="C21:I21"/>
    <mergeCell ref="K21:Q21"/>
    <mergeCell ref="C30:I30"/>
    <mergeCell ref="K30:Q30"/>
    <mergeCell ref="C1:F1"/>
    <mergeCell ref="C3:I3"/>
    <mergeCell ref="K3:Q3"/>
    <mergeCell ref="U51:U55"/>
    <mergeCell ref="C39:I39"/>
    <mergeCell ref="K39:Q39"/>
    <mergeCell ref="C48:I48"/>
    <mergeCell ref="K48:Q48"/>
    <mergeCell ref="B2:N2"/>
  </mergeCells>
  <phoneticPr fontId="5" type="noConversion"/>
  <dataValidations count="1">
    <dataValidation allowBlank="1" showInputMessage="1" showErrorMessage="1" errorTitle="Недопустимый год" error="Введите год от 1900 до 9999 или найдите нужный год с помощью полосы прокрутки." sqref="C1:F1" xr:uid="{00000000-0002-0000-0100-000000000000}"/>
  </dataValidations>
  <printOptions horizontalCentered="1" verticalCentered="1"/>
  <pageMargins left="0.5" right="0.5" top="0.5" bottom="0.5" header="0.3" footer="0.3"/>
  <pageSetup paperSize="9" scale="82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Счетчик">
              <controlPr defaultSize="0" print="0" autoPict="0" altText="Используйте кнопки счетчика, чтобы изменить календарный год, или введите год в ячейке C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E7B6DD9-B1A1-4CCF-BA6C-C388D2464C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910982-F24E-49CE-AAE3-0CDBB69F7F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477D36-9C31-4E01-8098-E1A11F5C4BF3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Начало</vt:lpstr>
      <vt:lpstr>Ежегодный календарь</vt:lpstr>
      <vt:lpstr>КалендарныйГод</vt:lpstr>
      <vt:lpstr>'Ежегодный календарь'!Область_печати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2019-06-15T10:14:58Z</dcterms:created>
  <dcterms:modified xsi:type="dcterms:W3CDTF">2020-02-18T05:17:24Z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