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08"/>
  <workbookPr filterPrivacy="1" autoCompressPictures="0"/>
  <xr:revisionPtr revIDLastSave="0" documentId="13_ncr:1_{EC989745-C4CC-4CD5-8EA9-577C823F888D}" xr6:coauthVersionLast="45" xr6:coauthVersionMax="45" xr10:uidLastSave="{00000000-0000-0000-0000-000000000000}"/>
  <bookViews>
    <workbookView xWindow="-120" yWindow="-120" windowWidth="23220" windowHeight="16110" xr2:uid="{00000000-000D-0000-FFFF-FFFF00000000}"/>
  </bookViews>
  <sheets>
    <sheet name="Έναρξη" sheetId="2" r:id="rId1"/>
    <sheet name="Ετήσιο ημερολόγιο" sheetId="1" r:id="rId2"/>
  </sheets>
  <definedNames>
    <definedName name="AprSun1">DATE(ΈτοςΗμερολογίου,4,1)-WEEKDAY(DATE(ΈτοςΗμερολογίου,4,1))+1</definedName>
    <definedName name="AugSun1">DATE(ΈτοςΗμερολογίου,8,1)-WEEKDAY(DATE(ΈτοςΗμερολογίου,8,1))+1</definedName>
    <definedName name="DecSun1">DATE(ΈτοςΗμερολογίου,12,1)-WEEKDAY(DATE(ΈτοςΗμερολογίου,12,1))+1</definedName>
    <definedName name="FebSun1">DATE(ΈτοςΗμερολογίου,2,1)-WEEKDAY(DATE(ΈτοςΗμερολογίου,2,1))+1</definedName>
    <definedName name="JanSun1">DATE(ΈτοςΗμερολογίου,1,1)-WEEKDAY(DATE(ΈτοςΗμερολογίου,1,1))+1</definedName>
    <definedName name="JulSun1">DATE(ΈτοςΗμερολογίου,7,1)-WEEKDAY(DATE(ΈτοςΗμερολογίου,7,1))+1</definedName>
    <definedName name="JunSun1">DATE(ΈτοςΗμερολογίου,6,1)-WEEKDAY(DATE(ΈτοςΗμερολογίου,6,1))+1</definedName>
    <definedName name="MarSun1">DATE(ΈτοςΗμερολογίου,3,1)-WEEKDAY(DATE(ΈτοςΗμερολογίου,3,1))+1</definedName>
    <definedName name="MaySun1">DATE(ΈτοςΗμερολογίου,5,1)-WEEKDAY(DATE(ΈτοςΗμερολογίου,5,1))+1</definedName>
    <definedName name="NovSun1">DATE(ΈτοςΗμερολογίου,11,1)-WEEKDAY(DATE(ΈτοςΗμερολογίου,11,1))+1</definedName>
    <definedName name="OctSun1">DATE(ΈτοςΗμερολογίου,10,1)-WEEKDAY(DATE(ΈτοςΗμερολογίου,10,1))+1</definedName>
    <definedName name="_xlnm.Print_Area" localSheetId="1">'Ετήσιο ημερολόγιο'!$B$1:$W$55</definedName>
    <definedName name="SepSun1">DATE(ΈτοςΗμερολογίου,9,1)-WEEKDAY(DATE(ΈτοςΗμερολογίου,9,1))+1</definedName>
    <definedName name="ΈτοςΗμερολογίου">'Ετήσιο ημερολόγιο'!$C$1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<sst xmlns="http://schemas.openxmlformats.org/spreadsheetml/2006/main" count="135" uniqueCount="58">
  <si>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ΠΛΗΡΟΦΟΡΙΕΣ ΓΙΑ ΑΥΤΟ ΤΟ ΠΡΟΤΥΠΟ</t>
  </si>
  <si>
    <t>Χρησιμοποιήστε αυτό το πρότυπο για να δημιουργήσετε ένα προσωπικό ημερολόγιο για μικρές επιχειρήσεις για οποιοδήποτε έτος.</t>
  </si>
  <si>
    <t>Συμπληρώστε την επωνυμία της εταιρείας και τα στοιχεία επικοινωνίας και προσθέστε το λογότυπο της εταιρείας.</t>
  </si>
  <si>
    <t>Επιλέξτε το έτος και εισαγάγετε σημαντικές ημερομηνίες και εκδηλώσεις.</t>
  </si>
  <si>
    <t>Σημείωση: </t>
  </si>
  <si>
    <t xml:space="preserve">Στη στήλη A του φύλλου εργασίας ΕΤΗΣΙΟ ΗΜΕΡΟΛΟΓΙΟ παρέχονται πρόσθετες οδηγίες. Αυτό το κείμενο είναι σκόπιμα κρυφό. Για να καταργήσετε το κείμενο, επιλέξτε τη στήλη A και, στη συνέχεια, πατήστε το πλήκτρο DELETE. </t>
  </si>
  <si>
    <t>Για να μάθετε περισσότερα για τους πίνακες, πατήστε το πλήκτρο SHIFT και, στη συνέχεια, πατήστε το F10 μέσα σε έναν πίνακα, επιλέξτε "ΠΙΝΑΚΑΣ" και, στη συνέχεια, επιλέξτε "ΕΝΑΛΛΑΚΤΙΚΟ ΚΕΙΜΕΝΟ".</t>
  </si>
  <si>
    <t>Δημιουργήστε ένα ημερολόγιο για μικρές επιχειρήσεις για οποιοδήποτε έτος σε αυτό το βιβλίο εργασίας. Σε διάφορα κελιά σε αυτή τη στήλη βρίσκονται χρήσιμες οδηγίες για τον τρόπο χρήσης αυτού του φύλλου εργασίας. Επιλέξτε το κουμπί αυξομείωσης στο κελί που βρίσκεται δεξιά για να αλλάξετε το έτος στο κελί C1. Η ετικέτα "Σημαντικές ημερομηνίες" βρίσκεται στο κελί U1.</t>
  </si>
  <si>
    <t>Στο κελί στα δεξιά βρίσκεται συμβουλή</t>
  </si>
  <si>
    <t>Το επιλεγμένο ετήσιο ημερολόγιο βρίσκεται στα κελιά C3 έως Q55, το ημερολόγιο Ιανουαρίου στα κελιά C4 έως I10 και το ημερολόγιο Φεβρουαρίου στα κελιά K4 έως Q10. Η ετικέτα Ιανουάριος είναι στο κελί C3 και η ετικέτα Φεβρουάριος στο κελί K3. Εισαγάγετε σημαντικές ημερομηνίες και εκδηλώσεις στα κελιά U3 έως U42</t>
  </si>
  <si>
    <t>Ο πίνακας ημερολογίου του Ιανουαρίου βρίσκεται στα κελιά C4 έως I10 και ο πίνακας ημερολογίου του Φεβρουαρίου στα κελιά K4 έως Q10. Η επόμενη οδηγία βρίσκεται στο κελί A12</t>
  </si>
  <si>
    <t>Η ετικέτα Μάρτιος βρίσκεται στο κελί C12 και η ετικέτα Απρίλιος στο κελί K12</t>
  </si>
  <si>
    <t>Ο πίνακας ημερολογίου του Μαρτίου βρίσκεται στα κελιά C13 έως I19 και ο πίνακας ημερολογίου του Απριλίου στα κελιά K13 έως Q19. Η επόμενη οδηγία βρίσκεται στο κελί A21</t>
  </si>
  <si>
    <t>Η ετικέτα Μάιος βρίσκεται στο κελί C21 και η ετικέτα Ιούνιος στο κελί K21</t>
  </si>
  <si>
    <t>Ο πίνακας ημερολογίου του Μαΐου βρίσκεται στα κελιά C22 έως I28 και ο πίνακας ημερολογίου του Ιουνίου στα κελιά K22 έως Q28. Η επόμενη οδηγία βρίσκεται στο κελί A30</t>
  </si>
  <si>
    <t>Η ετικέτα Ιούλιος είναι στο κελί C30 και η ετικέτα Αύγουστος στο κελί K30</t>
  </si>
  <si>
    <t>Ο πίνακας ημερολογίου του Ιουλίου βρίσκεται στα κελιά C31 έως I37 και ο πίνακας ημερολογίου του Αυγούστου στα κελιά K31 έως Q37. Η επόμενη οδηγία βρίσκεται στο κελί A39</t>
  </si>
  <si>
    <t>Η ετικέτα Σεπτέμβριος βρίσκεται στο κελί C39 και η ετικέτα Οκτώβριος στο κελί K39</t>
  </si>
  <si>
    <t>Ο πίνακας ημερολογίου του Σεπτεμβρίου βρίσκεται στα κελιά C40 έως I46 και ο πίνακας ημερολογίου του Οκτωβρίου στα κελιά K40 έως Q46. Η επόμενη οδηγία βρίσκεται στο κελί A44</t>
  </si>
  <si>
    <t>Εισαγάγετε τη διεύθυνση στο κελί U44</t>
  </si>
  <si>
    <t>Εισαγάγετε την πόλη, τον νομό και τον ταχυδρομικό κώδικα στο κελί U45. Η επόμενη οδηγία βρίσκεται στο κελί A47</t>
  </si>
  <si>
    <t>Εισαγάγετε τον αριθμό τηλεφώνου της εταιρείας στο κελί U47</t>
  </si>
  <si>
    <t>Η ετικέτα Νοέμβριος είναι στο κελί C48 και η ετικέτα Δεκέμβριος στο κελί K48. Εισαγάγετε τη διεύθυνση email στο κελί U48</t>
  </si>
  <si>
    <t>Ο πίνακας ημερολογίου του Νοεμβρίου βρίσκεται στα κελιά C49 έως I55 και ο πίνακας ημερολογίου του Δεκεμβρίου στα κελιά K49 έως Q55. Η επόμενη οδηγία βρίσκεται στο κελί A51</t>
  </si>
  <si>
    <t>Προσθέστε το λογότυπο εταιρείας στο κελί U51</t>
  </si>
  <si>
    <t>Χρησιμοποιήστε το κουμπί αυξομείωσης για να αλλάξετε το ημερολογιακό έτος</t>
  </si>
  <si>
    <t>ΙΑΝΟΥΑΡΙΟΣ</t>
  </si>
  <si>
    <t>ΔΕΥ</t>
  </si>
  <si>
    <t>ΜΑΡΤΙΟΣ</t>
  </si>
  <si>
    <t>ΜΑΪΟΣ</t>
  </si>
  <si>
    <t>ΙΟΥΛΙΟΣ</t>
  </si>
  <si>
    <t>ΣΕΠΤΕΜΒΡΙΟΣ</t>
  </si>
  <si>
    <t>ΝΟΕΜΒΡΙΟΣ</t>
  </si>
  <si>
    <t>ΤΡΙ</t>
  </si>
  <si>
    <t>ΤΕΤ</t>
  </si>
  <si>
    <t>ΠΕΜ</t>
  </si>
  <si>
    <t>ΠΑΡ</t>
  </si>
  <si>
    <t>ΣΑΒ</t>
  </si>
  <si>
    <t>ΚΥΡ</t>
  </si>
  <si>
    <t>ΦΕΒΡΟΥΑΡΙΟΣ</t>
  </si>
  <si>
    <t>ΑΠΡΙΛΙΟΣ</t>
  </si>
  <si>
    <t>ΙΟΥΝΙΟΣ</t>
  </si>
  <si>
    <t>ΑΥΓΟΥΣΤΟΣ</t>
  </si>
  <si>
    <t>ΟΚΤΩΒΡΙΟΣ</t>
  </si>
  <si>
    <t>ΔΕΚΕΜΒΡΙΟΣ</t>
  </si>
  <si>
    <t>ΣΗΜΑΝΤΙΚΕΣ ΗΜΕΡΟΜΗΝΙΕΣ</t>
  </si>
  <si>
    <t>1Η ΙΑΝΟΥΑΡΙΟΥ</t>
  </si>
  <si>
    <t>ΠΡΩΤΟΧΡΟΝΙΑ</t>
  </si>
  <si>
    <t>14 ΦΕΒΡΟΥΑΡΙΟΥ</t>
  </si>
  <si>
    <t>ΗΜΕΡΑ ΤΟΥ ΑΓΙΟΥ ΒΑΛΕΝΤΙΝΟΥ</t>
  </si>
  <si>
    <t>22 ΦΕΒΡΟΥΑΡΙΟΥ</t>
  </si>
  <si>
    <t>ΕΠΙΣΚΕΨΗ ΓΝΩΡΙΜΙΑΣ</t>
  </si>
  <si>
    <t>Οδός και αριθμός</t>
  </si>
  <si>
    <t>Πόλη, νομός, ταχ. κώδικας</t>
  </si>
  <si>
    <t>Τηλέφωνο</t>
  </si>
  <si>
    <t>Email</t>
  </si>
  <si>
    <t>Τοποθεσία Web</t>
  </si>
  <si>
    <t>Σε αυτό το κελί βρίσκεται σύμβολο κράτησης θέσης λογότυπου.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</si>
</sst>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d"/>
  </numFmts>
  <fonts count="37"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9" fillId="0" borderId="2" applyNumberFormat="0" applyFill="0" applyAlignment="0" applyProtection="0"/>
    <xf numFmtId="165" fontId="22" fillId="0" borderId="0" applyFont="0" applyFill="0" applyBorder="0" applyAlignment="0" applyProtection="0"/>
    <xf numFmtId="16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5" applyNumberFormat="0" applyAlignment="0" applyProtection="0"/>
    <xf numFmtId="0" fontId="30" fillId="8" borderId="6" applyNumberFormat="0" applyAlignment="0" applyProtection="0"/>
    <xf numFmtId="0" fontId="31" fillId="8" borderId="5" applyNumberFormat="0" applyAlignment="0" applyProtection="0"/>
    <xf numFmtId="0" fontId="32" fillId="0" borderId="7" applyNumberFormat="0" applyFill="0" applyAlignment="0" applyProtection="0"/>
    <xf numFmtId="0" fontId="33" fillId="9" borderId="8" applyNumberFormat="0" applyAlignment="0" applyProtection="0"/>
    <xf numFmtId="0" fontId="34" fillId="0" borderId="0" applyNumberFormat="0" applyFill="0" applyBorder="0" applyAlignment="0" applyProtection="0"/>
    <xf numFmtId="0" fontId="22" fillId="10" borderId="9" applyNumberFormat="0" applyFont="0" applyAlignment="0" applyProtection="0"/>
    <xf numFmtId="0" fontId="35" fillId="0" borderId="0" applyNumberFormat="0" applyFill="0" applyBorder="0" applyAlignment="0" applyProtection="0"/>
    <xf numFmtId="0" fontId="20" fillId="0" borderId="10"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6" fillId="0" borderId="1" xfId="0" applyNumberFormat="1" applyFont="1" applyBorder="1"/>
    <xf numFmtId="49" fontId="16" fillId="0" borderId="0" xfId="0" applyNumberFormat="1" applyFont="1"/>
    <xf numFmtId="49" fontId="17" fillId="0" borderId="0" xfId="0" applyNumberFormat="1" applyFont="1" applyAlignment="1">
      <alignment horizontal="left"/>
    </xf>
    <xf numFmtId="0" fontId="18" fillId="0" borderId="0" xfId="0" applyFont="1" applyAlignment="1">
      <alignment horizontal="center"/>
    </xf>
    <xf numFmtId="0" fontId="5" fillId="0" borderId="0" xfId="0" applyFont="1" applyAlignment="1">
      <alignment vertical="center" wrapText="1"/>
    </xf>
    <xf numFmtId="0" fontId="21" fillId="3" borderId="0" xfId="1" applyFont="1" applyFill="1" applyBorder="1" applyAlignment="1">
      <alignment horizontal="center" vertical="center"/>
    </xf>
    <xf numFmtId="0" fontId="4" fillId="0" borderId="0" xfId="0" applyFont="1" applyAlignment="1">
      <alignment vertical="center" wrapText="1"/>
    </xf>
    <xf numFmtId="0" fontId="20" fillId="0" borderId="0" xfId="0" applyFont="1" applyAlignment="1">
      <alignment wrapText="1"/>
    </xf>
    <xf numFmtId="0" fontId="0" fillId="0" borderId="0" xfId="0" applyAlignment="1">
      <alignment vertical="center"/>
    </xf>
    <xf numFmtId="166" fontId="0" fillId="0" borderId="0" xfId="0" applyNumberFormat="1" applyAlignment="1">
      <alignment wrapText="1"/>
    </xf>
    <xf numFmtId="166" fontId="3" fillId="0" borderId="0" xfId="0" applyNumberFormat="1" applyFont="1" applyAlignment="1">
      <alignment vertical="center"/>
    </xf>
    <xf numFmtId="166" fontId="0" fillId="0" borderId="0" xfId="0" applyNumberFormat="1"/>
    <xf numFmtId="0" fontId="2" fillId="0" borderId="0" xfId="0" applyFont="1" applyAlignment="1">
      <alignment vertical="center" wrapText="1"/>
    </xf>
    <xf numFmtId="0" fontId="7" fillId="0" borderId="0" xfId="0" applyFont="1"/>
    <xf numFmtId="0" fontId="0" fillId="0" borderId="0" xfId="0" applyAlignment="1">
      <alignment horizontal="center"/>
    </xf>
    <xf numFmtId="0" fontId="11" fillId="0" borderId="0" xfId="0" applyFont="1"/>
    <xf numFmtId="0" fontId="0" fillId="2" borderId="0" xfId="0" applyFill="1"/>
    <xf numFmtId="0" fontId="0" fillId="0" borderId="0" xfId="0" applyAlignment="1">
      <alignment horizontal="center"/>
    </xf>
    <xf numFmtId="0" fontId="15" fillId="0" borderId="0" xfId="0" applyFont="1" applyAlignment="1">
      <alignment horizontal="left"/>
    </xf>
    <xf numFmtId="0" fontId="8" fillId="3" borderId="0" xfId="0" applyFont="1" applyFill="1" applyAlignment="1">
      <alignment horizontal="left" vertical="center"/>
    </xf>
    <xf numFmtId="166" fontId="0" fillId="0" borderId="0" xfId="0" applyNumberFormat="1" applyAlignment="1">
      <alignment horizontal="center"/>
    </xf>
    <xf numFmtId="0" fontId="14" fillId="0" borderId="0" xfId="0" applyFont="1" applyAlignment="1">
      <alignment horizontal="left" vertical="center"/>
    </xf>
    <xf numFmtId="167" fontId="0" fillId="0" borderId="0" xfId="0" applyNumberFormat="1" applyAlignment="1">
      <alignment horizontal="center"/>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4" builtinId="20" customBuiltin="1"/>
    <cellStyle name="Έλεγχος κελιού" xfId="18"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5" builtinId="21" customBuiltin="1"/>
    <cellStyle name="Επεξηγηματικό κείμενο" xfId="21" builtinId="53" customBuiltin="1"/>
    <cellStyle name="Επικεφαλίδα 1" xfId="8" builtinId="16" customBuiltin="1"/>
    <cellStyle name="Επικεφαλίδα 2" xfId="1" builtinId="17" customBuiltin="1"/>
    <cellStyle name="Επικεφαλίδα 3" xfId="9" builtinId="18" customBuiltin="1"/>
    <cellStyle name="Επικεφαλίδα 4" xfId="10" builtinId="19" customBuiltin="1"/>
    <cellStyle name="Κακό" xfId="12" builtinId="27" customBuiltin="1"/>
    <cellStyle name="Καλό" xfId="11" builtinId="26" customBuiltin="1"/>
    <cellStyle name="Κανονικό" xfId="0" builtinId="0" customBuiltin="1"/>
    <cellStyle name="Κόμμα" xfId="2" builtinId="3" customBuiltin="1"/>
    <cellStyle name="Κόμμα [0]" xfId="3" builtinId="6" customBuiltin="1"/>
    <cellStyle name="Νόμισμα [0]" xfId="5" builtinId="7" customBuiltin="1"/>
    <cellStyle name="Νομισματική μονάδα" xfId="4" builtinId="4" customBuiltin="1"/>
    <cellStyle name="Ουδέτερο" xfId="13" builtinId="28" customBuiltin="1"/>
    <cellStyle name="Ποσοστό" xfId="6" builtinId="5" customBuiltin="1"/>
    <cellStyle name="Προειδοποιητικό κείμενο" xfId="19" builtinId="11" customBuiltin="1"/>
    <cellStyle name="Σημείωση" xfId="20" builtinId="10" customBuiltin="1"/>
    <cellStyle name="Συνδεδεμένο κελί" xfId="17" builtinId="24" customBuiltin="1"/>
    <cellStyle name="Σύνολο" xfId="22" builtinId="25" customBuiltin="1"/>
    <cellStyle name="Τίτλος" xfId="7" builtinId="15" customBuiltin="1"/>
    <cellStyle name="Υπολογισμός" xfId="16" builtinId="22" customBuiltin="1"/>
  </cellStyles>
  <dxfs count="108">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0"/>
</file>

<file path=xl/drawings/_rels/drawing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682625</xdr:colOff>
      <xdr:row>47</xdr:row>
      <xdr:rowOff>66674</xdr:rowOff>
    </xdr:to>
    <xdr:pic>
      <xdr:nvPicPr>
        <xdr:cNvPr id="2" name="Φύλλα" descr="Έξι φύλλα τοποθετημένα σε ζεύγη και μόνα τους, σε διάφορες αποστάσεις">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Κουμπί αυξομείωσης"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Λογότυπο" descr="Θέση λογότυπου για την προσθήκη του λογότυπου της εταιρείας">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Σεπτέμβριος" displayName="Σεπτέμβριος" ref="C40:I46" totalsRowShown="0" headerRowDxfId="107" dataDxfId="88">
  <autoFilter ref="C40:I46" xr:uid="{00000000-0009-0000-0100-00000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ΔΕΥ" dataDxfId="95"/>
    <tableColumn id="2" xr3:uid="{00000000-0010-0000-0000-000002000000}" name="ΤΡΙ" dataDxfId="94"/>
    <tableColumn id="3" xr3:uid="{00000000-0010-0000-0000-000003000000}" name="ΤΕΤ" dataDxfId="93"/>
    <tableColumn id="4" xr3:uid="{00000000-0010-0000-0000-000004000000}" name="ΠΕΜ" dataDxfId="92"/>
    <tableColumn id="5" xr3:uid="{00000000-0010-0000-0000-000005000000}" name="ΠΑΡ" dataDxfId="91"/>
    <tableColumn id="6" xr3:uid="{00000000-0010-0000-0000-000006000000}" name="ΣΑΒ" dataDxfId="90"/>
    <tableColumn id="7" xr3:uid="{00000000-0010-0000-0000-000007000000}" name="ΚΥΡ" dataDxfId="89"/>
  </tableColumns>
  <tableStyleInfo showFirstColumn="0" showLastColumn="0" showRowStripes="0" showColumnStripes="0"/>
  <extLst>
    <ext xmlns:x14="http://schemas.microsoft.com/office/spreadsheetml/2009/9/main" uri="{504A1905-F514-4f6f-8877-14C23A59335A}">
      <x14:table altTextSummary="Το ημερολόγιο Σεπτεμβρίου που βρίσκεται σε αυτόν τον πίνακα ενημερώνεται αυτόματα με τα ονόματα ημερών της εβδομάδας και τις ημερομηνίες"/>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Απρίλιος" displayName="Απρίλιος" ref="K13:Q19" totalsRowShown="0" headerRowDxfId="98" dataDxfId="16">
  <autoFilter ref="K13:Q19" xr:uid="{00000000-0009-0000-0100-00001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900-000001000000}" name="ΔΕΥ" dataDxfId="23"/>
    <tableColumn id="2" xr3:uid="{00000000-0010-0000-0900-000002000000}" name="ΤΡΙ" dataDxfId="22"/>
    <tableColumn id="3" xr3:uid="{00000000-0010-0000-0900-000003000000}" name="ΤΕΤ" dataDxfId="21"/>
    <tableColumn id="4" xr3:uid="{00000000-0010-0000-0900-000004000000}" name="ΠΕΜ" dataDxfId="20"/>
    <tableColumn id="5" xr3:uid="{00000000-0010-0000-0900-000005000000}" name="ΠΑΡ" dataDxfId="19"/>
    <tableColumn id="6" xr3:uid="{00000000-0010-0000-0900-000006000000}" name="ΣΑΒ" dataDxfId="18"/>
    <tableColumn id="7" xr3:uid="{00000000-0010-0000-0900-000007000000}" name="ΚΥΡ" dataDxfId="17"/>
  </tableColumns>
  <tableStyleInfo showFirstColumn="0" showLastColumn="0" showRowStripes="0" showColumnStripes="0"/>
  <extLst>
    <ext xmlns:x14="http://schemas.microsoft.com/office/spreadsheetml/2009/9/main" uri="{504A1905-F514-4f6f-8877-14C23A59335A}">
      <x14:table altTextSummary="Το ημερολόγιο Απριλίου που βρίσκεται σε αυτόν τον πίνακα ενημερώνεται αυτόματα με τα ονόματα ημερών της εβδομάδας και τις ημερομηνίες"/>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Φεβρουάριος" displayName="Φεβρουάριος" ref="K4:Q10" totalsRowShown="0" headerRowDxfId="97" dataDxfId="8">
  <autoFilter ref="K4:Q10"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A00-000001000000}" name="ΔΕΥ" dataDxfId="15"/>
    <tableColumn id="2" xr3:uid="{00000000-0010-0000-0A00-000002000000}" name="ΤΡΙ" dataDxfId="14"/>
    <tableColumn id="3" xr3:uid="{00000000-0010-0000-0A00-000003000000}" name="ΤΕΤ" dataDxfId="13"/>
    <tableColumn id="4" xr3:uid="{00000000-0010-0000-0A00-000004000000}" name="ΠΕΜ" dataDxfId="12"/>
    <tableColumn id="5" xr3:uid="{00000000-0010-0000-0A00-000005000000}" name="ΠΑΡ" dataDxfId="11"/>
    <tableColumn id="6" xr3:uid="{00000000-0010-0000-0A00-000006000000}" name="ΣΑΒ" dataDxfId="10"/>
    <tableColumn id="7" xr3:uid="{00000000-0010-0000-0A00-000007000000}" name="ΚΥΡ" dataDxfId="9"/>
  </tableColumns>
  <tableStyleInfo showFirstColumn="0" showLastColumn="0" showRowStripes="0" showColumnStripes="0"/>
  <extLst>
    <ext xmlns:x14="http://schemas.microsoft.com/office/spreadsheetml/2009/9/main" uri="{504A1905-F514-4f6f-8877-14C23A59335A}">
      <x14:table altTextSummary="Το ημερολόγιο Φεβρουαρίου που βρίσκεται σε αυτόν τον πίνακα ενημερώνεται αυτόματα με τα ονόματα ημερών της εβδομάδας και τις ημερομηνίες"/>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Ιανουάριος" displayName="Ιανουάριος" ref="C4:I10" totalsRowShown="0" headerRowDxfId="96" dataDxfId="0">
  <autoFilter ref="C4:I10" xr:uid="{00000000-0009-0000-0100-00001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B00-000001000000}" name="ΔΕΥ" dataDxfId="7"/>
    <tableColumn id="2" xr3:uid="{00000000-0010-0000-0B00-000002000000}" name="ΤΡΙ" dataDxfId="6"/>
    <tableColumn id="3" xr3:uid="{00000000-0010-0000-0B00-000003000000}" name="ΤΕΤ" dataDxfId="5"/>
    <tableColumn id="4" xr3:uid="{00000000-0010-0000-0B00-000004000000}" name="ΠΕΜ" dataDxfId="4"/>
    <tableColumn id="5" xr3:uid="{00000000-0010-0000-0B00-000005000000}" name="ΠΑΡ" dataDxfId="3"/>
    <tableColumn id="6" xr3:uid="{00000000-0010-0000-0B00-000006000000}" name="ΣΑΒ" dataDxfId="2"/>
    <tableColumn id="7" xr3:uid="{00000000-0010-0000-0B00-000007000000}" name="ΚΥΡ" dataDxfId="1"/>
  </tableColumns>
  <tableStyleInfo showFirstColumn="0" showLastColumn="0" showRowStripes="0" showColumnStripes="0"/>
  <extLst>
    <ext xmlns:x14="http://schemas.microsoft.com/office/spreadsheetml/2009/9/main" uri="{504A1905-F514-4f6f-8877-14C23A59335A}">
      <x14:table altTextSummary="Το ημερολόγιο Ιανουαρίου που βρίσκεται σε αυτόν τον πίνακα ενημερώνεται αυτόματα με τα ονόματα ημερών της εβδομάδας και τις ημερομηνίες"/>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Οκτώβριος" displayName="Οκτώβριος" ref="K40:Q46" totalsRowShown="0" headerRowDxfId="106" dataDxfId="80">
  <autoFilter ref="K40:Q46" xr:uid="{00000000-0009-0000-0100-00000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ΔΕΥ" dataDxfId="87"/>
    <tableColumn id="2" xr3:uid="{00000000-0010-0000-0100-000002000000}" name="ΤΡΙ" dataDxfId="86"/>
    <tableColumn id="3" xr3:uid="{00000000-0010-0000-0100-000003000000}" name="ΤΕΤ" dataDxfId="85"/>
    <tableColumn id="4" xr3:uid="{00000000-0010-0000-0100-000004000000}" name="ΠΕΜ" dataDxfId="84"/>
    <tableColumn id="5" xr3:uid="{00000000-0010-0000-0100-000005000000}" name="ΠΑΡ" dataDxfId="83"/>
    <tableColumn id="6" xr3:uid="{00000000-0010-0000-0100-000006000000}" name="ΣΑΒ" dataDxfId="82"/>
    <tableColumn id="7" xr3:uid="{00000000-0010-0000-0100-000007000000}" name="ΚΥΡ" dataDxfId="81"/>
  </tableColumns>
  <tableStyleInfo showFirstColumn="0" showLastColumn="0" showRowStripes="0" showColumnStripes="0"/>
  <extLst>
    <ext xmlns:x14="http://schemas.microsoft.com/office/spreadsheetml/2009/9/main" uri="{504A1905-F514-4f6f-8877-14C23A59335A}">
      <x14:table altTextSummary="Το ημερολόγιο Οκτωβρίου που βρίσκεται σε αυτόν τον πίνακα ενημερώνεται αυτόματα με τα ονόματα ημερών της εβδομάδας και τις ημερομηνίες"/>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Δεκέμβριος" displayName="Δεκέμβριος" ref="K49:Q55" totalsRowShown="0" headerRowDxfId="105" dataDxfId="72">
  <autoFilter ref="K49:Q55"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ΔΕΥ" dataDxfId="79"/>
    <tableColumn id="2" xr3:uid="{00000000-0010-0000-0200-000002000000}" name="ΤΡΙ" dataDxfId="78"/>
    <tableColumn id="3" xr3:uid="{00000000-0010-0000-0200-000003000000}" name="ΤΕΤ" dataDxfId="77"/>
    <tableColumn id="4" xr3:uid="{00000000-0010-0000-0200-000004000000}" name="ΠΕΜ" dataDxfId="76"/>
    <tableColumn id="5" xr3:uid="{00000000-0010-0000-0200-000005000000}" name="ΠΑΡ" dataDxfId="75"/>
    <tableColumn id="6" xr3:uid="{00000000-0010-0000-0200-000006000000}" name="ΣΑΒ" dataDxfId="74"/>
    <tableColumn id="7" xr3:uid="{00000000-0010-0000-0200-000007000000}" name="ΚΥΡ" dataDxfId="73"/>
  </tableColumns>
  <tableStyleInfo showFirstColumn="0" showLastColumn="0" showRowStripes="0" showColumnStripes="0"/>
  <extLst>
    <ext xmlns:x14="http://schemas.microsoft.com/office/spreadsheetml/2009/9/main" uri="{504A1905-F514-4f6f-8877-14C23A59335A}">
      <x14:table altTextSummary="Το ημερολόγιο Δεκεμβρίου που βρίσκεται σε αυτόν τον πίνακα ενημερώνεται αυτόματα με τα ονόματα ημερών της εβδομάδας και τις ημερομηνίες"/>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Νοέμβριος" displayName="Νοέμβριος" ref="C49:I55" totalsRowShown="0" headerRowDxfId="104" dataDxfId="64">
  <autoFilter ref="C49:I55" xr:uid="{00000000-0009-0000-0100-00000C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ΔΕΥ" dataDxfId="71"/>
    <tableColumn id="2" xr3:uid="{00000000-0010-0000-0300-000002000000}" name="ΤΡΙ" dataDxfId="70"/>
    <tableColumn id="3" xr3:uid="{00000000-0010-0000-0300-000003000000}" name="ΤΕΤ" dataDxfId="69"/>
    <tableColumn id="4" xr3:uid="{00000000-0010-0000-0300-000004000000}" name="ΠΕΜ" dataDxfId="68"/>
    <tableColumn id="5" xr3:uid="{00000000-0010-0000-0300-000005000000}" name="ΠΑΡ" dataDxfId="67"/>
    <tableColumn id="6" xr3:uid="{00000000-0010-0000-0300-000006000000}" name="ΣΑΒ" dataDxfId="66"/>
    <tableColumn id="7" xr3:uid="{00000000-0010-0000-0300-000007000000}" name="ΚΥΡ" dataDxfId="65"/>
  </tableColumns>
  <tableStyleInfo showFirstColumn="0" showLastColumn="0" showRowStripes="0" showColumnStripes="0"/>
  <extLst>
    <ext xmlns:x14="http://schemas.microsoft.com/office/spreadsheetml/2009/9/main" uri="{504A1905-F514-4f6f-8877-14C23A59335A}">
      <x14:table altTextSummary="Το ημερολόγιο Νοεμβρίου που βρίσκεται σε αυτόν τον πίνακα ενημερώνεται αυτόματα με τα ονόματα ημερών της εβδομάδας και τις ημερομηνίες"/>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Αύγουστος" displayName="Αύγουστος" ref="K31:Q37" totalsRowShown="0" headerRowDxfId="103" dataDxfId="56">
  <autoFilter ref="K31:Q37"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ΔΕΥ" dataDxfId="63"/>
    <tableColumn id="2" xr3:uid="{00000000-0010-0000-0400-000002000000}" name="ΤΡΙ" dataDxfId="62"/>
    <tableColumn id="3" xr3:uid="{00000000-0010-0000-0400-000003000000}" name="ΤΕΤ" dataDxfId="61"/>
    <tableColumn id="4" xr3:uid="{00000000-0010-0000-0400-000004000000}" name="ΠΕΜ" dataDxfId="60"/>
    <tableColumn id="5" xr3:uid="{00000000-0010-0000-0400-000005000000}" name="ΠΑΡ" dataDxfId="59"/>
    <tableColumn id="6" xr3:uid="{00000000-0010-0000-0400-000006000000}" name="ΣΑΒ" dataDxfId="58"/>
    <tableColumn id="7" xr3:uid="{00000000-0010-0000-0400-000007000000}" name="ΚΥΡ" dataDxfId="57"/>
  </tableColumns>
  <tableStyleInfo showFirstColumn="0" showLastColumn="0" showRowStripes="0" showColumnStripes="0"/>
  <extLst>
    <ext xmlns:x14="http://schemas.microsoft.com/office/spreadsheetml/2009/9/main" uri="{504A1905-F514-4f6f-8877-14C23A59335A}">
      <x14:table altTextSummary="Το ημερολόγιο Αυγούστου που βρίσκεται σε αυτόν τον πίνακα ενημερώνεται αυτόματα με τα ονόματα ημερών της εβδομάδας και τις ημερομηνίες"/>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Ιούλιος" displayName="Ιούλιος" ref="C31:I37" totalsRowShown="0" headerRowDxfId="102" dataDxfId="48">
  <autoFilter ref="C31:I37" xr:uid="{00000000-0009-0000-0100-00000E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ΔΕΥ" dataDxfId="55"/>
    <tableColumn id="2" xr3:uid="{00000000-0010-0000-0500-000002000000}" name="ΤΡΙ" dataDxfId="54"/>
    <tableColumn id="3" xr3:uid="{00000000-0010-0000-0500-000003000000}" name="ΤΕΤ" dataDxfId="53"/>
    <tableColumn id="4" xr3:uid="{00000000-0010-0000-0500-000004000000}" name="ΠΕΜ" dataDxfId="52"/>
    <tableColumn id="5" xr3:uid="{00000000-0010-0000-0500-000005000000}" name="ΠΑΡ" dataDxfId="51"/>
    <tableColumn id="6" xr3:uid="{00000000-0010-0000-0500-000006000000}" name="ΣΑΒ" dataDxfId="50"/>
    <tableColumn id="7" xr3:uid="{00000000-0010-0000-0500-000007000000}" name="ΚΥΡ" dataDxfId="49"/>
  </tableColumns>
  <tableStyleInfo showFirstColumn="0" showLastColumn="0" showRowStripes="0" showColumnStripes="0"/>
  <extLst>
    <ext xmlns:x14="http://schemas.microsoft.com/office/spreadsheetml/2009/9/main" uri="{504A1905-F514-4f6f-8877-14C23A59335A}">
      <x14:table altTextSummary="Το ημερολόγιο Ιουλίου που βρίσκεται σε αυτόν τον πίνακα ενημερώνεται αυτόματα με τα ονόματα ημερών της εβδομάδας και τις ημερομηνίες"/>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Ιούνιος" displayName="Ιούνιος" ref="K22:Q28" totalsRowShown="0" headerRowDxfId="101" dataDxfId="40">
  <autoFilter ref="K22:Q28"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600-000001000000}" name="ΔΕΥ" dataDxfId="47"/>
    <tableColumn id="2" xr3:uid="{00000000-0010-0000-0600-000002000000}" name="ΤΡΙ" dataDxfId="46"/>
    <tableColumn id="3" xr3:uid="{00000000-0010-0000-0600-000003000000}" name="ΤΕΤ" dataDxfId="45"/>
    <tableColumn id="4" xr3:uid="{00000000-0010-0000-0600-000004000000}" name="ΠΕΜ" dataDxfId="44"/>
    <tableColumn id="5" xr3:uid="{00000000-0010-0000-0600-000005000000}" name="ΠΑΡ" dataDxfId="43"/>
    <tableColumn id="6" xr3:uid="{00000000-0010-0000-0600-000006000000}" name="ΣΑΒ" dataDxfId="42"/>
    <tableColumn id="7" xr3:uid="{00000000-0010-0000-0600-000007000000}" name="ΚΥΡ" dataDxfId="41"/>
  </tableColumns>
  <tableStyleInfo showFirstColumn="0" showLastColumn="0" showRowStripes="0" showColumnStripes="0"/>
  <extLst>
    <ext xmlns:x14="http://schemas.microsoft.com/office/spreadsheetml/2009/9/main" uri="{504A1905-F514-4f6f-8877-14C23A59335A}">
      <x14:table altTextSummary="Το Ημερολόγιο Ιουνίου που βρίσκεται σε αυτόν τον πίνακα ενημερώνεται αυτόματα με τα ονόματα ημερών της εβδομάδας και τις ημερομηνίες"/>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Μάιος" displayName="Μάιος" ref="C22:I28" totalsRowShown="0" headerRowDxfId="100" dataDxfId="32">
  <autoFilter ref="C22:I28"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ΔΕΥ" dataDxfId="39"/>
    <tableColumn id="2" xr3:uid="{00000000-0010-0000-0700-000002000000}" name="ΤΡΙ" dataDxfId="38"/>
    <tableColumn id="3" xr3:uid="{00000000-0010-0000-0700-000003000000}" name="ΤΕΤ" dataDxfId="37"/>
    <tableColumn id="4" xr3:uid="{00000000-0010-0000-0700-000004000000}" name="ΠΕΜ" dataDxfId="36"/>
    <tableColumn id="5" xr3:uid="{00000000-0010-0000-0700-000005000000}" name="ΠΑΡ" dataDxfId="35"/>
    <tableColumn id="6" xr3:uid="{00000000-0010-0000-0700-000006000000}" name="ΣΑΒ" dataDxfId="34"/>
    <tableColumn id="7" xr3:uid="{00000000-0010-0000-0700-000007000000}" name="ΚΥΡ" dataDxfId="33"/>
  </tableColumns>
  <tableStyleInfo showFirstColumn="0" showLastColumn="0" showRowStripes="0" showColumnStripes="0"/>
  <extLst>
    <ext xmlns:x14="http://schemas.microsoft.com/office/spreadsheetml/2009/9/main" uri="{504A1905-F514-4f6f-8877-14C23A59335A}">
      <x14:table altTextSummary="Το ημερολόγιο Μαΐου που βρίσκεται σε αυτόν τον πίνακα ενημερώνεται αυτόματα με τα ονόματα ημερών της εβδομάδας και τις ημερομηνίες"/>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Μάρτιος" displayName="Μάρτιος" ref="C13:I19" totalsRowShown="0" headerRowDxfId="99" dataDxfId="24">
  <autoFilter ref="C13:I19" xr:uid="{00000000-0009-0000-0100-00001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800-000001000000}" name="ΔΕΥ" dataDxfId="31"/>
    <tableColumn id="2" xr3:uid="{00000000-0010-0000-0800-000002000000}" name="ΤΡΙ" dataDxfId="30"/>
    <tableColumn id="3" xr3:uid="{00000000-0010-0000-0800-000003000000}" name="ΤΕΤ" dataDxfId="29"/>
    <tableColumn id="4" xr3:uid="{00000000-0010-0000-0800-000004000000}" name="ΠΕΜ" dataDxfId="28"/>
    <tableColumn id="5" xr3:uid="{00000000-0010-0000-0800-000005000000}" name="ΠΑΡ" dataDxfId="27"/>
    <tableColumn id="6" xr3:uid="{00000000-0010-0000-0800-000006000000}" name="ΣΑΒ" dataDxfId="26"/>
    <tableColumn id="7" xr3:uid="{00000000-0010-0000-0800-000007000000}" name="ΚΥΡ" dataDxfId="25"/>
  </tableColumns>
  <tableStyleInfo showFirstColumn="0" showLastColumn="0" showRowStripes="0" showColumnStripes="0"/>
  <extLst>
    <ext xmlns:x14="http://schemas.microsoft.com/office/spreadsheetml/2009/9/main" uri="{504A1905-F514-4f6f-8877-14C23A59335A}">
      <x14:table altTextSummary="Το ημερολόγιο Μαρτίου που βρίσκεται σε αυτόν τον πίνακα ενημερώνεται αυτόματα με τα ονόματα ημερών της εβδομάδας και τις ημερομηνίες"/>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B1:B8"/>
  <sheetViews>
    <sheetView showGridLines="0" tabSelected="1" workbookViewId="0"/>
  </sheetViews>
  <sheetFormatPr defaultRowHeight="11.25" x14ac:dyDescent="0.2"/>
  <cols>
    <col min="1" max="1" width="2.83203125" customWidth="1"/>
    <col min="2" max="2" width="92.83203125" style="16" customWidth="1"/>
    <col min="3" max="3" width="2.83203125" customWidth="1"/>
  </cols>
  <sheetData>
    <row r="1" spans="2:2" ht="30" customHeight="1" x14ac:dyDescent="0.2">
      <c r="B1" s="13" t="s">
        <v>0</v>
      </c>
    </row>
    <row r="2" spans="2:2" ht="50.25" customHeight="1" x14ac:dyDescent="0.2">
      <c r="B2" s="12" t="s">
        <v>1</v>
      </c>
    </row>
    <row r="3" spans="2:2" ht="48.75" customHeight="1" x14ac:dyDescent="0.2">
      <c r="B3" s="12" t="s">
        <v>2</v>
      </c>
    </row>
    <row r="4" spans="2:2" ht="30" customHeight="1" x14ac:dyDescent="0.2">
      <c r="B4" s="12" t="s">
        <v>3</v>
      </c>
    </row>
    <row r="5" spans="2:2" ht="30" customHeight="1" x14ac:dyDescent="0.25">
      <c r="B5" s="15" t="s">
        <v>4</v>
      </c>
    </row>
    <row r="6" spans="2:2" ht="65.25" customHeight="1" x14ac:dyDescent="0.2">
      <c r="B6" s="20" t="s">
        <v>5</v>
      </c>
    </row>
    <row r="7" spans="2:2" ht="45" x14ac:dyDescent="0.2">
      <c r="B7" s="14" t="s">
        <v>6</v>
      </c>
    </row>
    <row r="8" spans="2:2" ht="15" x14ac:dyDescent="0.2">
      <c r="B8"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W69"/>
  <sheetViews>
    <sheetView showGridLines="0" zoomScaleNormal="100" workbookViewId="0"/>
  </sheetViews>
  <sheetFormatPr defaultColWidth="9.5" defaultRowHeight="11.25" x14ac:dyDescent="0.2"/>
  <cols>
    <col min="1" max="1" width="2.5" style="19" customWidth="1"/>
    <col min="2" max="2" width="5.1640625" customWidth="1"/>
    <col min="3" max="17" width="5" customWidth="1"/>
    <col min="18" max="18" width="2.1640625" customWidth="1"/>
    <col min="19" max="19" width="1.1640625" customWidth="1"/>
    <col min="20" max="20" width="5.1640625" customWidth="1"/>
    <col min="21" max="21" width="42" customWidth="1"/>
    <col min="22" max="22" width="9.33203125" customWidth="1"/>
    <col min="23" max="23" width="13.5" customWidth="1"/>
    <col min="24" max="24" width="2.83203125" customWidth="1"/>
    <col min="25" max="43" width="9.33203125" customWidth="1"/>
    <col min="44" max="44" width="9.5" customWidth="1"/>
  </cols>
  <sheetData>
    <row r="1" spans="1:23" ht="30" customHeight="1" x14ac:dyDescent="0.2">
      <c r="A1" s="17" t="s">
        <v>7</v>
      </c>
      <c r="B1" s="4"/>
      <c r="C1" s="27">
        <v>2020</v>
      </c>
      <c r="D1" s="27"/>
      <c r="E1" s="27"/>
      <c r="F1" s="27"/>
      <c r="G1" s="5"/>
      <c r="H1" s="6"/>
      <c r="I1" s="6"/>
      <c r="J1" s="6"/>
      <c r="K1" s="6"/>
      <c r="L1" s="6"/>
      <c r="M1" s="6"/>
      <c r="N1" s="6"/>
      <c r="O1" s="6"/>
      <c r="P1" s="6"/>
      <c r="Q1" s="6"/>
      <c r="R1" s="6"/>
      <c r="S1" s="4"/>
      <c r="T1" s="4"/>
      <c r="U1" s="7" t="s">
        <v>45</v>
      </c>
      <c r="V1" s="4"/>
      <c r="W1" s="4"/>
    </row>
    <row r="2" spans="1:23" ht="15" customHeight="1" x14ac:dyDescent="0.2">
      <c r="A2" s="18" t="s">
        <v>8</v>
      </c>
      <c r="B2" s="29" t="s">
        <v>25</v>
      </c>
      <c r="C2" s="29"/>
      <c r="D2" s="29"/>
      <c r="E2" s="29"/>
      <c r="F2" s="29"/>
      <c r="G2" s="29"/>
      <c r="H2" s="29"/>
      <c r="I2" s="29"/>
      <c r="J2" s="29"/>
      <c r="K2" s="29"/>
      <c r="L2" s="29"/>
      <c r="M2" s="29"/>
      <c r="N2" s="29"/>
      <c r="O2" s="29"/>
      <c r="P2" s="29"/>
      <c r="S2" s="24"/>
    </row>
    <row r="3" spans="1:23" ht="15" customHeight="1" x14ac:dyDescent="0.25">
      <c r="A3" s="19" t="s">
        <v>9</v>
      </c>
      <c r="C3" s="26" t="s">
        <v>26</v>
      </c>
      <c r="D3" s="26"/>
      <c r="E3" s="26"/>
      <c r="F3" s="26"/>
      <c r="G3" s="26"/>
      <c r="H3" s="26"/>
      <c r="I3" s="26"/>
      <c r="J3" s="21"/>
      <c r="K3" s="26" t="s">
        <v>39</v>
      </c>
      <c r="L3" s="26"/>
      <c r="M3" s="26"/>
      <c r="N3" s="26"/>
      <c r="O3" s="26"/>
      <c r="P3" s="26"/>
      <c r="Q3" s="26"/>
      <c r="S3" s="24"/>
      <c r="U3" s="10" t="s">
        <v>46</v>
      </c>
      <c r="V3" s="25"/>
      <c r="W3" s="25"/>
    </row>
    <row r="4" spans="1:23" ht="15" customHeight="1" x14ac:dyDescent="0.2">
      <c r="A4" s="18" t="s">
        <v>10</v>
      </c>
      <c r="C4" s="11" t="s">
        <v>27</v>
      </c>
      <c r="D4" s="11" t="s">
        <v>33</v>
      </c>
      <c r="E4" s="11" t="s">
        <v>34</v>
      </c>
      <c r="F4" s="11" t="s">
        <v>35</v>
      </c>
      <c r="G4" s="11" t="s">
        <v>36</v>
      </c>
      <c r="H4" s="11" t="s">
        <v>37</v>
      </c>
      <c r="I4" s="11" t="s">
        <v>38</v>
      </c>
      <c r="J4" s="22"/>
      <c r="K4" s="11" t="s">
        <v>27</v>
      </c>
      <c r="L4" s="11" t="s">
        <v>33</v>
      </c>
      <c r="M4" s="11" t="s">
        <v>34</v>
      </c>
      <c r="N4" s="11" t="s">
        <v>35</v>
      </c>
      <c r="O4" s="11" t="s">
        <v>36</v>
      </c>
      <c r="P4" s="11" t="s">
        <v>37</v>
      </c>
      <c r="Q4" s="11" t="s">
        <v>38</v>
      </c>
      <c r="S4" s="24"/>
      <c r="U4" s="3" t="s">
        <v>47</v>
      </c>
      <c r="V4" s="25"/>
      <c r="W4" s="25"/>
    </row>
    <row r="5" spans="1:23" ht="15" customHeight="1" x14ac:dyDescent="0.2">
      <c r="A5" s="18"/>
      <c r="C5" s="30" t="str">
        <f>IF(DAY(JanSun1)=1,"",IF(AND(YEAR(JanSun1+1)=ΈτοςΗμερολογίου,MONTH(JanSun1+1)=1),JanSun1+1,""))</f>
        <v/>
      </c>
      <c r="D5" s="30" t="str">
        <f>IF(DAY(JanSun1)=1,"",IF(AND(YEAR(JanSun1+2)=ΈτοςΗμερολογίου,MONTH(JanSun1+2)=1),JanSun1+2,""))</f>
        <v/>
      </c>
      <c r="E5" s="30">
        <f>IF(DAY(JanSun1)=1,"",IF(AND(YEAR(JanSun1+3)=ΈτοςΗμερολογίου,MONTH(JanSun1+3)=1),JanSun1+3,""))</f>
        <v>43831</v>
      </c>
      <c r="F5" s="30">
        <f>IF(DAY(JanSun1)=1,"",IF(AND(YEAR(JanSun1+4)=ΈτοςΗμερολογίου,MONTH(JanSun1+4)=1),JanSun1+4,""))</f>
        <v>43832</v>
      </c>
      <c r="G5" s="30">
        <f>IF(DAY(JanSun1)=1,"",IF(AND(YEAR(JanSun1+5)=ΈτοςΗμερολογίου,MONTH(JanSun1+5)=1),JanSun1+5,""))</f>
        <v>43833</v>
      </c>
      <c r="H5" s="30">
        <f>IF(DAY(JanSun1)=1,"",IF(AND(YEAR(JanSun1+6)=ΈτοςΗμερολογίου,MONTH(JanSun1+6)=1),JanSun1+6,""))</f>
        <v>43834</v>
      </c>
      <c r="I5" s="30">
        <f>IF(DAY(JanSun1)=1,IF(AND(YEAR(JanSun1)=ΈτοςΗμερολογίου,MONTH(JanSun1)=1),JanSun1,""),IF(AND(YEAR(JanSun1+7)=ΈτοςΗμερολογίου,MONTH(JanSun1+7)=1),JanSun1+7,""))</f>
        <v>43835</v>
      </c>
      <c r="J5" s="22"/>
      <c r="K5" s="30" t="str">
        <f>IF(DAY(FebSun1)=1,"",IF(AND(YEAR(FebSun1+1)=ΈτοςΗμερολογίου,MONTH(FebSun1+1)=2),FebSun1+1,""))</f>
        <v/>
      </c>
      <c r="L5" s="30" t="str">
        <f>IF(DAY(FebSun1)=1,"",IF(AND(YEAR(FebSun1+2)=ΈτοςΗμερολογίου,MONTH(FebSun1+2)=2),FebSun1+2,""))</f>
        <v/>
      </c>
      <c r="M5" s="30" t="str">
        <f>IF(DAY(FebSun1)=1,"",IF(AND(YEAR(FebSun1+3)=ΈτοςΗμερολογίου,MONTH(FebSun1+3)=2),FebSun1+3,""))</f>
        <v/>
      </c>
      <c r="N5" s="30" t="str">
        <f>IF(DAY(FebSun1)=1,"",IF(AND(YEAR(FebSun1+4)=ΈτοςΗμερολογίου,MONTH(FebSun1+4)=2),FebSun1+4,""))</f>
        <v/>
      </c>
      <c r="O5" s="30" t="str">
        <f>IF(DAY(FebSun1)=1,"",IF(AND(YEAR(FebSun1+5)=ΈτοςΗμερολογίου,MONTH(FebSun1+5)=2),FebSun1+5,""))</f>
        <v/>
      </c>
      <c r="P5" s="30">
        <f>IF(DAY(FebSun1)=1,"",IF(AND(YEAR(FebSun1+6)=ΈτοςΗμερολογίου,MONTH(FebSun1+6)=2),FebSun1+6,""))</f>
        <v>43862</v>
      </c>
      <c r="Q5" s="30">
        <f>IF(DAY(FebSun1)=1,IF(AND(YEAR(FebSun1)=ΈτοςΗμερολογίου,MONTH(FebSun1)=2),FebSun1,""),IF(AND(YEAR(FebSun1+7)=ΈτοςΗμερολογίου,MONTH(FebSun1+7)=2),FebSun1+7,""))</f>
        <v>43863</v>
      </c>
      <c r="S5" s="24"/>
      <c r="U5" s="2"/>
      <c r="V5" s="25"/>
      <c r="W5" s="25"/>
    </row>
    <row r="6" spans="1:23" ht="15" customHeight="1" x14ac:dyDescent="0.2">
      <c r="A6" s="18"/>
      <c r="C6" s="30">
        <f>IF(DAY(JanSun1)=1,IF(AND(YEAR(JanSun1+1)=ΈτοςΗμερολογίου,MONTH(JanSun1+1)=1),JanSun1+1,""),IF(AND(YEAR(JanSun1+8)=ΈτοςΗμερολογίου,MONTH(JanSun1+8)=1),JanSun1+8,""))</f>
        <v>43836</v>
      </c>
      <c r="D6" s="30">
        <f>IF(DAY(JanSun1)=1,IF(AND(YEAR(JanSun1+2)=ΈτοςΗμερολογίου,MONTH(JanSun1+2)=1),JanSun1+2,""),IF(AND(YEAR(JanSun1+9)=ΈτοςΗμερολογίου,MONTH(JanSun1+9)=1),JanSun1+9,""))</f>
        <v>43837</v>
      </c>
      <c r="E6" s="30">
        <f>IF(DAY(JanSun1)=1,IF(AND(YEAR(JanSun1+3)=ΈτοςΗμερολογίου,MONTH(JanSun1+3)=1),JanSun1+3,""),IF(AND(YEAR(JanSun1+10)=ΈτοςΗμερολογίου,MONTH(JanSun1+10)=1),JanSun1+10,""))</f>
        <v>43838</v>
      </c>
      <c r="F6" s="30">
        <f>IF(DAY(JanSun1)=1,IF(AND(YEAR(JanSun1+4)=ΈτοςΗμερολογίου,MONTH(JanSun1+4)=1),JanSun1+4,""),IF(AND(YEAR(JanSun1+11)=ΈτοςΗμερολογίου,MONTH(JanSun1+11)=1),JanSun1+11,""))</f>
        <v>43839</v>
      </c>
      <c r="G6" s="30">
        <f>IF(DAY(JanSun1)=1,IF(AND(YEAR(JanSun1+5)=ΈτοςΗμερολογίου,MONTH(JanSun1+5)=1),JanSun1+5,""),IF(AND(YEAR(JanSun1+12)=ΈτοςΗμερολογίου,MONTH(JanSun1+12)=1),JanSun1+12,""))</f>
        <v>43840</v>
      </c>
      <c r="H6" s="30">
        <f>IF(DAY(JanSun1)=1,IF(AND(YEAR(JanSun1+6)=ΈτοςΗμερολογίου,MONTH(JanSun1+6)=1),JanSun1+6,""),IF(AND(YEAR(JanSun1+13)=ΈτοςΗμερολογίου,MONTH(JanSun1+13)=1),JanSun1+13,""))</f>
        <v>43841</v>
      </c>
      <c r="I6" s="30">
        <f>IF(DAY(JanSun1)=1,IF(AND(YEAR(JanSun1+7)=ΈτοςΗμερολογίου,MONTH(JanSun1+7)=1),JanSun1+7,""),IF(AND(YEAR(JanSun1+14)=ΈτοςΗμερολογίου,MONTH(JanSun1+14)=1),JanSun1+14,""))</f>
        <v>43842</v>
      </c>
      <c r="J6" s="22"/>
      <c r="K6" s="30">
        <f>IF(DAY(FebSun1)=1,IF(AND(YEAR(FebSun1+1)=ΈτοςΗμερολογίου,MONTH(FebSun1+1)=2),FebSun1+1,""),IF(AND(YEAR(FebSun1+8)=ΈτοςΗμερολογίου,MONTH(FebSun1+8)=2),FebSun1+8,""))</f>
        <v>43864</v>
      </c>
      <c r="L6" s="30">
        <f>IF(DAY(FebSun1)=1,IF(AND(YEAR(FebSun1+2)=ΈτοςΗμερολογίου,MONTH(FebSun1+2)=2),FebSun1+2,""),IF(AND(YEAR(FebSun1+9)=ΈτοςΗμερολογίου,MONTH(FebSun1+9)=2),FebSun1+9,""))</f>
        <v>43865</v>
      </c>
      <c r="M6" s="30">
        <f>IF(DAY(FebSun1)=1,IF(AND(YEAR(FebSun1+3)=ΈτοςΗμερολογίου,MONTH(FebSun1+3)=2),FebSun1+3,""),IF(AND(YEAR(FebSun1+10)=ΈτοςΗμερολογίου,MONTH(FebSun1+10)=2),FebSun1+10,""))</f>
        <v>43866</v>
      </c>
      <c r="N6" s="30">
        <f>IF(DAY(FebSun1)=1,IF(AND(YEAR(FebSun1+4)=ΈτοςΗμερολογίου,MONTH(FebSun1+4)=2),FebSun1+4,""),IF(AND(YEAR(FebSun1+11)=ΈτοςΗμερολογίου,MONTH(FebSun1+11)=2),FebSun1+11,""))</f>
        <v>43867</v>
      </c>
      <c r="O6" s="30">
        <f>IF(DAY(FebSun1)=1,IF(AND(YEAR(FebSun1+5)=ΈτοςΗμερολογίου,MONTH(FebSun1+5)=2),FebSun1+5,""),IF(AND(YEAR(FebSun1+12)=ΈτοςΗμερολογίου,MONTH(FebSun1+12)=2),FebSun1+12,""))</f>
        <v>43868</v>
      </c>
      <c r="P6" s="30">
        <f>IF(DAY(FebSun1)=1,IF(AND(YEAR(FebSun1+6)=ΈτοςΗμερολογίου,MONTH(FebSun1+6)=2),FebSun1+6,""),IF(AND(YEAR(FebSun1+13)=ΈτοςΗμερολογίου,MONTH(FebSun1+13)=2),FebSun1+13,""))</f>
        <v>43869</v>
      </c>
      <c r="Q6" s="30">
        <f>IF(DAY(FebSun1)=1,IF(AND(YEAR(FebSun1+7)=ΈτοςΗμερολογίου,MONTH(FebSun1+7)=2),FebSun1+7,""),IF(AND(YEAR(FebSun1+14)=ΈτοςΗμερολογίου,MONTH(FebSun1+14)=2),FebSun1+14,""))</f>
        <v>43870</v>
      </c>
      <c r="S6" s="24"/>
      <c r="U6" s="10" t="s">
        <v>48</v>
      </c>
      <c r="V6" s="25"/>
      <c r="W6" s="25"/>
    </row>
    <row r="7" spans="1:23" ht="15" customHeight="1" x14ac:dyDescent="0.2">
      <c r="C7" s="30">
        <f>IF(DAY(JanSun1)=1,IF(AND(YEAR(JanSun1+8)=ΈτοςΗμερολογίου,MONTH(JanSun1+8)=1),JanSun1+8,""),IF(AND(YEAR(JanSun1+15)=ΈτοςΗμερολογίου,MONTH(JanSun1+15)=1),JanSun1+15,""))</f>
        <v>43843</v>
      </c>
      <c r="D7" s="30">
        <f>IF(DAY(JanSun1)=1,IF(AND(YEAR(JanSun1+9)=ΈτοςΗμερολογίου,MONTH(JanSun1+9)=1),JanSun1+9,""),IF(AND(YEAR(JanSun1+16)=ΈτοςΗμερολογίου,MONTH(JanSun1+16)=1),JanSun1+16,""))</f>
        <v>43844</v>
      </c>
      <c r="E7" s="30">
        <f>IF(DAY(JanSun1)=1,IF(AND(YEAR(JanSun1+10)=ΈτοςΗμερολογίου,MONTH(JanSun1+10)=1),JanSun1+10,""),IF(AND(YEAR(JanSun1+17)=ΈτοςΗμερολογίου,MONTH(JanSun1+17)=1),JanSun1+17,""))</f>
        <v>43845</v>
      </c>
      <c r="F7" s="30">
        <f>IF(DAY(JanSun1)=1,IF(AND(YEAR(JanSun1+11)=ΈτοςΗμερολογίου,MONTH(JanSun1+11)=1),JanSun1+11,""),IF(AND(YEAR(JanSun1+18)=ΈτοςΗμερολογίου,MONTH(JanSun1+18)=1),JanSun1+18,""))</f>
        <v>43846</v>
      </c>
      <c r="G7" s="30">
        <f>IF(DAY(JanSun1)=1,IF(AND(YEAR(JanSun1+12)=ΈτοςΗμερολογίου,MONTH(JanSun1+12)=1),JanSun1+12,""),IF(AND(YEAR(JanSun1+19)=ΈτοςΗμερολογίου,MONTH(JanSun1+19)=1),JanSun1+19,""))</f>
        <v>43847</v>
      </c>
      <c r="H7" s="30">
        <f>IF(DAY(JanSun1)=1,IF(AND(YEAR(JanSun1+13)=ΈτοςΗμερολογίου,MONTH(JanSun1+13)=1),JanSun1+13,""),IF(AND(YEAR(JanSun1+20)=ΈτοςΗμερολογίου,MONTH(JanSun1+20)=1),JanSun1+20,""))</f>
        <v>43848</v>
      </c>
      <c r="I7" s="30">
        <f>IF(DAY(JanSun1)=1,IF(AND(YEAR(JanSun1+14)=ΈτοςΗμερολογίου,MONTH(JanSun1+14)=1),JanSun1+14,""),IF(AND(YEAR(JanSun1+21)=ΈτοςΗμερολογίου,MONTH(JanSun1+21)=1),JanSun1+21,""))</f>
        <v>43849</v>
      </c>
      <c r="J7" s="22"/>
      <c r="K7" s="30">
        <f>IF(DAY(FebSun1)=1,IF(AND(YEAR(FebSun1+8)=ΈτοςΗμερολογίου,MONTH(FebSun1+8)=2),FebSun1+8,""),IF(AND(YEAR(FebSun1+15)=ΈτοςΗμερολογίου,MONTH(FebSun1+15)=2),FebSun1+15,""))</f>
        <v>43871</v>
      </c>
      <c r="L7" s="30">
        <f>IF(DAY(FebSun1)=1,IF(AND(YEAR(FebSun1+9)=ΈτοςΗμερολογίου,MONTH(FebSun1+9)=2),FebSun1+9,""),IF(AND(YEAR(FebSun1+16)=ΈτοςΗμερολογίου,MONTH(FebSun1+16)=2),FebSun1+16,""))</f>
        <v>43872</v>
      </c>
      <c r="M7" s="30">
        <f>IF(DAY(FebSun1)=1,IF(AND(YEAR(FebSun1+10)=ΈτοςΗμερολογίου,MONTH(FebSun1+10)=2),FebSun1+10,""),IF(AND(YEAR(FebSun1+17)=ΈτοςΗμερολογίου,MONTH(FebSun1+17)=2),FebSun1+17,""))</f>
        <v>43873</v>
      </c>
      <c r="N7" s="30">
        <f>IF(DAY(FebSun1)=1,IF(AND(YEAR(FebSun1+11)=ΈτοςΗμερολογίου,MONTH(FebSun1+11)=2),FebSun1+11,""),IF(AND(YEAR(FebSun1+18)=ΈτοςΗμερολογίου,MONTH(FebSun1+18)=2),FebSun1+18,""))</f>
        <v>43874</v>
      </c>
      <c r="O7" s="30">
        <f>IF(DAY(FebSun1)=1,IF(AND(YEAR(FebSun1+12)=ΈτοςΗμερολογίου,MONTH(FebSun1+12)=2),FebSun1+12,""),IF(AND(YEAR(FebSun1+19)=ΈτοςΗμερολογίου,MONTH(FebSun1+19)=2),FebSun1+19,""))</f>
        <v>43875</v>
      </c>
      <c r="P7" s="30">
        <f>IF(DAY(FebSun1)=1,IF(AND(YEAR(FebSun1+13)=ΈτοςΗμερολογίου,MONTH(FebSun1+13)=2),FebSun1+13,""),IF(AND(YEAR(FebSun1+20)=ΈτοςΗμερολογίου,MONTH(FebSun1+20)=2),FebSun1+20,""))</f>
        <v>43876</v>
      </c>
      <c r="Q7" s="30">
        <f>IF(DAY(FebSun1)=1,IF(AND(YEAR(FebSun1+14)=ΈτοςΗμερολογίου,MONTH(FebSun1+14)=2),FebSun1+14,""),IF(AND(YEAR(FebSun1+21)=ΈτοςΗμερολογίου,MONTH(FebSun1+21)=2),FebSun1+21,""))</f>
        <v>43877</v>
      </c>
      <c r="S7" s="24"/>
      <c r="U7" s="3" t="s">
        <v>49</v>
      </c>
      <c r="V7" s="25"/>
      <c r="W7" s="25"/>
    </row>
    <row r="8" spans="1:23" ht="15" customHeight="1" x14ac:dyDescent="0.2">
      <c r="C8" s="30">
        <f>IF(DAY(JanSun1)=1,IF(AND(YEAR(JanSun1+15)=ΈτοςΗμερολογίου,MONTH(JanSun1+15)=1),JanSun1+15,""),IF(AND(YEAR(JanSun1+22)=ΈτοςΗμερολογίου,MONTH(JanSun1+22)=1),JanSun1+22,""))</f>
        <v>43850</v>
      </c>
      <c r="D8" s="30">
        <f>IF(DAY(JanSun1)=1,IF(AND(YEAR(JanSun1+16)=ΈτοςΗμερολογίου,MONTH(JanSun1+16)=1),JanSun1+16,""),IF(AND(YEAR(JanSun1+23)=ΈτοςΗμερολογίου,MONTH(JanSun1+23)=1),JanSun1+23,""))</f>
        <v>43851</v>
      </c>
      <c r="E8" s="30">
        <f>IF(DAY(JanSun1)=1,IF(AND(YEAR(JanSun1+17)=ΈτοςΗμερολογίου,MONTH(JanSun1+17)=1),JanSun1+17,""),IF(AND(YEAR(JanSun1+24)=ΈτοςΗμερολογίου,MONTH(JanSun1+24)=1),JanSun1+24,""))</f>
        <v>43852</v>
      </c>
      <c r="F8" s="30">
        <f>IF(DAY(JanSun1)=1,IF(AND(YEAR(JanSun1+18)=ΈτοςΗμερολογίου,MONTH(JanSun1+18)=1),JanSun1+18,""),IF(AND(YEAR(JanSun1+25)=ΈτοςΗμερολογίου,MONTH(JanSun1+25)=1),JanSun1+25,""))</f>
        <v>43853</v>
      </c>
      <c r="G8" s="30">
        <f>IF(DAY(JanSun1)=1,IF(AND(YEAR(JanSun1+19)=ΈτοςΗμερολογίου,MONTH(JanSun1+19)=1),JanSun1+19,""),IF(AND(YEAR(JanSun1+26)=ΈτοςΗμερολογίου,MONTH(JanSun1+26)=1),JanSun1+26,""))</f>
        <v>43854</v>
      </c>
      <c r="H8" s="30">
        <f>IF(DAY(JanSun1)=1,IF(AND(YEAR(JanSun1+20)=ΈτοςΗμερολογίου,MONTH(JanSun1+20)=1),JanSun1+20,""),IF(AND(YEAR(JanSun1+27)=ΈτοςΗμερολογίου,MONTH(JanSun1+27)=1),JanSun1+27,""))</f>
        <v>43855</v>
      </c>
      <c r="I8" s="30">
        <f>IF(DAY(JanSun1)=1,IF(AND(YEAR(JanSun1+21)=ΈτοςΗμερολογίου,MONTH(JanSun1+21)=1),JanSun1+21,""),IF(AND(YEAR(JanSun1+28)=ΈτοςΗμερολογίου,MONTH(JanSun1+28)=1),JanSun1+28,""))</f>
        <v>43856</v>
      </c>
      <c r="J8" s="22"/>
      <c r="K8" s="30">
        <f>IF(DAY(FebSun1)=1,IF(AND(YEAR(FebSun1+15)=ΈτοςΗμερολογίου,MONTH(FebSun1+15)=2),FebSun1+15,""),IF(AND(YEAR(FebSun1+22)=ΈτοςΗμερολογίου,MONTH(FebSun1+22)=2),FebSun1+22,""))</f>
        <v>43878</v>
      </c>
      <c r="L8" s="30">
        <f>IF(DAY(FebSun1)=1,IF(AND(YEAR(FebSun1+16)=ΈτοςΗμερολογίου,MONTH(FebSun1+16)=2),FebSun1+16,""),IF(AND(YEAR(FebSun1+23)=ΈτοςΗμερολογίου,MONTH(FebSun1+23)=2),FebSun1+23,""))</f>
        <v>43879</v>
      </c>
      <c r="M8" s="30">
        <f>IF(DAY(FebSun1)=1,IF(AND(YEAR(FebSun1+17)=ΈτοςΗμερολογίου,MONTH(FebSun1+17)=2),FebSun1+17,""),IF(AND(YEAR(FebSun1+24)=ΈτοςΗμερολογίου,MONTH(FebSun1+24)=2),FebSun1+24,""))</f>
        <v>43880</v>
      </c>
      <c r="N8" s="30">
        <f>IF(DAY(FebSun1)=1,IF(AND(YEAR(FebSun1+18)=ΈτοςΗμερολογίου,MONTH(FebSun1+18)=2),FebSun1+18,""),IF(AND(YEAR(FebSun1+25)=ΈτοςΗμερολογίου,MONTH(FebSun1+25)=2),FebSun1+25,""))</f>
        <v>43881</v>
      </c>
      <c r="O8" s="30">
        <f>IF(DAY(FebSun1)=1,IF(AND(YEAR(FebSun1+19)=ΈτοςΗμερολογίου,MONTH(FebSun1+19)=2),FebSun1+19,""),IF(AND(YEAR(FebSun1+26)=ΈτοςΗμερολογίου,MONTH(FebSun1+26)=2),FebSun1+26,""))</f>
        <v>43882</v>
      </c>
      <c r="P8" s="30">
        <f>IF(DAY(FebSun1)=1,IF(AND(YEAR(FebSun1+20)=ΈτοςΗμερολογίου,MONTH(FebSun1+20)=2),FebSun1+20,""),IF(AND(YEAR(FebSun1+27)=ΈτοςΗμερολογίου,MONTH(FebSun1+27)=2),FebSun1+27,""))</f>
        <v>43883</v>
      </c>
      <c r="Q8" s="30">
        <f>IF(DAY(FebSun1)=1,IF(AND(YEAR(FebSun1+21)=ΈτοςΗμερολογίου,MONTH(FebSun1+21)=2),FebSun1+21,""),IF(AND(YEAR(FebSun1+28)=ΈτοςΗμερολογίου,MONTH(FebSun1+28)=2),FebSun1+28,""))</f>
        <v>43884</v>
      </c>
      <c r="S8" s="24"/>
      <c r="U8" s="2"/>
      <c r="V8" s="25"/>
      <c r="W8" s="25"/>
    </row>
    <row r="9" spans="1:23" ht="15" customHeight="1" x14ac:dyDescent="0.2">
      <c r="C9" s="30">
        <f>IF(DAY(JanSun1)=1,IF(AND(YEAR(JanSun1+22)=ΈτοςΗμερολογίου,MONTH(JanSun1+22)=1),JanSun1+22,""),IF(AND(YEAR(JanSun1+29)=ΈτοςΗμερολογίου,MONTH(JanSun1+29)=1),JanSun1+29,""))</f>
        <v>43857</v>
      </c>
      <c r="D9" s="30">
        <f>IF(DAY(JanSun1)=1,IF(AND(YEAR(JanSun1+23)=ΈτοςΗμερολογίου,MONTH(JanSun1+23)=1),JanSun1+23,""),IF(AND(YEAR(JanSun1+30)=ΈτοςΗμερολογίου,MONTH(JanSun1+30)=1),JanSun1+30,""))</f>
        <v>43858</v>
      </c>
      <c r="E9" s="30">
        <f>IF(DAY(JanSun1)=1,IF(AND(YEAR(JanSun1+24)=ΈτοςΗμερολογίου,MONTH(JanSun1+24)=1),JanSun1+24,""),IF(AND(YEAR(JanSun1+31)=ΈτοςΗμερολογίου,MONTH(JanSun1+31)=1),JanSun1+31,""))</f>
        <v>43859</v>
      </c>
      <c r="F9" s="30">
        <f>IF(DAY(JanSun1)=1,IF(AND(YEAR(JanSun1+25)=ΈτοςΗμερολογίου,MONTH(JanSun1+25)=1),JanSun1+25,""),IF(AND(YEAR(JanSun1+32)=ΈτοςΗμερολογίου,MONTH(JanSun1+32)=1),JanSun1+32,""))</f>
        <v>43860</v>
      </c>
      <c r="G9" s="30">
        <f>IF(DAY(JanSun1)=1,IF(AND(YEAR(JanSun1+26)=ΈτοςΗμερολογίου,MONTH(JanSun1+26)=1),JanSun1+26,""),IF(AND(YEAR(JanSun1+33)=ΈτοςΗμερολογίου,MONTH(JanSun1+33)=1),JanSun1+33,""))</f>
        <v>43861</v>
      </c>
      <c r="H9" s="30" t="str">
        <f>IF(DAY(JanSun1)=1,IF(AND(YEAR(JanSun1+27)=ΈτοςΗμερολογίου,MONTH(JanSun1+27)=1),JanSun1+27,""),IF(AND(YEAR(JanSun1+34)=ΈτοςΗμερολογίου,MONTH(JanSun1+34)=1),JanSun1+34,""))</f>
        <v/>
      </c>
      <c r="I9" s="30" t="str">
        <f>IF(DAY(JanSun1)=1,IF(AND(YEAR(JanSun1+28)=ΈτοςΗμερολογίου,MONTH(JanSun1+28)=1),JanSun1+28,""),IF(AND(YEAR(JanSun1+35)=ΈτοςΗμερολογίου,MONTH(JanSun1+35)=1),JanSun1+35,""))</f>
        <v/>
      </c>
      <c r="J9" s="22"/>
      <c r="K9" s="30">
        <f>IF(DAY(FebSun1)=1,IF(AND(YEAR(FebSun1+22)=ΈτοςΗμερολογίου,MONTH(FebSun1+22)=2),FebSun1+22,""),IF(AND(YEAR(FebSun1+29)=ΈτοςΗμερολογίου,MONTH(FebSun1+29)=2),FebSun1+29,""))</f>
        <v>43885</v>
      </c>
      <c r="L9" s="30">
        <f>IF(DAY(FebSun1)=1,IF(AND(YEAR(FebSun1+23)=ΈτοςΗμερολογίου,MONTH(FebSun1+23)=2),FebSun1+23,""),IF(AND(YEAR(FebSun1+30)=ΈτοςΗμερολογίου,MONTH(FebSun1+30)=2),FebSun1+30,""))</f>
        <v>43886</v>
      </c>
      <c r="M9" s="30">
        <f>IF(DAY(FebSun1)=1,IF(AND(YEAR(FebSun1+24)=ΈτοςΗμερολογίου,MONTH(FebSun1+24)=2),FebSun1+24,""),IF(AND(YEAR(FebSun1+31)=ΈτοςΗμερολογίου,MONTH(FebSun1+31)=2),FebSun1+31,""))</f>
        <v>43887</v>
      </c>
      <c r="N9" s="30">
        <f>IF(DAY(FebSun1)=1,IF(AND(YEAR(FebSun1+25)=ΈτοςΗμερολογίου,MONTH(FebSun1+25)=2),FebSun1+25,""),IF(AND(YEAR(FebSun1+32)=ΈτοςΗμερολογίου,MONTH(FebSun1+32)=2),FebSun1+32,""))</f>
        <v>43888</v>
      </c>
      <c r="O9" s="30">
        <f>IF(DAY(FebSun1)=1,IF(AND(YEAR(FebSun1+26)=ΈτοςΗμερολογίου,MONTH(FebSun1+26)=2),FebSun1+26,""),IF(AND(YEAR(FebSun1+33)=ΈτοςΗμερολογίου,MONTH(FebSun1+33)=2),FebSun1+33,""))</f>
        <v>43889</v>
      </c>
      <c r="P9" s="30">
        <f>IF(DAY(FebSun1)=1,IF(AND(YEAR(FebSun1+27)=ΈτοςΗμερολογίου,MONTH(FebSun1+27)=2),FebSun1+27,""),IF(AND(YEAR(FebSun1+34)=ΈτοςΗμερολογίου,MONTH(FebSun1+34)=2),FebSun1+34,""))</f>
        <v>43890</v>
      </c>
      <c r="Q9" s="30" t="str">
        <f>IF(DAY(FebSun1)=1,IF(AND(YEAR(FebSun1+28)=ΈτοςΗμερολογίου,MONTH(FebSun1+28)=2),FebSun1+28,""),IF(AND(YEAR(FebSun1+35)=ΈτοςΗμερολογίου,MONTH(FebSun1+35)=2),FebSun1+35,""))</f>
        <v/>
      </c>
      <c r="S9" s="24"/>
      <c r="U9" s="10" t="s">
        <v>50</v>
      </c>
      <c r="V9" s="25"/>
      <c r="W9" s="25"/>
    </row>
    <row r="10" spans="1:23" ht="15" customHeight="1" x14ac:dyDescent="0.2">
      <c r="C10" s="30" t="str">
        <f>IF(DAY(JanSun1)=1,IF(AND(YEAR(JanSun1+29)=ΈτοςΗμερολογίου,MONTH(JanSun1+29)=1),JanSun1+29,""),IF(AND(YEAR(JanSun1+36)=ΈτοςΗμερολογίου,MONTH(JanSun1+36)=1),JanSun1+36,""))</f>
        <v/>
      </c>
      <c r="D10" s="30" t="str">
        <f>IF(DAY(JanSun1)=1,IF(AND(YEAR(JanSun1+30)=ΈτοςΗμερολογίου,MONTH(JanSun1+30)=1),JanSun1+30,""),IF(AND(YEAR(JanSun1+37)=ΈτοςΗμερολογίου,MONTH(JanSun1+37)=1),JanSun1+37,""))</f>
        <v/>
      </c>
      <c r="E10" s="30" t="str">
        <f>IF(DAY(JanSun1)=1,IF(AND(YEAR(JanSun1+31)=ΈτοςΗμερολογίου,MONTH(JanSun1+31)=1),JanSun1+31,""),IF(AND(YEAR(JanSun1+38)=ΈτοςΗμερολογίου,MONTH(JanSun1+38)=1),JanSun1+38,""))</f>
        <v/>
      </c>
      <c r="F10" s="30" t="str">
        <f>IF(DAY(JanSun1)=1,IF(AND(YEAR(JanSun1+32)=ΈτοςΗμερολογίου,MONTH(JanSun1+32)=1),JanSun1+32,""),IF(AND(YEAR(JanSun1+39)=ΈτοςΗμερολογίου,MONTH(JanSun1+39)=1),JanSun1+39,""))</f>
        <v/>
      </c>
      <c r="G10" s="30" t="str">
        <f>IF(DAY(JanSun1)=1,IF(AND(YEAR(JanSun1+33)=ΈτοςΗμερολογίου,MONTH(JanSun1+33)=1),JanSun1+33,""),IF(AND(YEAR(JanSun1+40)=ΈτοςΗμερολογίου,MONTH(JanSun1+40)=1),JanSun1+40,""))</f>
        <v/>
      </c>
      <c r="H10" s="30" t="str">
        <f>IF(DAY(JanSun1)=1,IF(AND(YEAR(JanSun1+34)=ΈτοςΗμερολογίου,MONTH(JanSun1+34)=1),JanSun1+34,""),IF(AND(YEAR(JanSun1+41)=ΈτοςΗμερολογίου,MONTH(JanSun1+41)=1),JanSun1+41,""))</f>
        <v/>
      </c>
      <c r="I10" s="30" t="str">
        <f>IF(DAY(JanSun1)=1,IF(AND(YEAR(JanSun1+35)=ΈτοςΗμερολογίου,MONTH(JanSun1+35)=1),JanSun1+35,""),IF(AND(YEAR(JanSun1+42)=ΈτοςΗμερολογίου,MONTH(JanSun1+42)=1),JanSun1+42,""))</f>
        <v/>
      </c>
      <c r="J10" s="22"/>
      <c r="K10" s="30" t="str">
        <f>IF(DAY(FebSun1)=1,IF(AND(YEAR(FebSun1+29)=ΈτοςΗμερολογίου,MONTH(FebSun1+29)=2),FebSun1+29,""),IF(AND(YEAR(FebSun1+36)=ΈτοςΗμερολογίου,MONTH(FebSun1+36)=2),FebSun1+36,""))</f>
        <v/>
      </c>
      <c r="L10" s="30" t="str">
        <f>IF(DAY(FebSun1)=1,IF(AND(YEAR(FebSun1+30)=ΈτοςΗμερολογίου,MONTH(FebSun1+30)=2),FebSun1+30,""),IF(AND(YEAR(FebSun1+37)=ΈτοςΗμερολογίου,MONTH(FebSun1+37)=2),FebSun1+37,""))</f>
        <v/>
      </c>
      <c r="M10" s="30" t="str">
        <f>IF(DAY(FebSun1)=1,IF(AND(YEAR(FebSun1+31)=ΈτοςΗμερολογίου,MONTH(FebSun1+31)=2),FebSun1+31,""),IF(AND(YEAR(FebSun1+38)=ΈτοςΗμερολογίου,MONTH(FebSun1+38)=2),FebSun1+38,""))</f>
        <v/>
      </c>
      <c r="N10" s="30" t="str">
        <f>IF(DAY(FebSun1)=1,IF(AND(YEAR(FebSun1+32)=ΈτοςΗμερολογίου,MONTH(FebSun1+32)=2),FebSun1+32,""),IF(AND(YEAR(FebSun1+39)=ΈτοςΗμερολογίου,MONTH(FebSun1+39)=2),FebSun1+39,""))</f>
        <v/>
      </c>
      <c r="O10" s="30" t="str">
        <f>IF(DAY(FebSun1)=1,IF(AND(YEAR(FebSun1+33)=ΈτοςΗμερολογίου,MONTH(FebSun1+33)=2),FebSun1+33,""),IF(AND(YEAR(FebSun1+40)=ΈτοςΗμερολογίου,MONTH(FebSun1+40)=2),FebSun1+40,""))</f>
        <v/>
      </c>
      <c r="P10" s="30" t="str">
        <f>IF(DAY(FebSun1)=1,IF(AND(YEAR(FebSun1+34)=ΈτοςΗμερολογίου,MONTH(FebSun1+34)=2),FebSun1+34,""),IF(AND(YEAR(FebSun1+41)=ΈτοςΗμερολογίου,MONTH(FebSun1+41)=2),FebSun1+41,""))</f>
        <v/>
      </c>
      <c r="Q10" s="30" t="str">
        <f>IF(DAY(FebSun1)=1,IF(AND(YEAR(FebSun1+35)=ΈτοςΗμερολογίου,MONTH(FebSun1+35)=2),FebSun1+35,""),IF(AND(YEAR(FebSun1+42)=ΈτοςΗμερολογίου,MONTH(FebSun1+42)=2),FebSun1+42,""))</f>
        <v/>
      </c>
      <c r="S10" s="24"/>
      <c r="U10" s="3" t="s">
        <v>51</v>
      </c>
      <c r="V10" s="25"/>
      <c r="W10" s="25"/>
    </row>
    <row r="11" spans="1:23" ht="15" customHeight="1" x14ac:dyDescent="0.2">
      <c r="C11" s="22"/>
      <c r="D11" s="22"/>
      <c r="E11" s="22"/>
      <c r="F11" s="22"/>
      <c r="G11" s="22"/>
      <c r="H11" s="22"/>
      <c r="I11" s="22"/>
      <c r="J11" s="22"/>
      <c r="K11" s="22"/>
      <c r="L11" s="22"/>
      <c r="M11" s="22"/>
      <c r="N11" s="22"/>
      <c r="O11" s="22"/>
      <c r="P11" s="22"/>
      <c r="Q11" s="22"/>
      <c r="S11" s="24"/>
      <c r="U11" s="2"/>
      <c r="V11" s="25"/>
      <c r="W11" s="25"/>
    </row>
    <row r="12" spans="1:23" ht="15" customHeight="1" x14ac:dyDescent="0.2">
      <c r="A12" s="18" t="s">
        <v>11</v>
      </c>
      <c r="C12" s="26" t="s">
        <v>28</v>
      </c>
      <c r="D12" s="26"/>
      <c r="E12" s="26"/>
      <c r="F12" s="26"/>
      <c r="G12" s="26"/>
      <c r="H12" s="26"/>
      <c r="I12" s="26"/>
      <c r="K12" s="26" t="s">
        <v>40</v>
      </c>
      <c r="L12" s="26"/>
      <c r="M12" s="26"/>
      <c r="N12" s="26"/>
      <c r="O12" s="26"/>
      <c r="P12" s="26"/>
      <c r="Q12" s="26"/>
      <c r="S12" s="24"/>
      <c r="U12" s="10"/>
      <c r="V12" s="25"/>
      <c r="W12" s="25"/>
    </row>
    <row r="13" spans="1:23" ht="15" customHeight="1" x14ac:dyDescent="0.25">
      <c r="A13" s="18" t="s">
        <v>12</v>
      </c>
      <c r="C13" s="11" t="s">
        <v>27</v>
      </c>
      <c r="D13" s="11" t="s">
        <v>33</v>
      </c>
      <c r="E13" s="11" t="s">
        <v>34</v>
      </c>
      <c r="F13" s="11" t="s">
        <v>35</v>
      </c>
      <c r="G13" s="11" t="s">
        <v>36</v>
      </c>
      <c r="H13" s="11" t="s">
        <v>37</v>
      </c>
      <c r="I13" s="11" t="s">
        <v>38</v>
      </c>
      <c r="J13" s="21"/>
      <c r="K13" s="11" t="s">
        <v>27</v>
      </c>
      <c r="L13" s="11" t="s">
        <v>33</v>
      </c>
      <c r="M13" s="11" t="s">
        <v>34</v>
      </c>
      <c r="N13" s="11" t="s">
        <v>35</v>
      </c>
      <c r="O13" s="11" t="s">
        <v>36</v>
      </c>
      <c r="P13" s="11" t="s">
        <v>37</v>
      </c>
      <c r="Q13" s="11" t="s">
        <v>38</v>
      </c>
      <c r="S13" s="24"/>
      <c r="U13" s="3"/>
      <c r="V13" s="25"/>
      <c r="W13" s="25"/>
    </row>
    <row r="14" spans="1:23" ht="15" customHeight="1" x14ac:dyDescent="0.2">
      <c r="C14" s="30" t="str">
        <f>IF(DAY(MarSun1)=1,"",IF(AND(YEAR(MarSun1+1)=ΈτοςΗμερολογίου,MONTH(MarSun1+1)=3),MarSun1+1,""))</f>
        <v/>
      </c>
      <c r="D14" s="30" t="str">
        <f>IF(DAY(MarSun1)=1,"",IF(AND(YEAR(MarSun1+2)=ΈτοςΗμερολογίου,MONTH(MarSun1+2)=3),MarSun1+2,""))</f>
        <v/>
      </c>
      <c r="E14" s="30" t="str">
        <f>IF(DAY(MarSun1)=1,"",IF(AND(YEAR(MarSun1+3)=ΈτοςΗμερολογίου,MONTH(MarSun1+3)=3),MarSun1+3,""))</f>
        <v/>
      </c>
      <c r="F14" s="30" t="str">
        <f>IF(DAY(MarSun1)=1,"",IF(AND(YEAR(MarSun1+4)=ΈτοςΗμερολογίου,MONTH(MarSun1+4)=3),MarSun1+4,""))</f>
        <v/>
      </c>
      <c r="G14" s="30" t="str">
        <f>IF(DAY(MarSun1)=1,"",IF(AND(YEAR(MarSun1+5)=ΈτοςΗμερολογίου,MONTH(MarSun1+5)=3),MarSun1+5,""))</f>
        <v/>
      </c>
      <c r="H14" s="30" t="str">
        <f>IF(DAY(MarSun1)=1,"",IF(AND(YEAR(MarSun1+6)=ΈτοςΗμερολογίου,MONTH(MarSun1+6)=3),MarSun1+6,""))</f>
        <v/>
      </c>
      <c r="I14" s="30">
        <f>IF(DAY(MarSun1)=1,IF(AND(YEAR(MarSun1)=ΈτοςΗμερολογίου,MONTH(MarSun1)=3),MarSun1,""),IF(AND(YEAR(MarSun1+7)=ΈτοςΗμερολογίου,MONTH(MarSun1+7)=3),MarSun1+7,""))</f>
        <v>43891</v>
      </c>
      <c r="J14" s="22"/>
      <c r="K14" s="30" t="str">
        <f>IF(DAY(AprSun1)=1,"",IF(AND(YEAR(AprSun1+1)=ΈτοςΗμερολογίου,MONTH(AprSun1+1)=4),AprSun1+1,""))</f>
        <v/>
      </c>
      <c r="L14" s="30" t="str">
        <f>IF(DAY(AprSun1)=1,"",IF(AND(YEAR(AprSun1+2)=ΈτοςΗμερολογίου,MONTH(AprSun1+2)=4),AprSun1+2,""))</f>
        <v/>
      </c>
      <c r="M14" s="30">
        <f>IF(DAY(AprSun1)=1,"",IF(AND(YEAR(AprSun1+3)=ΈτοςΗμερολογίου,MONTH(AprSun1+3)=4),AprSun1+3,""))</f>
        <v>43922</v>
      </c>
      <c r="N14" s="30">
        <f>IF(DAY(AprSun1)=1,"",IF(AND(YEAR(AprSun1+4)=ΈτοςΗμερολογίου,MONTH(AprSun1+4)=4),AprSun1+4,""))</f>
        <v>43923</v>
      </c>
      <c r="O14" s="30">
        <f>IF(DAY(AprSun1)=1,"",IF(AND(YEAR(AprSun1+5)=ΈτοςΗμερολογίου,MONTH(AprSun1+5)=4),AprSun1+5,""))</f>
        <v>43924</v>
      </c>
      <c r="P14" s="30">
        <f>IF(DAY(AprSun1)=1,"",IF(AND(YEAR(AprSun1+6)=ΈτοςΗμερολογίου,MONTH(AprSun1+6)=4),AprSun1+6,""))</f>
        <v>43925</v>
      </c>
      <c r="Q14" s="30">
        <f>IF(DAY(AprSun1)=1,IF(AND(YEAR(AprSun1)=ΈτοςΗμερολογίου,MONTH(AprSun1)=4),AprSun1,""),IF(AND(YEAR(AprSun1+7)=ΈτοςΗμερολογίου,MONTH(AprSun1+7)=4),AprSun1+7,""))</f>
        <v>43926</v>
      </c>
      <c r="S14" s="24"/>
      <c r="U14" s="2"/>
      <c r="V14" s="25"/>
      <c r="W14" s="25"/>
    </row>
    <row r="15" spans="1:23" ht="15" customHeight="1" x14ac:dyDescent="0.2">
      <c r="A15" s="18"/>
      <c r="C15" s="30">
        <f>IF(DAY(MarSun1)=1,IF(AND(YEAR(MarSun1+1)=ΈτοςΗμερολογίου,MONTH(MarSun1+1)=3),MarSun1+1,""),IF(AND(YEAR(MarSun1+8)=ΈτοςΗμερολογίου,MONTH(MarSun1+8)=3),MarSun1+8,""))</f>
        <v>43892</v>
      </c>
      <c r="D15" s="30">
        <f>IF(DAY(MarSun1)=1,IF(AND(YEAR(MarSun1+2)=ΈτοςΗμερολογίου,MONTH(MarSun1+2)=3),MarSun1+2,""),IF(AND(YEAR(MarSun1+9)=ΈτοςΗμερολογίου,MONTH(MarSun1+9)=3),MarSun1+9,""))</f>
        <v>43893</v>
      </c>
      <c r="E15" s="30">
        <f>IF(DAY(MarSun1)=1,IF(AND(YEAR(MarSun1+3)=ΈτοςΗμερολογίου,MONTH(MarSun1+3)=3),MarSun1+3,""),IF(AND(YEAR(MarSun1+10)=ΈτοςΗμερολογίου,MONTH(MarSun1+10)=3),MarSun1+10,""))</f>
        <v>43894</v>
      </c>
      <c r="F15" s="30">
        <f>IF(DAY(MarSun1)=1,IF(AND(YEAR(MarSun1+4)=ΈτοςΗμερολογίου,MONTH(MarSun1+4)=3),MarSun1+4,""),IF(AND(YEAR(MarSun1+11)=ΈτοςΗμερολογίου,MONTH(MarSun1+11)=3),MarSun1+11,""))</f>
        <v>43895</v>
      </c>
      <c r="G15" s="30">
        <f>IF(DAY(MarSun1)=1,IF(AND(YEAR(MarSun1+5)=ΈτοςΗμερολογίου,MONTH(MarSun1+5)=3),MarSun1+5,""),IF(AND(YEAR(MarSun1+12)=ΈτοςΗμερολογίου,MONTH(MarSun1+12)=3),MarSun1+12,""))</f>
        <v>43896</v>
      </c>
      <c r="H15" s="30">
        <f>IF(DAY(MarSun1)=1,IF(AND(YEAR(MarSun1+6)=ΈτοςΗμερολογίου,MONTH(MarSun1+6)=3),MarSun1+6,""),IF(AND(YEAR(MarSun1+13)=ΈτοςΗμερολογίου,MONTH(MarSun1+13)=3),MarSun1+13,""))</f>
        <v>43897</v>
      </c>
      <c r="I15" s="30">
        <f>IF(DAY(MarSun1)=1,IF(AND(YEAR(MarSun1+7)=ΈτοςΗμερολογίου,MONTH(MarSun1+7)=3),MarSun1+7,""),IF(AND(YEAR(MarSun1+14)=ΈτοςΗμερολογίου,MONTH(MarSun1+14)=3),MarSun1+14,""))</f>
        <v>43898</v>
      </c>
      <c r="J15" s="22"/>
      <c r="K15" s="30">
        <f>IF(DAY(AprSun1)=1,IF(AND(YEAR(AprSun1+1)=ΈτοςΗμερολογίου,MONTH(AprSun1+1)=4),AprSun1+1,""),IF(AND(YEAR(AprSun1+8)=ΈτοςΗμερολογίου,MONTH(AprSun1+8)=4),AprSun1+8,""))</f>
        <v>43927</v>
      </c>
      <c r="L15" s="30">
        <f>IF(DAY(AprSun1)=1,IF(AND(YEAR(AprSun1+2)=ΈτοςΗμερολογίου,MONTH(AprSun1+2)=4),AprSun1+2,""),IF(AND(YEAR(AprSun1+9)=ΈτοςΗμερολογίου,MONTH(AprSun1+9)=4),AprSun1+9,""))</f>
        <v>43928</v>
      </c>
      <c r="M15" s="30">
        <f>IF(DAY(AprSun1)=1,IF(AND(YEAR(AprSun1+3)=ΈτοςΗμερολογίου,MONTH(AprSun1+3)=4),AprSun1+3,""),IF(AND(YEAR(AprSun1+10)=ΈτοςΗμερολογίου,MONTH(AprSun1+10)=4),AprSun1+10,""))</f>
        <v>43929</v>
      </c>
      <c r="N15" s="30">
        <f>IF(DAY(AprSun1)=1,IF(AND(YEAR(AprSun1+4)=ΈτοςΗμερολογίου,MONTH(AprSun1+4)=4),AprSun1+4,""),IF(AND(YEAR(AprSun1+11)=ΈτοςΗμερολογίου,MONTH(AprSun1+11)=4),AprSun1+11,""))</f>
        <v>43930</v>
      </c>
      <c r="O15" s="30">
        <f>IF(DAY(AprSun1)=1,IF(AND(YEAR(AprSun1+5)=ΈτοςΗμερολογίου,MONTH(AprSun1+5)=4),AprSun1+5,""),IF(AND(YEAR(AprSun1+12)=ΈτοςΗμερολογίου,MONTH(AprSun1+12)=4),AprSun1+12,""))</f>
        <v>43931</v>
      </c>
      <c r="P15" s="30">
        <f>IF(DAY(AprSun1)=1,IF(AND(YEAR(AprSun1+6)=ΈτοςΗμερολογίου,MONTH(AprSun1+6)=4),AprSun1+6,""),IF(AND(YEAR(AprSun1+13)=ΈτοςΗμερολογίου,MONTH(AprSun1+13)=4),AprSun1+13,""))</f>
        <v>43932</v>
      </c>
      <c r="Q15" s="30">
        <f>IF(DAY(AprSun1)=1,IF(AND(YEAR(AprSun1+7)=ΈτοςΗμερολογίου,MONTH(AprSun1+7)=4),AprSun1+7,""),IF(AND(YEAR(AprSun1+14)=ΈτοςΗμερολογίου,MONTH(AprSun1+14)=4),AprSun1+14,""))</f>
        <v>43933</v>
      </c>
      <c r="S15" s="24"/>
      <c r="U15" s="10"/>
      <c r="V15" s="25"/>
      <c r="W15" s="25"/>
    </row>
    <row r="16" spans="1:23" ht="15" customHeight="1" x14ac:dyDescent="0.2">
      <c r="C16" s="30">
        <f>IF(DAY(MarSun1)=1,IF(AND(YEAR(MarSun1+8)=ΈτοςΗμερολογίου,MONTH(MarSun1+8)=3),MarSun1+8,""),IF(AND(YEAR(MarSun1+15)=ΈτοςΗμερολογίου,MONTH(MarSun1+15)=3),MarSun1+15,""))</f>
        <v>43899</v>
      </c>
      <c r="D16" s="30">
        <f>IF(DAY(MarSun1)=1,IF(AND(YEAR(MarSun1+9)=ΈτοςΗμερολογίου,MONTH(MarSun1+9)=3),MarSun1+9,""),IF(AND(YEAR(MarSun1+16)=ΈτοςΗμερολογίου,MONTH(MarSun1+16)=3),MarSun1+16,""))</f>
        <v>43900</v>
      </c>
      <c r="E16" s="30">
        <f>IF(DAY(MarSun1)=1,IF(AND(YEAR(MarSun1+10)=ΈτοςΗμερολογίου,MONTH(MarSun1+10)=3),MarSun1+10,""),IF(AND(YEAR(MarSun1+17)=ΈτοςΗμερολογίου,MONTH(MarSun1+17)=3),MarSun1+17,""))</f>
        <v>43901</v>
      </c>
      <c r="F16" s="30">
        <f>IF(DAY(MarSun1)=1,IF(AND(YEAR(MarSun1+11)=ΈτοςΗμερολογίου,MONTH(MarSun1+11)=3),MarSun1+11,""),IF(AND(YEAR(MarSun1+18)=ΈτοςΗμερολογίου,MONTH(MarSun1+18)=3),MarSun1+18,""))</f>
        <v>43902</v>
      </c>
      <c r="G16" s="30">
        <f>IF(DAY(MarSun1)=1,IF(AND(YEAR(MarSun1+12)=ΈτοςΗμερολογίου,MONTH(MarSun1+12)=3),MarSun1+12,""),IF(AND(YEAR(MarSun1+19)=ΈτοςΗμερολογίου,MONTH(MarSun1+19)=3),MarSun1+19,""))</f>
        <v>43903</v>
      </c>
      <c r="H16" s="30">
        <f>IF(DAY(MarSun1)=1,IF(AND(YEAR(MarSun1+13)=ΈτοςΗμερολογίου,MONTH(MarSun1+13)=3),MarSun1+13,""),IF(AND(YEAR(MarSun1+20)=ΈτοςΗμερολογίου,MONTH(MarSun1+20)=3),MarSun1+20,""))</f>
        <v>43904</v>
      </c>
      <c r="I16" s="30">
        <f>IF(DAY(MarSun1)=1,IF(AND(YEAR(MarSun1+14)=ΈτοςΗμερολογίου,MONTH(MarSun1+14)=3),MarSun1+14,""),IF(AND(YEAR(MarSun1+21)=ΈτοςΗμερολογίου,MONTH(MarSun1+21)=3),MarSun1+21,""))</f>
        <v>43905</v>
      </c>
      <c r="J16" s="22"/>
      <c r="K16" s="30">
        <f>IF(DAY(AprSun1)=1,IF(AND(YEAR(AprSun1+8)=ΈτοςΗμερολογίου,MONTH(AprSun1+8)=4),AprSun1+8,""),IF(AND(YEAR(AprSun1+15)=ΈτοςΗμερολογίου,MONTH(AprSun1+15)=4),AprSun1+15,""))</f>
        <v>43934</v>
      </c>
      <c r="L16" s="30">
        <f>IF(DAY(AprSun1)=1,IF(AND(YEAR(AprSun1+9)=ΈτοςΗμερολογίου,MONTH(AprSun1+9)=4),AprSun1+9,""),IF(AND(YEAR(AprSun1+16)=ΈτοςΗμερολογίου,MONTH(AprSun1+16)=4),AprSun1+16,""))</f>
        <v>43935</v>
      </c>
      <c r="M16" s="30">
        <f>IF(DAY(AprSun1)=1,IF(AND(YEAR(AprSun1+10)=ΈτοςΗμερολογίου,MONTH(AprSun1+10)=4),AprSun1+10,""),IF(AND(YEAR(AprSun1+17)=ΈτοςΗμερολογίου,MONTH(AprSun1+17)=4),AprSun1+17,""))</f>
        <v>43936</v>
      </c>
      <c r="N16" s="30">
        <f>IF(DAY(AprSun1)=1,IF(AND(YEAR(AprSun1+11)=ΈτοςΗμερολογίου,MONTH(AprSun1+11)=4),AprSun1+11,""),IF(AND(YEAR(AprSun1+18)=ΈτοςΗμερολογίου,MONTH(AprSun1+18)=4),AprSun1+18,""))</f>
        <v>43937</v>
      </c>
      <c r="O16" s="30">
        <f>IF(DAY(AprSun1)=1,IF(AND(YEAR(AprSun1+12)=ΈτοςΗμερολογίου,MONTH(AprSun1+12)=4),AprSun1+12,""),IF(AND(YEAR(AprSun1+19)=ΈτοςΗμερολογίου,MONTH(AprSun1+19)=4),AprSun1+19,""))</f>
        <v>43938</v>
      </c>
      <c r="P16" s="30">
        <f>IF(DAY(AprSun1)=1,IF(AND(YEAR(AprSun1+13)=ΈτοςΗμερολογίου,MONTH(AprSun1+13)=4),AprSun1+13,""),IF(AND(YEAR(AprSun1+20)=ΈτοςΗμερολογίου,MONTH(AprSun1+20)=4),AprSun1+20,""))</f>
        <v>43939</v>
      </c>
      <c r="Q16" s="30">
        <f>IF(DAY(AprSun1)=1,IF(AND(YEAR(AprSun1+14)=ΈτοςΗμερολογίου,MONTH(AprSun1+14)=4),AprSun1+14,""),IF(AND(YEAR(AprSun1+21)=ΈτοςΗμερολογίου,MONTH(AprSun1+21)=4),AprSun1+21,""))</f>
        <v>43940</v>
      </c>
      <c r="S16" s="24"/>
      <c r="U16" s="3"/>
      <c r="V16" s="25"/>
      <c r="W16" s="25"/>
    </row>
    <row r="17" spans="1:23" ht="15" customHeight="1" x14ac:dyDescent="0.2">
      <c r="C17" s="30">
        <f>IF(DAY(MarSun1)=1,IF(AND(YEAR(MarSun1+15)=ΈτοςΗμερολογίου,MONTH(MarSun1+15)=3),MarSun1+15,""),IF(AND(YEAR(MarSun1+22)=ΈτοςΗμερολογίου,MONTH(MarSun1+22)=3),MarSun1+22,""))</f>
        <v>43906</v>
      </c>
      <c r="D17" s="30">
        <f>IF(DAY(MarSun1)=1,IF(AND(YEAR(MarSun1+16)=ΈτοςΗμερολογίου,MONTH(MarSun1+16)=3),MarSun1+16,""),IF(AND(YEAR(MarSun1+23)=ΈτοςΗμερολογίου,MONTH(MarSun1+23)=3),MarSun1+23,""))</f>
        <v>43907</v>
      </c>
      <c r="E17" s="30">
        <f>IF(DAY(MarSun1)=1,IF(AND(YEAR(MarSun1+17)=ΈτοςΗμερολογίου,MONTH(MarSun1+17)=3),MarSun1+17,""),IF(AND(YEAR(MarSun1+24)=ΈτοςΗμερολογίου,MONTH(MarSun1+24)=3),MarSun1+24,""))</f>
        <v>43908</v>
      </c>
      <c r="F17" s="30">
        <f>IF(DAY(MarSun1)=1,IF(AND(YEAR(MarSun1+18)=ΈτοςΗμερολογίου,MONTH(MarSun1+18)=3),MarSun1+18,""),IF(AND(YEAR(MarSun1+25)=ΈτοςΗμερολογίου,MONTH(MarSun1+25)=3),MarSun1+25,""))</f>
        <v>43909</v>
      </c>
      <c r="G17" s="30">
        <f>IF(DAY(MarSun1)=1,IF(AND(YEAR(MarSun1+19)=ΈτοςΗμερολογίου,MONTH(MarSun1+19)=3),MarSun1+19,""),IF(AND(YEAR(MarSun1+26)=ΈτοςΗμερολογίου,MONTH(MarSun1+26)=3),MarSun1+26,""))</f>
        <v>43910</v>
      </c>
      <c r="H17" s="30">
        <f>IF(DAY(MarSun1)=1,IF(AND(YEAR(MarSun1+20)=ΈτοςΗμερολογίου,MONTH(MarSun1+20)=3),MarSun1+20,""),IF(AND(YEAR(MarSun1+27)=ΈτοςΗμερολογίου,MONTH(MarSun1+27)=3),MarSun1+27,""))</f>
        <v>43911</v>
      </c>
      <c r="I17" s="30">
        <f>IF(DAY(MarSun1)=1,IF(AND(YEAR(MarSun1+21)=ΈτοςΗμερολογίου,MONTH(MarSun1+21)=3),MarSun1+21,""),IF(AND(YEAR(MarSun1+28)=ΈτοςΗμερολογίου,MONTH(MarSun1+28)=3),MarSun1+28,""))</f>
        <v>43912</v>
      </c>
      <c r="J17" s="22"/>
      <c r="K17" s="30">
        <f>IF(DAY(AprSun1)=1,IF(AND(YEAR(AprSun1+15)=ΈτοςΗμερολογίου,MONTH(AprSun1+15)=4),AprSun1+15,""),IF(AND(YEAR(AprSun1+22)=ΈτοςΗμερολογίου,MONTH(AprSun1+22)=4),AprSun1+22,""))</f>
        <v>43941</v>
      </c>
      <c r="L17" s="30">
        <f>IF(DAY(AprSun1)=1,IF(AND(YEAR(AprSun1+16)=ΈτοςΗμερολογίου,MONTH(AprSun1+16)=4),AprSun1+16,""),IF(AND(YEAR(AprSun1+23)=ΈτοςΗμερολογίου,MONTH(AprSun1+23)=4),AprSun1+23,""))</f>
        <v>43942</v>
      </c>
      <c r="M17" s="30">
        <f>IF(DAY(AprSun1)=1,IF(AND(YEAR(AprSun1+17)=ΈτοςΗμερολογίου,MONTH(AprSun1+17)=4),AprSun1+17,""),IF(AND(YEAR(AprSun1+24)=ΈτοςΗμερολογίου,MONTH(AprSun1+24)=4),AprSun1+24,""))</f>
        <v>43943</v>
      </c>
      <c r="N17" s="30">
        <f>IF(DAY(AprSun1)=1,IF(AND(YEAR(AprSun1+18)=ΈτοςΗμερολογίου,MONTH(AprSun1+18)=4),AprSun1+18,""),IF(AND(YEAR(AprSun1+25)=ΈτοςΗμερολογίου,MONTH(AprSun1+25)=4),AprSun1+25,""))</f>
        <v>43944</v>
      </c>
      <c r="O17" s="30">
        <f>IF(DAY(AprSun1)=1,IF(AND(YEAR(AprSun1+19)=ΈτοςΗμερολογίου,MONTH(AprSun1+19)=4),AprSun1+19,""),IF(AND(YEAR(AprSun1+26)=ΈτοςΗμερολογίου,MONTH(AprSun1+26)=4),AprSun1+26,""))</f>
        <v>43945</v>
      </c>
      <c r="P17" s="30">
        <f>IF(DAY(AprSun1)=1,IF(AND(YEAR(AprSun1+20)=ΈτοςΗμερολογίου,MONTH(AprSun1+20)=4),AprSun1+20,""),IF(AND(YEAR(AprSun1+27)=ΈτοςΗμερολογίου,MONTH(AprSun1+27)=4),AprSun1+27,""))</f>
        <v>43946</v>
      </c>
      <c r="Q17" s="30">
        <f>IF(DAY(AprSun1)=1,IF(AND(YEAR(AprSun1+21)=ΈτοςΗμερολογίου,MONTH(AprSun1+21)=4),AprSun1+21,""),IF(AND(YEAR(AprSun1+28)=ΈτοςΗμερολογίου,MONTH(AprSun1+28)=4),AprSun1+28,""))</f>
        <v>43947</v>
      </c>
      <c r="S17" s="24"/>
      <c r="U17" s="2"/>
      <c r="V17" s="25"/>
      <c r="W17" s="25"/>
    </row>
    <row r="18" spans="1:23" ht="15" customHeight="1" x14ac:dyDescent="0.2">
      <c r="C18" s="30">
        <f>IF(DAY(MarSun1)=1,IF(AND(YEAR(MarSun1+22)=ΈτοςΗμερολογίου,MONTH(MarSun1+22)=3),MarSun1+22,""),IF(AND(YEAR(MarSun1+29)=ΈτοςΗμερολογίου,MONTH(MarSun1+29)=3),MarSun1+29,""))</f>
        <v>43913</v>
      </c>
      <c r="D18" s="30">
        <f>IF(DAY(MarSun1)=1,IF(AND(YEAR(MarSun1+23)=ΈτοςΗμερολογίου,MONTH(MarSun1+23)=3),MarSun1+23,""),IF(AND(YEAR(MarSun1+30)=ΈτοςΗμερολογίου,MONTH(MarSun1+30)=3),MarSun1+30,""))</f>
        <v>43914</v>
      </c>
      <c r="E18" s="30">
        <f>IF(DAY(MarSun1)=1,IF(AND(YEAR(MarSun1+24)=ΈτοςΗμερολογίου,MONTH(MarSun1+24)=3),MarSun1+24,""),IF(AND(YEAR(MarSun1+31)=ΈτοςΗμερολογίου,MONTH(MarSun1+31)=3),MarSun1+31,""))</f>
        <v>43915</v>
      </c>
      <c r="F18" s="30">
        <f>IF(DAY(MarSun1)=1,IF(AND(YEAR(MarSun1+25)=ΈτοςΗμερολογίου,MONTH(MarSun1+25)=3),MarSun1+25,""),IF(AND(YEAR(MarSun1+32)=ΈτοςΗμερολογίου,MONTH(MarSun1+32)=3),MarSun1+32,""))</f>
        <v>43916</v>
      </c>
      <c r="G18" s="30">
        <f>IF(DAY(MarSun1)=1,IF(AND(YEAR(MarSun1+26)=ΈτοςΗμερολογίου,MONTH(MarSun1+26)=3),MarSun1+26,""),IF(AND(YEAR(MarSun1+33)=ΈτοςΗμερολογίου,MONTH(MarSun1+33)=3),MarSun1+33,""))</f>
        <v>43917</v>
      </c>
      <c r="H18" s="30">
        <f>IF(DAY(MarSun1)=1,IF(AND(YEAR(MarSun1+27)=ΈτοςΗμερολογίου,MONTH(MarSun1+27)=3),MarSun1+27,""),IF(AND(YEAR(MarSun1+34)=ΈτοςΗμερολογίου,MONTH(MarSun1+34)=3),MarSun1+34,""))</f>
        <v>43918</v>
      </c>
      <c r="I18" s="30">
        <f>IF(DAY(MarSun1)=1,IF(AND(YEAR(MarSun1+28)=ΈτοςΗμερολογίου,MONTH(MarSun1+28)=3),MarSun1+28,""),IF(AND(YEAR(MarSun1+35)=ΈτοςΗμερολογίου,MONTH(MarSun1+35)=3),MarSun1+35,""))</f>
        <v>43919</v>
      </c>
      <c r="J18" s="22"/>
      <c r="K18" s="30">
        <f>IF(DAY(AprSun1)=1,IF(AND(YEAR(AprSun1+22)=ΈτοςΗμερολογίου,MONTH(AprSun1+22)=4),AprSun1+22,""),IF(AND(YEAR(AprSun1+29)=ΈτοςΗμερολογίου,MONTH(AprSun1+29)=4),AprSun1+29,""))</f>
        <v>43948</v>
      </c>
      <c r="L18" s="30">
        <f>IF(DAY(AprSun1)=1,IF(AND(YEAR(AprSun1+23)=ΈτοςΗμερολογίου,MONTH(AprSun1+23)=4),AprSun1+23,""),IF(AND(YEAR(AprSun1+30)=ΈτοςΗμερολογίου,MONTH(AprSun1+30)=4),AprSun1+30,""))</f>
        <v>43949</v>
      </c>
      <c r="M18" s="30">
        <f>IF(DAY(AprSun1)=1,IF(AND(YEAR(AprSun1+24)=ΈτοςΗμερολογίου,MONTH(AprSun1+24)=4),AprSun1+24,""),IF(AND(YEAR(AprSun1+31)=ΈτοςΗμερολογίου,MONTH(AprSun1+31)=4),AprSun1+31,""))</f>
        <v>43950</v>
      </c>
      <c r="N18" s="30">
        <f>IF(DAY(AprSun1)=1,IF(AND(YEAR(AprSun1+25)=ΈτοςΗμερολογίου,MONTH(AprSun1+25)=4),AprSun1+25,""),IF(AND(YEAR(AprSun1+32)=ΈτοςΗμερολογίου,MONTH(AprSun1+32)=4),AprSun1+32,""))</f>
        <v>43951</v>
      </c>
      <c r="O18" s="30" t="str">
        <f>IF(DAY(AprSun1)=1,IF(AND(YEAR(AprSun1+26)=ΈτοςΗμερολογίου,MONTH(AprSun1+26)=4),AprSun1+26,""),IF(AND(YEAR(AprSun1+33)=ΈτοςΗμερολογίου,MONTH(AprSun1+33)=4),AprSun1+33,""))</f>
        <v/>
      </c>
      <c r="P18" s="30" t="str">
        <f>IF(DAY(AprSun1)=1,IF(AND(YEAR(AprSun1+27)=ΈτοςΗμερολογίου,MONTH(AprSun1+27)=4),AprSun1+27,""),IF(AND(YEAR(AprSun1+34)=ΈτοςΗμερολογίου,MONTH(AprSun1+34)=4),AprSun1+34,""))</f>
        <v/>
      </c>
      <c r="Q18" s="30" t="str">
        <f>IF(DAY(AprSun1)=1,IF(AND(YEAR(AprSun1+28)=ΈτοςΗμερολογίου,MONTH(AprSun1+28)=4),AprSun1+28,""),IF(AND(YEAR(AprSun1+35)=ΈτοςΗμερολογίου,MONTH(AprSun1+35)=4),AprSun1+35,""))</f>
        <v/>
      </c>
      <c r="S18" s="24"/>
      <c r="U18" s="10"/>
      <c r="V18" s="25"/>
      <c r="W18" s="25"/>
    </row>
    <row r="19" spans="1:23" ht="15" customHeight="1" x14ac:dyDescent="0.2">
      <c r="C19" s="30">
        <f>IF(DAY(MarSun1)=1,IF(AND(YEAR(MarSun1+29)=ΈτοςΗμερολογίου,MONTH(MarSun1+29)=3),MarSun1+29,""),IF(AND(YEAR(MarSun1+36)=ΈτοςΗμερολογίου,MONTH(MarSun1+36)=3),MarSun1+36,""))</f>
        <v>43920</v>
      </c>
      <c r="D19" s="30">
        <f>IF(DAY(MarSun1)=1,IF(AND(YEAR(MarSun1+30)=ΈτοςΗμερολογίου,MONTH(MarSun1+30)=3),MarSun1+30,""),IF(AND(YEAR(MarSun1+37)=ΈτοςΗμερολογίου,MONTH(MarSun1+37)=3),MarSun1+37,""))</f>
        <v>43921</v>
      </c>
      <c r="E19" s="30" t="str">
        <f>IF(DAY(MarSun1)=1,IF(AND(YEAR(MarSun1+31)=ΈτοςΗμερολογίου,MONTH(MarSun1+31)=3),MarSun1+31,""),IF(AND(YEAR(MarSun1+38)=ΈτοςΗμερολογίου,MONTH(MarSun1+38)=3),MarSun1+38,""))</f>
        <v/>
      </c>
      <c r="F19" s="30" t="str">
        <f>IF(DAY(MarSun1)=1,IF(AND(YEAR(MarSun1+32)=ΈτοςΗμερολογίου,MONTH(MarSun1+32)=3),MarSun1+32,""),IF(AND(YEAR(MarSun1+39)=ΈτοςΗμερολογίου,MONTH(MarSun1+39)=3),MarSun1+39,""))</f>
        <v/>
      </c>
      <c r="G19" s="30" t="str">
        <f>IF(DAY(MarSun1)=1,IF(AND(YEAR(MarSun1+33)=ΈτοςΗμερολογίου,MONTH(MarSun1+33)=3),MarSun1+33,""),IF(AND(YEAR(MarSun1+40)=ΈτοςΗμερολογίου,MONTH(MarSun1+40)=3),MarSun1+40,""))</f>
        <v/>
      </c>
      <c r="H19" s="30" t="str">
        <f>IF(DAY(MarSun1)=1,IF(AND(YEAR(MarSun1+34)=ΈτοςΗμερολογίου,MONTH(MarSun1+34)=3),MarSun1+34,""),IF(AND(YEAR(MarSun1+41)=ΈτοςΗμερολογίου,MONTH(MarSun1+41)=3),MarSun1+41,""))</f>
        <v/>
      </c>
      <c r="I19" s="30" t="str">
        <f>IF(DAY(MarSun1)=1,IF(AND(YEAR(MarSun1+35)=ΈτοςΗμερολογίου,MONTH(MarSun1+35)=3),MarSun1+35,""),IF(AND(YEAR(MarSun1+42)=ΈτοςΗμερολογίου,MONTH(MarSun1+42)=3),MarSun1+42,""))</f>
        <v/>
      </c>
      <c r="J19" s="22"/>
      <c r="K19" s="30" t="str">
        <f>IF(DAY(AprSun1)=1,IF(AND(YEAR(AprSun1+29)=ΈτοςΗμερολογίου,MONTH(AprSun1+29)=4),AprSun1+29,""),IF(AND(YEAR(AprSun1+36)=ΈτοςΗμερολογίου,MONTH(AprSun1+36)=4),AprSun1+36,""))</f>
        <v/>
      </c>
      <c r="L19" s="30" t="str">
        <f>IF(DAY(AprSun1)=1,IF(AND(YEAR(AprSun1+30)=ΈτοςΗμερολογίου,MONTH(AprSun1+30)=4),AprSun1+30,""),IF(AND(YEAR(AprSun1+37)=ΈτοςΗμερολογίου,MONTH(AprSun1+37)=4),AprSun1+37,""))</f>
        <v/>
      </c>
      <c r="M19" s="30" t="str">
        <f>IF(DAY(AprSun1)=1,IF(AND(YEAR(AprSun1+31)=ΈτοςΗμερολογίου,MONTH(AprSun1+31)=4),AprSun1+31,""),IF(AND(YEAR(AprSun1+38)=ΈτοςΗμερολογίου,MONTH(AprSun1+38)=4),AprSun1+38,""))</f>
        <v/>
      </c>
      <c r="N19" s="30" t="str">
        <f>IF(DAY(AprSun1)=1,IF(AND(YEAR(AprSun1+32)=ΈτοςΗμερολογίου,MONTH(AprSun1+32)=4),AprSun1+32,""),IF(AND(YEAR(AprSun1+39)=ΈτοςΗμερολογίου,MONTH(AprSun1+39)=4),AprSun1+39,""))</f>
        <v/>
      </c>
      <c r="O19" s="30" t="str">
        <f>IF(DAY(AprSun1)=1,IF(AND(YEAR(AprSun1+33)=ΈτοςΗμερολογίου,MONTH(AprSun1+33)=4),AprSun1+33,""),IF(AND(YEAR(AprSun1+40)=ΈτοςΗμερολογίου,MONTH(AprSun1+40)=4),AprSun1+40,""))</f>
        <v/>
      </c>
      <c r="P19" s="30" t="str">
        <f>IF(DAY(AprSun1)=1,IF(AND(YEAR(AprSun1+34)=ΈτοςΗμερολογίου,MONTH(AprSun1+34)=4),AprSun1+34,""),IF(AND(YEAR(AprSun1+41)=ΈτοςΗμερολογίου,MONTH(AprSun1+41)=4),AprSun1+41,""))</f>
        <v/>
      </c>
      <c r="Q19" s="30" t="str">
        <f>IF(DAY(AprSun1)=1,IF(AND(YEAR(AprSun1+35)=ΈτοςΗμερολογίου,MONTH(AprSun1+35)=4),AprSun1+35,""),IF(AND(YEAR(AprSun1+42)=ΈτοςΗμερολογίου,MONTH(AprSun1+42)=4),AprSun1+42,""))</f>
        <v/>
      </c>
      <c r="S19" s="24"/>
      <c r="U19" s="3"/>
      <c r="V19" s="25"/>
      <c r="W19" s="25"/>
    </row>
    <row r="20" spans="1:23" ht="15" customHeight="1" x14ac:dyDescent="0.2">
      <c r="J20" s="22"/>
      <c r="S20" s="24"/>
      <c r="U20" s="2"/>
      <c r="V20" s="25"/>
      <c r="W20" s="25"/>
    </row>
    <row r="21" spans="1:23" ht="15" customHeight="1" x14ac:dyDescent="0.2">
      <c r="A21" s="18" t="s">
        <v>13</v>
      </c>
      <c r="C21" s="26" t="s">
        <v>29</v>
      </c>
      <c r="D21" s="26"/>
      <c r="E21" s="26"/>
      <c r="F21" s="26"/>
      <c r="G21" s="26"/>
      <c r="H21" s="26"/>
      <c r="I21" s="26"/>
      <c r="J21" s="22"/>
      <c r="K21" s="26" t="s">
        <v>41</v>
      </c>
      <c r="L21" s="26"/>
      <c r="M21" s="26"/>
      <c r="N21" s="26"/>
      <c r="O21" s="26"/>
      <c r="P21" s="26"/>
      <c r="Q21" s="26"/>
      <c r="S21" s="24"/>
      <c r="U21" s="10"/>
      <c r="V21" s="25"/>
      <c r="W21" s="25"/>
    </row>
    <row r="22" spans="1:23" ht="15" customHeight="1" x14ac:dyDescent="0.2">
      <c r="A22" s="18" t="s">
        <v>14</v>
      </c>
      <c r="C22" s="11" t="s">
        <v>27</v>
      </c>
      <c r="D22" s="11" t="s">
        <v>33</v>
      </c>
      <c r="E22" s="11" t="s">
        <v>34</v>
      </c>
      <c r="F22" s="11" t="s">
        <v>35</v>
      </c>
      <c r="G22" s="11" t="s">
        <v>36</v>
      </c>
      <c r="H22" s="11" t="s">
        <v>37</v>
      </c>
      <c r="I22" s="11" t="s">
        <v>38</v>
      </c>
      <c r="K22" s="11" t="s">
        <v>27</v>
      </c>
      <c r="L22" s="11" t="s">
        <v>33</v>
      </c>
      <c r="M22" s="11" t="s">
        <v>34</v>
      </c>
      <c r="N22" s="11" t="s">
        <v>35</v>
      </c>
      <c r="O22" s="11" t="s">
        <v>36</v>
      </c>
      <c r="P22" s="11" t="s">
        <v>37</v>
      </c>
      <c r="Q22" s="11" t="s">
        <v>38</v>
      </c>
      <c r="S22" s="24"/>
      <c r="U22" s="3"/>
      <c r="V22" s="25"/>
      <c r="W22" s="25"/>
    </row>
    <row r="23" spans="1:23" ht="15" customHeight="1" x14ac:dyDescent="0.25">
      <c r="A23" s="18"/>
      <c r="C23" s="30" t="str">
        <f>IF(DAY(MaySun1)=1,"",IF(AND(YEAR(MaySun1+1)=ΈτοςΗμερολογίου,MONTH(MaySun1+1)=5),MaySun1+1,""))</f>
        <v/>
      </c>
      <c r="D23" s="30" t="str">
        <f>IF(DAY(MaySun1)=1,"",IF(AND(YEAR(MaySun1+2)=ΈτοςΗμερολογίου,MONTH(MaySun1+2)=5),MaySun1+2,""))</f>
        <v/>
      </c>
      <c r="E23" s="30" t="str">
        <f>IF(DAY(MaySun1)=1,"",IF(AND(YEAR(MaySun1+3)=ΈτοςΗμερολογίου,MONTH(MaySun1+3)=5),MaySun1+3,""))</f>
        <v/>
      </c>
      <c r="F23" s="30" t="str">
        <f>IF(DAY(MaySun1)=1,"",IF(AND(YEAR(MaySun1+4)=ΈτοςΗμερολογίου,MONTH(MaySun1+4)=5),MaySun1+4,""))</f>
        <v/>
      </c>
      <c r="G23" s="30">
        <f>IF(DAY(MaySun1)=1,"",IF(AND(YEAR(MaySun1+5)=ΈτοςΗμερολογίου,MONTH(MaySun1+5)=5),MaySun1+5,""))</f>
        <v>43952</v>
      </c>
      <c r="H23" s="30">
        <f>IF(DAY(MaySun1)=1,"",IF(AND(YEAR(MaySun1+6)=ΈτοςΗμερολογίου,MONTH(MaySun1+6)=5),MaySun1+6,""))</f>
        <v>43953</v>
      </c>
      <c r="I23" s="30">
        <f>IF(DAY(MaySun1)=1,IF(AND(YEAR(MaySun1)=ΈτοςΗμερολογίου,MONTH(MaySun1)=5),MaySun1,""),IF(AND(YEAR(MaySun1+7)=ΈτοςΗμερολογίου,MONTH(MaySun1+7)=5),MaySun1+7,""))</f>
        <v>43954</v>
      </c>
      <c r="J23" s="21"/>
      <c r="K23" s="30">
        <f>IF(DAY(JunSun1)=1,"",IF(AND(YEAR(JunSun1+1)=ΈτοςΗμερολογίου,MONTH(JunSun1+1)=6),JunSun1+1,""))</f>
        <v>43983</v>
      </c>
      <c r="L23" s="30">
        <f>IF(DAY(JunSun1)=1,"",IF(AND(YEAR(JunSun1+2)=ΈτοςΗμερολογίου,MONTH(JunSun1+2)=6),JunSun1+2,""))</f>
        <v>43984</v>
      </c>
      <c r="M23" s="30">
        <f>IF(DAY(JunSun1)=1,"",IF(AND(YEAR(JunSun1+3)=ΈτοςΗμερολογίου,MONTH(JunSun1+3)=6),JunSun1+3,""))</f>
        <v>43985</v>
      </c>
      <c r="N23" s="30">
        <f>IF(DAY(JunSun1)=1,"",IF(AND(YEAR(JunSun1+4)=ΈτοςΗμερολογίου,MONTH(JunSun1+4)=6),JunSun1+4,""))</f>
        <v>43986</v>
      </c>
      <c r="O23" s="30">
        <f>IF(DAY(JunSun1)=1,"",IF(AND(YEAR(JunSun1+5)=ΈτοςΗμερολογίου,MONTH(JunSun1+5)=6),JunSun1+5,""))</f>
        <v>43987</v>
      </c>
      <c r="P23" s="30">
        <f>IF(DAY(JunSun1)=1,"",IF(AND(YEAR(JunSun1+6)=ΈτοςΗμερολογίου,MONTH(JunSun1+6)=6),JunSun1+6,""))</f>
        <v>43988</v>
      </c>
      <c r="Q23" s="30">
        <f>IF(DAY(JunSun1)=1,IF(AND(YEAR(JunSun1)=ΈτοςΗμερολογίου,MONTH(JunSun1)=6),JunSun1,""),IF(AND(YEAR(JunSun1+7)=ΈτοςΗμερολογίου,MONTH(JunSun1+7)=6),JunSun1+7,""))</f>
        <v>43989</v>
      </c>
      <c r="S23" s="24"/>
      <c r="U23" s="2"/>
      <c r="V23" s="25"/>
      <c r="W23" s="25"/>
    </row>
    <row r="24" spans="1:23" ht="15" customHeight="1" x14ac:dyDescent="0.2">
      <c r="C24" s="30">
        <f>IF(DAY(MaySun1)=1,IF(AND(YEAR(MaySun1+1)=ΈτοςΗμερολογίου,MONTH(MaySun1+1)=5),MaySun1+1,""),IF(AND(YEAR(MaySun1+8)=ΈτοςΗμερολογίου,MONTH(MaySun1+8)=5),MaySun1+8,""))</f>
        <v>43955</v>
      </c>
      <c r="D24" s="30">
        <f>IF(DAY(MaySun1)=1,IF(AND(YEAR(MaySun1+2)=ΈτοςΗμερολογίου,MONTH(MaySun1+2)=5),MaySun1+2,""),IF(AND(YEAR(MaySun1+9)=ΈτοςΗμερολογίου,MONTH(MaySun1+9)=5),MaySun1+9,""))</f>
        <v>43956</v>
      </c>
      <c r="E24" s="30">
        <f>IF(DAY(MaySun1)=1,IF(AND(YEAR(MaySun1+3)=ΈτοςΗμερολογίου,MONTH(MaySun1+3)=5),MaySun1+3,""),IF(AND(YEAR(MaySun1+10)=ΈτοςΗμερολογίου,MONTH(MaySun1+10)=5),MaySun1+10,""))</f>
        <v>43957</v>
      </c>
      <c r="F24" s="30">
        <f>IF(DAY(MaySun1)=1,IF(AND(YEAR(MaySun1+4)=ΈτοςΗμερολογίου,MONTH(MaySun1+4)=5),MaySun1+4,""),IF(AND(YEAR(MaySun1+11)=ΈτοςΗμερολογίου,MONTH(MaySun1+11)=5),MaySun1+11,""))</f>
        <v>43958</v>
      </c>
      <c r="G24" s="30">
        <f>IF(DAY(MaySun1)=1,IF(AND(YEAR(MaySun1+5)=ΈτοςΗμερολογίου,MONTH(MaySun1+5)=5),MaySun1+5,""),IF(AND(YEAR(MaySun1+12)=ΈτοςΗμερολογίου,MONTH(MaySun1+12)=5),MaySun1+12,""))</f>
        <v>43959</v>
      </c>
      <c r="H24" s="30">
        <f>IF(DAY(MaySun1)=1,IF(AND(YEAR(MaySun1+6)=ΈτοςΗμερολογίου,MONTH(MaySun1+6)=5),MaySun1+6,""),IF(AND(YEAR(MaySun1+13)=ΈτοςΗμερολογίου,MONTH(MaySun1+13)=5),MaySun1+13,""))</f>
        <v>43960</v>
      </c>
      <c r="I24" s="30">
        <f>IF(DAY(MaySun1)=1,IF(AND(YEAR(MaySun1+7)=ΈτοςΗμερολογίου,MONTH(MaySun1+7)=5),MaySun1+7,""),IF(AND(YEAR(MaySun1+14)=ΈτοςΗμερολογίου,MONTH(MaySun1+14)=5),MaySun1+14,""))</f>
        <v>43961</v>
      </c>
      <c r="J24" s="22"/>
      <c r="K24" s="30">
        <f>IF(DAY(JunSun1)=1,IF(AND(YEAR(JunSun1+1)=ΈτοςΗμερολογίου,MONTH(JunSun1+1)=6),JunSun1+1,""),IF(AND(YEAR(JunSun1+8)=ΈτοςΗμερολογίου,MONTH(JunSun1+8)=6),JunSun1+8,""))</f>
        <v>43990</v>
      </c>
      <c r="L24" s="30">
        <f>IF(DAY(JunSun1)=1,IF(AND(YEAR(JunSun1+2)=ΈτοςΗμερολογίου,MONTH(JunSun1+2)=6),JunSun1+2,""),IF(AND(YEAR(JunSun1+9)=ΈτοςΗμερολογίου,MONTH(JunSun1+9)=6),JunSun1+9,""))</f>
        <v>43991</v>
      </c>
      <c r="M24" s="30">
        <f>IF(DAY(JunSun1)=1,IF(AND(YEAR(JunSun1+3)=ΈτοςΗμερολογίου,MONTH(JunSun1+3)=6),JunSun1+3,""),IF(AND(YEAR(JunSun1+10)=ΈτοςΗμερολογίου,MONTH(JunSun1+10)=6),JunSun1+10,""))</f>
        <v>43992</v>
      </c>
      <c r="N24" s="30">
        <f>IF(DAY(JunSun1)=1,IF(AND(YEAR(JunSun1+4)=ΈτοςΗμερολογίου,MONTH(JunSun1+4)=6),JunSun1+4,""),IF(AND(YEAR(JunSun1+11)=ΈτοςΗμερολογίου,MONTH(JunSun1+11)=6),JunSun1+11,""))</f>
        <v>43993</v>
      </c>
      <c r="O24" s="30">
        <f>IF(DAY(JunSun1)=1,IF(AND(YEAR(JunSun1+5)=ΈτοςΗμερολογίου,MONTH(JunSun1+5)=6),JunSun1+5,""),IF(AND(YEAR(JunSun1+12)=ΈτοςΗμερολογίου,MONTH(JunSun1+12)=6),JunSun1+12,""))</f>
        <v>43994</v>
      </c>
      <c r="P24" s="30">
        <f>IF(DAY(JunSun1)=1,IF(AND(YEAR(JunSun1+6)=ΈτοςΗμερολογίου,MONTH(JunSun1+6)=6),JunSun1+6,""),IF(AND(YEAR(JunSun1+13)=ΈτοςΗμερολογίου,MONTH(JunSun1+13)=6),JunSun1+13,""))</f>
        <v>43995</v>
      </c>
      <c r="Q24" s="30">
        <f>IF(DAY(JunSun1)=1,IF(AND(YEAR(JunSun1+7)=ΈτοςΗμερολογίου,MONTH(JunSun1+7)=6),JunSun1+7,""),IF(AND(YEAR(JunSun1+14)=ΈτοςΗμερολογίου,MONTH(JunSun1+14)=6),JunSun1+14,""))</f>
        <v>43996</v>
      </c>
      <c r="S24" s="24"/>
      <c r="U24" s="10"/>
      <c r="V24" s="25"/>
      <c r="W24" s="25"/>
    </row>
    <row r="25" spans="1:23" ht="15" customHeight="1" x14ac:dyDescent="0.2">
      <c r="C25" s="30">
        <f>IF(DAY(MaySun1)=1,IF(AND(YEAR(MaySun1+8)=ΈτοςΗμερολογίου,MONTH(MaySun1+8)=5),MaySun1+8,""),IF(AND(YEAR(MaySun1+15)=ΈτοςΗμερολογίου,MONTH(MaySun1+15)=5),MaySun1+15,""))</f>
        <v>43962</v>
      </c>
      <c r="D25" s="30">
        <f>IF(DAY(MaySun1)=1,IF(AND(YEAR(MaySun1+9)=ΈτοςΗμερολογίου,MONTH(MaySun1+9)=5),MaySun1+9,""),IF(AND(YEAR(MaySun1+16)=ΈτοςΗμερολογίου,MONTH(MaySun1+16)=5),MaySun1+16,""))</f>
        <v>43963</v>
      </c>
      <c r="E25" s="30">
        <f>IF(DAY(MaySun1)=1,IF(AND(YEAR(MaySun1+10)=ΈτοςΗμερολογίου,MONTH(MaySun1+10)=5),MaySun1+10,""),IF(AND(YEAR(MaySun1+17)=ΈτοςΗμερολογίου,MONTH(MaySun1+17)=5),MaySun1+17,""))</f>
        <v>43964</v>
      </c>
      <c r="F25" s="30">
        <f>IF(DAY(MaySun1)=1,IF(AND(YEAR(MaySun1+11)=ΈτοςΗμερολογίου,MONTH(MaySun1+11)=5),MaySun1+11,""),IF(AND(YEAR(MaySun1+18)=ΈτοςΗμερολογίου,MONTH(MaySun1+18)=5),MaySun1+18,""))</f>
        <v>43965</v>
      </c>
      <c r="G25" s="30">
        <f>IF(DAY(MaySun1)=1,IF(AND(YEAR(MaySun1+12)=ΈτοςΗμερολογίου,MONTH(MaySun1+12)=5),MaySun1+12,""),IF(AND(YEAR(MaySun1+19)=ΈτοςΗμερολογίου,MONTH(MaySun1+19)=5),MaySun1+19,""))</f>
        <v>43966</v>
      </c>
      <c r="H25" s="30">
        <f>IF(DAY(MaySun1)=1,IF(AND(YEAR(MaySun1+13)=ΈτοςΗμερολογίου,MONTH(MaySun1+13)=5),MaySun1+13,""),IF(AND(YEAR(MaySun1+20)=ΈτοςΗμερολογίου,MONTH(MaySun1+20)=5),MaySun1+20,""))</f>
        <v>43967</v>
      </c>
      <c r="I25" s="30">
        <f>IF(DAY(MaySun1)=1,IF(AND(YEAR(MaySun1+14)=ΈτοςΗμερολογίου,MONTH(MaySun1+14)=5),MaySun1+14,""),IF(AND(YEAR(MaySun1+21)=ΈτοςΗμερολογίου,MONTH(MaySun1+21)=5),MaySun1+21,""))</f>
        <v>43968</v>
      </c>
      <c r="J25" s="22"/>
      <c r="K25" s="30">
        <f>IF(DAY(JunSun1)=1,IF(AND(YEAR(JunSun1+8)=ΈτοςΗμερολογίου,MONTH(JunSun1+8)=6),JunSun1+8,""),IF(AND(YEAR(JunSun1+15)=ΈτοςΗμερολογίου,MONTH(JunSun1+15)=6),JunSun1+15,""))</f>
        <v>43997</v>
      </c>
      <c r="L25" s="30">
        <f>IF(DAY(JunSun1)=1,IF(AND(YEAR(JunSun1+9)=ΈτοςΗμερολογίου,MONTH(JunSun1+9)=6),JunSun1+9,""),IF(AND(YEAR(JunSun1+16)=ΈτοςΗμερολογίου,MONTH(JunSun1+16)=6),JunSun1+16,""))</f>
        <v>43998</v>
      </c>
      <c r="M25" s="30">
        <f>IF(DAY(JunSun1)=1,IF(AND(YEAR(JunSun1+10)=ΈτοςΗμερολογίου,MONTH(JunSun1+10)=6),JunSun1+10,""),IF(AND(YEAR(JunSun1+17)=ΈτοςΗμερολογίου,MONTH(JunSun1+17)=6),JunSun1+17,""))</f>
        <v>43999</v>
      </c>
      <c r="N25" s="30">
        <f>IF(DAY(JunSun1)=1,IF(AND(YEAR(JunSun1+11)=ΈτοςΗμερολογίου,MONTH(JunSun1+11)=6),JunSun1+11,""),IF(AND(YEAR(JunSun1+18)=ΈτοςΗμερολογίου,MONTH(JunSun1+18)=6),JunSun1+18,""))</f>
        <v>44000</v>
      </c>
      <c r="O25" s="30">
        <f>IF(DAY(JunSun1)=1,IF(AND(YEAR(JunSun1+12)=ΈτοςΗμερολογίου,MONTH(JunSun1+12)=6),JunSun1+12,""),IF(AND(YEAR(JunSun1+19)=ΈτοςΗμερολογίου,MONTH(JunSun1+19)=6),JunSun1+19,""))</f>
        <v>44001</v>
      </c>
      <c r="P25" s="30">
        <f>IF(DAY(JunSun1)=1,IF(AND(YEAR(JunSun1+13)=ΈτοςΗμερολογίου,MONTH(JunSun1+13)=6),JunSun1+13,""),IF(AND(YEAR(JunSun1+20)=ΈτοςΗμερολογίου,MONTH(JunSun1+20)=6),JunSun1+20,""))</f>
        <v>44002</v>
      </c>
      <c r="Q25" s="30">
        <f>IF(DAY(JunSun1)=1,IF(AND(YEAR(JunSun1+14)=ΈτοςΗμερολογίου,MONTH(JunSun1+14)=6),JunSun1+14,""),IF(AND(YEAR(JunSun1+21)=ΈτοςΗμερολογίου,MONTH(JunSun1+21)=6),JunSun1+21,""))</f>
        <v>44003</v>
      </c>
      <c r="S25" s="24"/>
      <c r="U25" s="3"/>
      <c r="V25" s="25"/>
      <c r="W25" s="25"/>
    </row>
    <row r="26" spans="1:23" ht="15" customHeight="1" x14ac:dyDescent="0.2">
      <c r="C26" s="30">
        <f>IF(DAY(MaySun1)=1,IF(AND(YEAR(MaySun1+15)=ΈτοςΗμερολογίου,MONTH(MaySun1+15)=5),MaySun1+15,""),IF(AND(YEAR(MaySun1+22)=ΈτοςΗμερολογίου,MONTH(MaySun1+22)=5),MaySun1+22,""))</f>
        <v>43969</v>
      </c>
      <c r="D26" s="30">
        <f>IF(DAY(MaySun1)=1,IF(AND(YEAR(MaySun1+16)=ΈτοςΗμερολογίου,MONTH(MaySun1+16)=5),MaySun1+16,""),IF(AND(YEAR(MaySun1+23)=ΈτοςΗμερολογίου,MONTH(MaySun1+23)=5),MaySun1+23,""))</f>
        <v>43970</v>
      </c>
      <c r="E26" s="30">
        <f>IF(DAY(MaySun1)=1,IF(AND(YEAR(MaySun1+17)=ΈτοςΗμερολογίου,MONTH(MaySun1+17)=5),MaySun1+17,""),IF(AND(YEAR(MaySun1+24)=ΈτοςΗμερολογίου,MONTH(MaySun1+24)=5),MaySun1+24,""))</f>
        <v>43971</v>
      </c>
      <c r="F26" s="30">
        <f>IF(DAY(MaySun1)=1,IF(AND(YEAR(MaySun1+18)=ΈτοςΗμερολογίου,MONTH(MaySun1+18)=5),MaySun1+18,""),IF(AND(YEAR(MaySun1+25)=ΈτοςΗμερολογίου,MONTH(MaySun1+25)=5),MaySun1+25,""))</f>
        <v>43972</v>
      </c>
      <c r="G26" s="30">
        <f>IF(DAY(MaySun1)=1,IF(AND(YEAR(MaySun1+19)=ΈτοςΗμερολογίου,MONTH(MaySun1+19)=5),MaySun1+19,""),IF(AND(YEAR(MaySun1+26)=ΈτοςΗμερολογίου,MONTH(MaySun1+26)=5),MaySun1+26,""))</f>
        <v>43973</v>
      </c>
      <c r="H26" s="30">
        <f>IF(DAY(MaySun1)=1,IF(AND(YEAR(MaySun1+20)=ΈτοςΗμερολογίου,MONTH(MaySun1+20)=5),MaySun1+20,""),IF(AND(YEAR(MaySun1+27)=ΈτοςΗμερολογίου,MONTH(MaySun1+27)=5),MaySun1+27,""))</f>
        <v>43974</v>
      </c>
      <c r="I26" s="30">
        <f>IF(DAY(MaySun1)=1,IF(AND(YEAR(MaySun1+21)=ΈτοςΗμερολογίου,MONTH(MaySun1+21)=5),MaySun1+21,""),IF(AND(YEAR(MaySun1+28)=ΈτοςΗμερολογίου,MONTH(MaySun1+28)=5),MaySun1+28,""))</f>
        <v>43975</v>
      </c>
      <c r="J26" s="22"/>
      <c r="K26" s="30">
        <f>IF(DAY(JunSun1)=1,IF(AND(YEAR(JunSun1+15)=ΈτοςΗμερολογίου,MONTH(JunSun1+15)=6),JunSun1+15,""),IF(AND(YEAR(JunSun1+22)=ΈτοςΗμερολογίου,MONTH(JunSun1+22)=6),JunSun1+22,""))</f>
        <v>44004</v>
      </c>
      <c r="L26" s="30">
        <f>IF(DAY(JunSun1)=1,IF(AND(YEAR(JunSun1+16)=ΈτοςΗμερολογίου,MONTH(JunSun1+16)=6),JunSun1+16,""),IF(AND(YEAR(JunSun1+23)=ΈτοςΗμερολογίου,MONTH(JunSun1+23)=6),JunSun1+23,""))</f>
        <v>44005</v>
      </c>
      <c r="M26" s="30">
        <f>IF(DAY(JunSun1)=1,IF(AND(YEAR(JunSun1+17)=ΈτοςΗμερολογίου,MONTH(JunSun1+17)=6),JunSun1+17,""),IF(AND(YEAR(JunSun1+24)=ΈτοςΗμερολογίου,MONTH(JunSun1+24)=6),JunSun1+24,""))</f>
        <v>44006</v>
      </c>
      <c r="N26" s="30">
        <f>IF(DAY(JunSun1)=1,IF(AND(YEAR(JunSun1+18)=ΈτοςΗμερολογίου,MONTH(JunSun1+18)=6),JunSun1+18,""),IF(AND(YEAR(JunSun1+25)=ΈτοςΗμερολογίου,MONTH(JunSun1+25)=6),JunSun1+25,""))</f>
        <v>44007</v>
      </c>
      <c r="O26" s="30">
        <f>IF(DAY(JunSun1)=1,IF(AND(YEAR(JunSun1+19)=ΈτοςΗμερολογίου,MONTH(JunSun1+19)=6),JunSun1+19,""),IF(AND(YEAR(JunSun1+26)=ΈτοςΗμερολογίου,MONTH(JunSun1+26)=6),JunSun1+26,""))</f>
        <v>44008</v>
      </c>
      <c r="P26" s="30">
        <f>IF(DAY(JunSun1)=1,IF(AND(YEAR(JunSun1+20)=ΈτοςΗμερολογίου,MONTH(JunSun1+20)=6),JunSun1+20,""),IF(AND(YEAR(JunSun1+27)=ΈτοςΗμερολογίου,MONTH(JunSun1+27)=6),JunSun1+27,""))</f>
        <v>44009</v>
      </c>
      <c r="Q26" s="30">
        <f>IF(DAY(JunSun1)=1,IF(AND(YEAR(JunSun1+21)=ΈτοςΗμερολογίου,MONTH(JunSun1+21)=6),JunSun1+21,""),IF(AND(YEAR(JunSun1+28)=ΈτοςΗμερολογίου,MONTH(JunSun1+28)=6),JunSun1+28,""))</f>
        <v>44010</v>
      </c>
      <c r="S26" s="24"/>
      <c r="U26" s="2"/>
      <c r="V26" s="25"/>
      <c r="W26" s="25"/>
    </row>
    <row r="27" spans="1:23" ht="15" customHeight="1" x14ac:dyDescent="0.2">
      <c r="C27" s="30">
        <f>IF(DAY(MaySun1)=1,IF(AND(YEAR(MaySun1+22)=ΈτοςΗμερολογίου,MONTH(MaySun1+22)=5),MaySun1+22,""),IF(AND(YEAR(MaySun1+29)=ΈτοςΗμερολογίου,MONTH(MaySun1+29)=5),MaySun1+29,""))</f>
        <v>43976</v>
      </c>
      <c r="D27" s="30">
        <f>IF(DAY(MaySun1)=1,IF(AND(YEAR(MaySun1+23)=ΈτοςΗμερολογίου,MONTH(MaySun1+23)=5),MaySun1+23,""),IF(AND(YEAR(MaySun1+30)=ΈτοςΗμερολογίου,MONTH(MaySun1+30)=5),MaySun1+30,""))</f>
        <v>43977</v>
      </c>
      <c r="E27" s="30">
        <f>IF(DAY(MaySun1)=1,IF(AND(YEAR(MaySun1+24)=ΈτοςΗμερολογίου,MONTH(MaySun1+24)=5),MaySun1+24,""),IF(AND(YEAR(MaySun1+31)=ΈτοςΗμερολογίου,MONTH(MaySun1+31)=5),MaySun1+31,""))</f>
        <v>43978</v>
      </c>
      <c r="F27" s="30">
        <f>IF(DAY(MaySun1)=1,IF(AND(YEAR(MaySun1+25)=ΈτοςΗμερολογίου,MONTH(MaySun1+25)=5),MaySun1+25,""),IF(AND(YEAR(MaySun1+32)=ΈτοςΗμερολογίου,MONTH(MaySun1+32)=5),MaySun1+32,""))</f>
        <v>43979</v>
      </c>
      <c r="G27" s="30">
        <f>IF(DAY(MaySun1)=1,IF(AND(YEAR(MaySun1+26)=ΈτοςΗμερολογίου,MONTH(MaySun1+26)=5),MaySun1+26,""),IF(AND(YEAR(MaySun1+33)=ΈτοςΗμερολογίου,MONTH(MaySun1+33)=5),MaySun1+33,""))</f>
        <v>43980</v>
      </c>
      <c r="H27" s="30">
        <f>IF(DAY(MaySun1)=1,IF(AND(YEAR(MaySun1+27)=ΈτοςΗμερολογίου,MONTH(MaySun1+27)=5),MaySun1+27,""),IF(AND(YEAR(MaySun1+34)=ΈτοςΗμερολογίου,MONTH(MaySun1+34)=5),MaySun1+34,""))</f>
        <v>43981</v>
      </c>
      <c r="I27" s="30">
        <f>IF(DAY(MaySun1)=1,IF(AND(YEAR(MaySun1+28)=ΈτοςΗμερολογίου,MONTH(MaySun1+28)=5),MaySun1+28,""),IF(AND(YEAR(MaySun1+35)=ΈτοςΗμερολογίου,MONTH(MaySun1+35)=5),MaySun1+35,""))</f>
        <v>43982</v>
      </c>
      <c r="J27" s="22"/>
      <c r="K27" s="30">
        <f>IF(DAY(JunSun1)=1,IF(AND(YEAR(JunSun1+22)=ΈτοςΗμερολογίου,MONTH(JunSun1+22)=6),JunSun1+22,""),IF(AND(YEAR(JunSun1+29)=ΈτοςΗμερολογίου,MONTH(JunSun1+29)=6),JunSun1+29,""))</f>
        <v>44011</v>
      </c>
      <c r="L27" s="30">
        <f>IF(DAY(JunSun1)=1,IF(AND(YEAR(JunSun1+23)=ΈτοςΗμερολογίου,MONTH(JunSun1+23)=6),JunSun1+23,""),IF(AND(YEAR(JunSun1+30)=ΈτοςΗμερολογίου,MONTH(JunSun1+30)=6),JunSun1+30,""))</f>
        <v>44012</v>
      </c>
      <c r="M27" s="30" t="str">
        <f>IF(DAY(JunSun1)=1,IF(AND(YEAR(JunSun1+24)=ΈτοςΗμερολογίου,MONTH(JunSun1+24)=6),JunSun1+24,""),IF(AND(YEAR(JunSun1+31)=ΈτοςΗμερολογίου,MONTH(JunSun1+31)=6),JunSun1+31,""))</f>
        <v/>
      </c>
      <c r="N27" s="30" t="str">
        <f>IF(DAY(JunSun1)=1,IF(AND(YEAR(JunSun1+25)=ΈτοςΗμερολογίου,MONTH(JunSun1+25)=6),JunSun1+25,""),IF(AND(YEAR(JunSun1+32)=ΈτοςΗμερολογίου,MONTH(JunSun1+32)=6),JunSun1+32,""))</f>
        <v/>
      </c>
      <c r="O27" s="30" t="str">
        <f>IF(DAY(JunSun1)=1,IF(AND(YEAR(JunSun1+26)=ΈτοςΗμερολογίου,MONTH(JunSun1+26)=6),JunSun1+26,""),IF(AND(YEAR(JunSun1+33)=ΈτοςΗμερολογίου,MONTH(JunSun1+33)=6),JunSun1+33,""))</f>
        <v/>
      </c>
      <c r="P27" s="30" t="str">
        <f>IF(DAY(JunSun1)=1,IF(AND(YEAR(JunSun1+27)=ΈτοςΗμερολογίου,MONTH(JunSun1+27)=6),JunSun1+27,""),IF(AND(YEAR(JunSun1+34)=ΈτοςΗμερολογίου,MONTH(JunSun1+34)=6),JunSun1+34,""))</f>
        <v/>
      </c>
      <c r="Q27" s="30" t="str">
        <f>IF(DAY(JunSun1)=1,IF(AND(YEAR(JunSun1+28)=ΈτοςΗμερολογίου,MONTH(JunSun1+28)=6),JunSun1+28,""),IF(AND(YEAR(JunSun1+35)=ΈτοςΗμερολογίου,MONTH(JunSun1+35)=6),JunSun1+35,""))</f>
        <v/>
      </c>
      <c r="S27" s="24"/>
      <c r="U27" s="10"/>
      <c r="V27" s="25"/>
      <c r="W27" s="25"/>
    </row>
    <row r="28" spans="1:23" ht="15" customHeight="1" x14ac:dyDescent="0.2">
      <c r="C28" s="30" t="str">
        <f>IF(DAY(MaySun1)=1,IF(AND(YEAR(MaySun1+29)=ΈτοςΗμερολογίου,MONTH(MaySun1+29)=5),MaySun1+29,""),IF(AND(YEAR(MaySun1+36)=ΈτοςΗμερολογίου,MONTH(MaySun1+36)=5),MaySun1+36,""))</f>
        <v/>
      </c>
      <c r="D28" s="30" t="str">
        <f>IF(DAY(MaySun1)=1,IF(AND(YEAR(MaySun1+30)=ΈτοςΗμερολογίου,MONTH(MaySun1+30)=5),MaySun1+30,""),IF(AND(YEAR(MaySun1+37)=ΈτοςΗμερολογίου,MONTH(MaySun1+37)=5),MaySun1+37,""))</f>
        <v/>
      </c>
      <c r="E28" s="30" t="str">
        <f>IF(DAY(MaySun1)=1,IF(AND(YEAR(MaySun1+31)=ΈτοςΗμερολογίου,MONTH(MaySun1+31)=5),MaySun1+31,""),IF(AND(YEAR(MaySun1+38)=ΈτοςΗμερολογίου,MONTH(MaySun1+38)=5),MaySun1+38,""))</f>
        <v/>
      </c>
      <c r="F28" s="30" t="str">
        <f>IF(DAY(MaySun1)=1,IF(AND(YEAR(MaySun1+32)=ΈτοςΗμερολογίου,MONTH(MaySun1+32)=5),MaySun1+32,""),IF(AND(YEAR(MaySun1+39)=ΈτοςΗμερολογίου,MONTH(MaySun1+39)=5),MaySun1+39,""))</f>
        <v/>
      </c>
      <c r="G28" s="30" t="str">
        <f>IF(DAY(MaySun1)=1,IF(AND(YEAR(MaySun1+33)=ΈτοςΗμερολογίου,MONTH(MaySun1+33)=5),MaySun1+33,""),IF(AND(YEAR(MaySun1+40)=ΈτοςΗμερολογίου,MONTH(MaySun1+40)=5),MaySun1+40,""))</f>
        <v/>
      </c>
      <c r="H28" s="30" t="str">
        <f>IF(DAY(MaySun1)=1,IF(AND(YEAR(MaySun1+34)=ΈτοςΗμερολογίου,MONTH(MaySun1+34)=5),MaySun1+34,""),IF(AND(YEAR(MaySun1+41)=ΈτοςΗμερολογίου,MONTH(MaySun1+41)=5),MaySun1+41,""))</f>
        <v/>
      </c>
      <c r="I28" s="30" t="str">
        <f>IF(DAY(MaySun1)=1,IF(AND(YEAR(MaySun1+35)=ΈτοςΗμερολογίου,MONTH(MaySun1+35)=5),MaySun1+35,""),IF(AND(YEAR(MaySun1+42)=ΈτοςΗμερολογίου,MONTH(MaySun1+42)=5),MaySun1+42,""))</f>
        <v/>
      </c>
      <c r="J28" s="22"/>
      <c r="K28" s="30" t="str">
        <f>IF(DAY(JunSun1)=1,IF(AND(YEAR(JunSun1+29)=ΈτοςΗμερολογίου,MONTH(JunSun1+29)=6),JunSun1+29,""),IF(AND(YEAR(JunSun1+36)=ΈτοςΗμερολογίου,MONTH(JunSun1+36)=6),JunSun1+36,""))</f>
        <v/>
      </c>
      <c r="L28" s="30" t="str">
        <f>IF(DAY(JunSun1)=1,IF(AND(YEAR(JunSun1+30)=ΈτοςΗμερολογίου,MONTH(JunSun1+30)=6),JunSun1+30,""),IF(AND(YEAR(JunSun1+37)=ΈτοςΗμερολογίου,MONTH(JunSun1+37)=6),JunSun1+37,""))</f>
        <v/>
      </c>
      <c r="M28" s="30" t="str">
        <f>IF(DAY(JunSun1)=1,IF(AND(YEAR(JunSun1+31)=ΈτοςΗμερολογίου,MONTH(JunSun1+31)=6),JunSun1+31,""),IF(AND(YEAR(JunSun1+38)=ΈτοςΗμερολογίου,MONTH(JunSun1+38)=6),JunSun1+38,""))</f>
        <v/>
      </c>
      <c r="N28" s="30" t="str">
        <f>IF(DAY(JunSun1)=1,IF(AND(YEAR(JunSun1+32)=ΈτοςΗμερολογίου,MONTH(JunSun1+32)=6),JunSun1+32,""),IF(AND(YEAR(JunSun1+39)=ΈτοςΗμερολογίου,MONTH(JunSun1+39)=6),JunSun1+39,""))</f>
        <v/>
      </c>
      <c r="O28" s="30" t="str">
        <f>IF(DAY(JunSun1)=1,IF(AND(YEAR(JunSun1+33)=ΈτοςΗμερολογίου,MONTH(JunSun1+33)=6),JunSun1+33,""),IF(AND(YEAR(JunSun1+40)=ΈτοςΗμερολογίου,MONTH(JunSun1+40)=6),JunSun1+40,""))</f>
        <v/>
      </c>
      <c r="P28" s="30" t="str">
        <f>IF(DAY(JunSun1)=1,IF(AND(YEAR(JunSun1+34)=ΈτοςΗμερολογίου,MONTH(JunSun1+34)=6),JunSun1+34,""),IF(AND(YEAR(JunSun1+41)=ΈτοςΗμερολογίου,MONTH(JunSun1+41)=6),JunSun1+41,""))</f>
        <v/>
      </c>
      <c r="Q28" s="30" t="str">
        <f>IF(DAY(JunSun1)=1,IF(AND(YEAR(JunSun1+35)=ΈτοςΗμερολογίου,MONTH(JunSun1+35)=6),JunSun1+35,""),IF(AND(YEAR(JunSun1+42)=ΈτοςΗμερολογίου,MONTH(JunSun1+42)=6),JunSun1+42,""))</f>
        <v/>
      </c>
      <c r="S28" s="24"/>
      <c r="U28" s="3"/>
      <c r="V28" s="25"/>
      <c r="W28" s="25"/>
    </row>
    <row r="29" spans="1:23" ht="15" customHeight="1" x14ac:dyDescent="0.2">
      <c r="J29" s="22"/>
      <c r="S29" s="24"/>
      <c r="U29" s="2"/>
      <c r="V29" s="25"/>
      <c r="W29" s="25"/>
    </row>
    <row r="30" spans="1:23" ht="15" customHeight="1" x14ac:dyDescent="0.2">
      <c r="A30" s="18" t="s">
        <v>15</v>
      </c>
      <c r="C30" s="26" t="s">
        <v>30</v>
      </c>
      <c r="D30" s="26"/>
      <c r="E30" s="26"/>
      <c r="F30" s="26"/>
      <c r="G30" s="26"/>
      <c r="H30" s="26"/>
      <c r="I30" s="26"/>
      <c r="J30" s="22"/>
      <c r="K30" s="26" t="s">
        <v>42</v>
      </c>
      <c r="L30" s="26"/>
      <c r="M30" s="26"/>
      <c r="N30" s="26"/>
      <c r="O30" s="26"/>
      <c r="P30" s="26"/>
      <c r="Q30" s="26"/>
      <c r="S30" s="24"/>
      <c r="U30" s="10"/>
      <c r="V30" s="25"/>
      <c r="W30" s="25"/>
    </row>
    <row r="31" spans="1:23" ht="15" customHeight="1" x14ac:dyDescent="0.2">
      <c r="A31" s="18" t="s">
        <v>16</v>
      </c>
      <c r="C31" s="11" t="s">
        <v>27</v>
      </c>
      <c r="D31" s="11" t="s">
        <v>33</v>
      </c>
      <c r="E31" s="11" t="s">
        <v>34</v>
      </c>
      <c r="F31" s="11" t="s">
        <v>35</v>
      </c>
      <c r="G31" s="11" t="s">
        <v>36</v>
      </c>
      <c r="H31" s="11" t="s">
        <v>37</v>
      </c>
      <c r="I31" s="11" t="s">
        <v>38</v>
      </c>
      <c r="J31" s="22"/>
      <c r="K31" s="11" t="s">
        <v>27</v>
      </c>
      <c r="L31" s="11" t="s">
        <v>33</v>
      </c>
      <c r="M31" s="11" t="s">
        <v>34</v>
      </c>
      <c r="N31" s="11" t="s">
        <v>35</v>
      </c>
      <c r="O31" s="11" t="s">
        <v>36</v>
      </c>
      <c r="P31" s="11" t="s">
        <v>37</v>
      </c>
      <c r="Q31" s="11" t="s">
        <v>38</v>
      </c>
      <c r="S31" s="24"/>
      <c r="U31" s="3"/>
      <c r="V31" s="25"/>
      <c r="W31" s="25"/>
    </row>
    <row r="32" spans="1:23" ht="15" customHeight="1" x14ac:dyDescent="0.2">
      <c r="A32" s="18"/>
      <c r="C32" s="30" t="str">
        <f>IF(DAY(JulSun1)=1,"",IF(AND(YEAR(JulSun1+1)=ΈτοςΗμερολογίου,MONTH(JulSun1+1)=7),JulSun1+1,""))</f>
        <v/>
      </c>
      <c r="D32" s="30" t="str">
        <f>IF(DAY(JulSun1)=1,"",IF(AND(YEAR(JulSun1+2)=ΈτοςΗμερολογίου,MONTH(JulSun1+2)=7),JulSun1+2,""))</f>
        <v/>
      </c>
      <c r="E32" s="30">
        <f>IF(DAY(JulSun1)=1,"",IF(AND(YEAR(JulSun1+3)=ΈτοςΗμερολογίου,MONTH(JulSun1+3)=7),JulSun1+3,""))</f>
        <v>44013</v>
      </c>
      <c r="F32" s="30">
        <f>IF(DAY(JulSun1)=1,"",IF(AND(YEAR(JulSun1+4)=ΈτοςΗμερολογίου,MONTH(JulSun1+4)=7),JulSun1+4,""))</f>
        <v>44014</v>
      </c>
      <c r="G32" s="30">
        <f>IF(DAY(JulSun1)=1,"",IF(AND(YEAR(JulSun1+5)=ΈτοςΗμερολογίου,MONTH(JulSun1+5)=7),JulSun1+5,""))</f>
        <v>44015</v>
      </c>
      <c r="H32" s="30">
        <f>IF(DAY(JulSun1)=1,"",IF(AND(YEAR(JulSun1+6)=ΈτοςΗμερολογίου,MONTH(JulSun1+6)=7),JulSun1+6,""))</f>
        <v>44016</v>
      </c>
      <c r="I32" s="30">
        <f>IF(DAY(JulSun1)=1,IF(AND(YEAR(JulSun1)=ΈτοςΗμερολογίου,MONTH(JulSun1)=7),JulSun1,""),IF(AND(YEAR(JulSun1+7)=ΈτοςΗμερολογίου,MONTH(JulSun1+7)=7),JulSun1+7,""))</f>
        <v>44017</v>
      </c>
      <c r="K32" s="30" t="str">
        <f>IF(DAY(AugSun1)=1,"",IF(AND(YEAR(AugSun1+1)=ΈτοςΗμερολογίου,MONTH(AugSun1+1)=8),AugSun1+1,""))</f>
        <v/>
      </c>
      <c r="L32" s="30" t="str">
        <f>IF(DAY(AugSun1)=1,"",IF(AND(YEAR(AugSun1+2)=ΈτοςΗμερολογίου,MONTH(AugSun1+2)=8),AugSun1+2,""))</f>
        <v/>
      </c>
      <c r="M32" s="30" t="str">
        <f>IF(DAY(AugSun1)=1,"",IF(AND(YEAR(AugSun1+3)=ΈτοςΗμερολογίου,MONTH(AugSun1+3)=8),AugSun1+3,""))</f>
        <v/>
      </c>
      <c r="N32" s="30" t="str">
        <f>IF(DAY(AugSun1)=1,"",IF(AND(YEAR(AugSun1+4)=ΈτοςΗμερολογίου,MONTH(AugSun1+4)=8),AugSun1+4,""))</f>
        <v/>
      </c>
      <c r="O32" s="30" t="str">
        <f>IF(DAY(AugSun1)=1,"",IF(AND(YEAR(AugSun1+5)=ΈτοςΗμερολογίου,MONTH(AugSun1+5)=8),AugSun1+5,""))</f>
        <v/>
      </c>
      <c r="P32" s="30">
        <f>IF(DAY(AugSun1)=1,"",IF(AND(YEAR(AugSun1+6)=ΈτοςΗμερολογίου,MONTH(AugSun1+6)=8),AugSun1+6,""))</f>
        <v>44044</v>
      </c>
      <c r="Q32" s="30">
        <f>IF(DAY(AugSun1)=1,IF(AND(YEAR(AugSun1)=ΈτοςΗμερολογίου,MONTH(AugSun1)=8),AugSun1,""),IF(AND(YEAR(AugSun1+7)=ΈτοςΗμερολογίου,MONTH(AugSun1+7)=8),AugSun1+7,""))</f>
        <v>44045</v>
      </c>
      <c r="S32" s="24"/>
      <c r="U32" s="2"/>
      <c r="V32" s="25"/>
      <c r="W32" s="25"/>
    </row>
    <row r="33" spans="1:23" ht="15" customHeight="1" x14ac:dyDescent="0.2">
      <c r="A33" s="18"/>
      <c r="C33" s="30">
        <f>IF(DAY(JulSun1)=1,IF(AND(YEAR(JulSun1+1)=ΈτοςΗμερολογίου,MONTH(JulSun1+1)=7),JulSun1+1,""),IF(AND(YEAR(JulSun1+8)=ΈτοςΗμερολογίου,MONTH(JulSun1+8)=7),JulSun1+8,""))</f>
        <v>44018</v>
      </c>
      <c r="D33" s="30">
        <f>IF(DAY(JulSun1)=1,IF(AND(YEAR(JulSun1+2)=ΈτοςΗμερολογίου,MONTH(JulSun1+2)=7),JulSun1+2,""),IF(AND(YEAR(JulSun1+9)=ΈτοςΗμερολογίου,MONTH(JulSun1+9)=7),JulSun1+9,""))</f>
        <v>44019</v>
      </c>
      <c r="E33" s="30">
        <f>IF(DAY(JulSun1)=1,IF(AND(YEAR(JulSun1+3)=ΈτοςΗμερολογίου,MONTH(JulSun1+3)=7),JulSun1+3,""),IF(AND(YEAR(JulSun1+10)=ΈτοςΗμερολογίου,MONTH(JulSun1+10)=7),JulSun1+10,""))</f>
        <v>44020</v>
      </c>
      <c r="F33" s="30">
        <f>IF(DAY(JulSun1)=1,IF(AND(YEAR(JulSun1+4)=ΈτοςΗμερολογίου,MONTH(JulSun1+4)=7),JulSun1+4,""),IF(AND(YEAR(JulSun1+11)=ΈτοςΗμερολογίου,MONTH(JulSun1+11)=7),JulSun1+11,""))</f>
        <v>44021</v>
      </c>
      <c r="G33" s="30">
        <f>IF(DAY(JulSun1)=1,IF(AND(YEAR(JulSun1+5)=ΈτοςΗμερολογίου,MONTH(JulSun1+5)=7),JulSun1+5,""),IF(AND(YEAR(JulSun1+12)=ΈτοςΗμερολογίου,MONTH(JulSun1+12)=7),JulSun1+12,""))</f>
        <v>44022</v>
      </c>
      <c r="H33" s="30">
        <f>IF(DAY(JulSun1)=1,IF(AND(YEAR(JulSun1+6)=ΈτοςΗμερολογίου,MONTH(JulSun1+6)=7),JulSun1+6,""),IF(AND(YEAR(JulSun1+13)=ΈτοςΗμερολογίου,MONTH(JulSun1+13)=7),JulSun1+13,""))</f>
        <v>44023</v>
      </c>
      <c r="I33" s="30">
        <f>IF(DAY(JulSun1)=1,IF(AND(YEAR(JulSun1+7)=ΈτοςΗμερολογίου,MONTH(JulSun1+7)=7),JulSun1+7,""),IF(AND(YEAR(JulSun1+14)=ΈτοςΗμερολογίου,MONTH(JulSun1+14)=7),JulSun1+14,""))</f>
        <v>44024</v>
      </c>
      <c r="K33" s="30">
        <f>IF(DAY(AugSun1)=1,IF(AND(YEAR(AugSun1+1)=ΈτοςΗμερολογίου,MONTH(AugSun1+1)=8),AugSun1+1,""),IF(AND(YEAR(AugSun1+8)=ΈτοςΗμερολογίου,MONTH(AugSun1+8)=8),AugSun1+8,""))</f>
        <v>44046</v>
      </c>
      <c r="L33" s="30">
        <f>IF(DAY(AugSun1)=1,IF(AND(YEAR(AugSun1+2)=ΈτοςΗμερολογίου,MONTH(AugSun1+2)=8),AugSun1+2,""),IF(AND(YEAR(AugSun1+9)=ΈτοςΗμερολογίου,MONTH(AugSun1+9)=8),AugSun1+9,""))</f>
        <v>44047</v>
      </c>
      <c r="M33" s="30">
        <f>IF(DAY(AugSun1)=1,IF(AND(YEAR(AugSun1+3)=ΈτοςΗμερολογίου,MONTH(AugSun1+3)=8),AugSun1+3,""),IF(AND(YEAR(AugSun1+10)=ΈτοςΗμερολογίου,MONTH(AugSun1+10)=8),AugSun1+10,""))</f>
        <v>44048</v>
      </c>
      <c r="N33" s="30">
        <f>IF(DAY(AugSun1)=1,IF(AND(YEAR(AugSun1+4)=ΈτοςΗμερολογίου,MONTH(AugSun1+4)=8),AugSun1+4,""),IF(AND(YEAR(AugSun1+11)=ΈτοςΗμερολογίου,MONTH(AugSun1+11)=8),AugSun1+11,""))</f>
        <v>44049</v>
      </c>
      <c r="O33" s="30">
        <f>IF(DAY(AugSun1)=1,IF(AND(YEAR(AugSun1+5)=ΈτοςΗμερολογίου,MONTH(AugSun1+5)=8),AugSun1+5,""),IF(AND(YEAR(AugSun1+12)=ΈτοςΗμερολογίου,MONTH(AugSun1+12)=8),AugSun1+12,""))</f>
        <v>44050</v>
      </c>
      <c r="P33" s="30">
        <f>IF(DAY(AugSun1)=1,IF(AND(YEAR(AugSun1+6)=ΈτοςΗμερολογίου,MONTH(AugSun1+6)=8),AugSun1+6,""),IF(AND(YEAR(AugSun1+13)=ΈτοςΗμερολογίου,MONTH(AugSun1+13)=8),AugSun1+13,""))</f>
        <v>44051</v>
      </c>
      <c r="Q33" s="30">
        <f>IF(DAY(AugSun1)=1,IF(AND(YEAR(AugSun1+7)=ΈτοςΗμερολογίου,MONTH(AugSun1+7)=8),AugSun1+7,""),IF(AND(YEAR(AugSun1+14)=ΈτοςΗμερολογίου,MONTH(AugSun1+14)=8),AugSun1+14,""))</f>
        <v>44052</v>
      </c>
      <c r="S33" s="24"/>
      <c r="U33" s="10"/>
      <c r="V33" s="25"/>
      <c r="W33" s="25"/>
    </row>
    <row r="34" spans="1:23" ht="15" customHeight="1" x14ac:dyDescent="0.2">
      <c r="C34" s="30">
        <f>IF(DAY(JulSun1)=1,IF(AND(YEAR(JulSun1+8)=ΈτοςΗμερολογίου,MONTH(JulSun1+8)=7),JulSun1+8,""),IF(AND(YEAR(JulSun1+15)=ΈτοςΗμερολογίου,MONTH(JulSun1+15)=7),JulSun1+15,""))</f>
        <v>44025</v>
      </c>
      <c r="D34" s="30">
        <f>IF(DAY(JulSun1)=1,IF(AND(YEAR(JulSun1+9)=ΈτοςΗμερολογίου,MONTH(JulSun1+9)=7),JulSun1+9,""),IF(AND(YEAR(JulSun1+16)=ΈτοςΗμερολογίου,MONTH(JulSun1+16)=7),JulSun1+16,""))</f>
        <v>44026</v>
      </c>
      <c r="E34" s="30">
        <f>IF(DAY(JulSun1)=1,IF(AND(YEAR(JulSun1+10)=ΈτοςΗμερολογίου,MONTH(JulSun1+10)=7),JulSun1+10,""),IF(AND(YEAR(JulSun1+17)=ΈτοςΗμερολογίου,MONTH(JulSun1+17)=7),JulSun1+17,""))</f>
        <v>44027</v>
      </c>
      <c r="F34" s="30">
        <f>IF(DAY(JulSun1)=1,IF(AND(YEAR(JulSun1+11)=ΈτοςΗμερολογίου,MONTH(JulSun1+11)=7),JulSun1+11,""),IF(AND(YEAR(JulSun1+18)=ΈτοςΗμερολογίου,MONTH(JulSun1+18)=7),JulSun1+18,""))</f>
        <v>44028</v>
      </c>
      <c r="G34" s="30">
        <f>IF(DAY(JulSun1)=1,IF(AND(YEAR(JulSun1+12)=ΈτοςΗμερολογίου,MONTH(JulSun1+12)=7),JulSun1+12,""),IF(AND(YEAR(JulSun1+19)=ΈτοςΗμερολογίου,MONTH(JulSun1+19)=7),JulSun1+19,""))</f>
        <v>44029</v>
      </c>
      <c r="H34" s="30">
        <f>IF(DAY(JulSun1)=1,IF(AND(YEAR(JulSun1+13)=ΈτοςΗμερολογίου,MONTH(JulSun1+13)=7),JulSun1+13,""),IF(AND(YEAR(JulSun1+20)=ΈτοςΗμερολογίου,MONTH(JulSun1+20)=7),JulSun1+20,""))</f>
        <v>44030</v>
      </c>
      <c r="I34" s="30">
        <f>IF(DAY(JulSun1)=1,IF(AND(YEAR(JulSun1+14)=ΈτοςΗμερολογίου,MONTH(JulSun1+14)=7),JulSun1+14,""),IF(AND(YEAR(JulSun1+21)=ΈτοςΗμερολογίου,MONTH(JulSun1+21)=7),JulSun1+21,""))</f>
        <v>44031</v>
      </c>
      <c r="K34" s="30">
        <f>IF(DAY(AugSun1)=1,IF(AND(YEAR(AugSun1+8)=ΈτοςΗμερολογίου,MONTH(AugSun1+8)=8),AugSun1+8,""),IF(AND(YEAR(AugSun1+15)=ΈτοςΗμερολογίου,MONTH(AugSun1+15)=8),AugSun1+15,""))</f>
        <v>44053</v>
      </c>
      <c r="L34" s="30">
        <f>IF(DAY(AugSun1)=1,IF(AND(YEAR(AugSun1+9)=ΈτοςΗμερολογίου,MONTH(AugSun1+9)=8),AugSun1+9,""),IF(AND(YEAR(AugSun1+16)=ΈτοςΗμερολογίου,MONTH(AugSun1+16)=8),AugSun1+16,""))</f>
        <v>44054</v>
      </c>
      <c r="M34" s="30">
        <f>IF(DAY(AugSun1)=1,IF(AND(YEAR(AugSun1+10)=ΈτοςΗμερολογίου,MONTH(AugSun1+10)=8),AugSun1+10,""),IF(AND(YEAR(AugSun1+17)=ΈτοςΗμερολογίου,MONTH(AugSun1+17)=8),AugSun1+17,""))</f>
        <v>44055</v>
      </c>
      <c r="N34" s="30">
        <f>IF(DAY(AugSun1)=1,IF(AND(YEAR(AugSun1+11)=ΈτοςΗμερολογίου,MONTH(AugSun1+11)=8),AugSun1+11,""),IF(AND(YEAR(AugSun1+18)=ΈτοςΗμερολογίου,MONTH(AugSun1+18)=8),AugSun1+18,""))</f>
        <v>44056</v>
      </c>
      <c r="O34" s="30">
        <f>IF(DAY(AugSun1)=1,IF(AND(YEAR(AugSun1+12)=ΈτοςΗμερολογίου,MONTH(AugSun1+12)=8),AugSun1+12,""),IF(AND(YEAR(AugSun1+19)=ΈτοςΗμερολογίου,MONTH(AugSun1+19)=8),AugSun1+19,""))</f>
        <v>44057</v>
      </c>
      <c r="P34" s="30">
        <f>IF(DAY(AugSun1)=1,IF(AND(YEAR(AugSun1+13)=ΈτοςΗμερολογίου,MONTH(AugSun1+13)=8),AugSun1+13,""),IF(AND(YEAR(AugSun1+20)=ΈτοςΗμερολογίου,MONTH(AugSun1+20)=8),AugSun1+20,""))</f>
        <v>44058</v>
      </c>
      <c r="Q34" s="30">
        <f>IF(DAY(AugSun1)=1,IF(AND(YEAR(AugSun1+14)=ΈτοςΗμερολογίου,MONTH(AugSun1+14)=8),AugSun1+14,""),IF(AND(YEAR(AugSun1+21)=ΈτοςΗμερολογίου,MONTH(AugSun1+21)=8),AugSun1+21,""))</f>
        <v>44059</v>
      </c>
      <c r="S34" s="24"/>
      <c r="U34" s="3"/>
      <c r="V34" s="25"/>
      <c r="W34" s="25"/>
    </row>
    <row r="35" spans="1:23" ht="15" customHeight="1" x14ac:dyDescent="0.2">
      <c r="C35" s="30">
        <f>IF(DAY(JulSun1)=1,IF(AND(YEAR(JulSun1+15)=ΈτοςΗμερολογίου,MONTH(JulSun1+15)=7),JulSun1+15,""),IF(AND(YEAR(JulSun1+22)=ΈτοςΗμερολογίου,MONTH(JulSun1+22)=7),JulSun1+22,""))</f>
        <v>44032</v>
      </c>
      <c r="D35" s="30">
        <f>IF(DAY(JulSun1)=1,IF(AND(YEAR(JulSun1+16)=ΈτοςΗμερολογίου,MONTH(JulSun1+16)=7),JulSun1+16,""),IF(AND(YEAR(JulSun1+23)=ΈτοςΗμερολογίου,MONTH(JulSun1+23)=7),JulSun1+23,""))</f>
        <v>44033</v>
      </c>
      <c r="E35" s="30">
        <f>IF(DAY(JulSun1)=1,IF(AND(YEAR(JulSun1+17)=ΈτοςΗμερολογίου,MONTH(JulSun1+17)=7),JulSun1+17,""),IF(AND(YEAR(JulSun1+24)=ΈτοςΗμερολογίου,MONTH(JulSun1+24)=7),JulSun1+24,""))</f>
        <v>44034</v>
      </c>
      <c r="F35" s="30">
        <f>IF(DAY(JulSun1)=1,IF(AND(YEAR(JulSun1+18)=ΈτοςΗμερολογίου,MONTH(JulSun1+18)=7),JulSun1+18,""),IF(AND(YEAR(JulSun1+25)=ΈτοςΗμερολογίου,MONTH(JulSun1+25)=7),JulSun1+25,""))</f>
        <v>44035</v>
      </c>
      <c r="G35" s="30">
        <f>IF(DAY(JulSun1)=1,IF(AND(YEAR(JulSun1+19)=ΈτοςΗμερολογίου,MONTH(JulSun1+19)=7),JulSun1+19,""),IF(AND(YEAR(JulSun1+26)=ΈτοςΗμερολογίου,MONTH(JulSun1+26)=7),JulSun1+26,""))</f>
        <v>44036</v>
      </c>
      <c r="H35" s="30">
        <f>IF(DAY(JulSun1)=1,IF(AND(YEAR(JulSun1+20)=ΈτοςΗμερολογίου,MONTH(JulSun1+20)=7),JulSun1+20,""),IF(AND(YEAR(JulSun1+27)=ΈτοςΗμερολογίου,MONTH(JulSun1+27)=7),JulSun1+27,""))</f>
        <v>44037</v>
      </c>
      <c r="I35" s="30">
        <f>IF(DAY(JulSun1)=1,IF(AND(YEAR(JulSun1+21)=ΈτοςΗμερολογίου,MONTH(JulSun1+21)=7),JulSun1+21,""),IF(AND(YEAR(JulSun1+28)=ΈτοςΗμερολογίου,MONTH(JulSun1+28)=7),JulSun1+28,""))</f>
        <v>44038</v>
      </c>
      <c r="K35" s="30">
        <f>IF(DAY(AugSun1)=1,IF(AND(YEAR(AugSun1+15)=ΈτοςΗμερολογίου,MONTH(AugSun1+15)=8),AugSun1+15,""),IF(AND(YEAR(AugSun1+22)=ΈτοςΗμερολογίου,MONTH(AugSun1+22)=8),AugSun1+22,""))</f>
        <v>44060</v>
      </c>
      <c r="L35" s="30">
        <f>IF(DAY(AugSun1)=1,IF(AND(YEAR(AugSun1+16)=ΈτοςΗμερολογίου,MONTH(AugSun1+16)=8),AugSun1+16,""),IF(AND(YEAR(AugSun1+23)=ΈτοςΗμερολογίου,MONTH(AugSun1+23)=8),AugSun1+23,""))</f>
        <v>44061</v>
      </c>
      <c r="M35" s="30">
        <f>IF(DAY(AugSun1)=1,IF(AND(YEAR(AugSun1+17)=ΈτοςΗμερολογίου,MONTH(AugSun1+17)=8),AugSun1+17,""),IF(AND(YEAR(AugSun1+24)=ΈτοςΗμερολογίου,MONTH(AugSun1+24)=8),AugSun1+24,""))</f>
        <v>44062</v>
      </c>
      <c r="N35" s="30">
        <f>IF(DAY(AugSun1)=1,IF(AND(YEAR(AugSun1+18)=ΈτοςΗμερολογίου,MONTH(AugSun1+18)=8),AugSun1+18,""),IF(AND(YEAR(AugSun1+25)=ΈτοςΗμερολογίου,MONTH(AugSun1+25)=8),AugSun1+25,""))</f>
        <v>44063</v>
      </c>
      <c r="O35" s="30">
        <f>IF(DAY(AugSun1)=1,IF(AND(YEAR(AugSun1+19)=ΈτοςΗμερολογίου,MONTH(AugSun1+19)=8),AugSun1+19,""),IF(AND(YEAR(AugSun1+26)=ΈτοςΗμερολογίου,MONTH(AugSun1+26)=8),AugSun1+26,""))</f>
        <v>44064</v>
      </c>
      <c r="P35" s="30">
        <f>IF(DAY(AugSun1)=1,IF(AND(YEAR(AugSun1+20)=ΈτοςΗμερολογίου,MONTH(AugSun1+20)=8),AugSun1+20,""),IF(AND(YEAR(AugSun1+27)=ΈτοςΗμερολογίου,MONTH(AugSun1+27)=8),AugSun1+27,""))</f>
        <v>44065</v>
      </c>
      <c r="Q35" s="30">
        <f>IF(DAY(AugSun1)=1,IF(AND(YEAR(AugSun1+21)=ΈτοςΗμερολογίου,MONTH(AugSun1+21)=8),AugSun1+21,""),IF(AND(YEAR(AugSun1+28)=ΈτοςΗμερολογίου,MONTH(AugSun1+28)=8),AugSun1+28,""))</f>
        <v>44066</v>
      </c>
      <c r="S35" s="24"/>
      <c r="U35" s="2"/>
      <c r="V35" s="25"/>
      <c r="W35" s="25"/>
    </row>
    <row r="36" spans="1:23" ht="15" customHeight="1" x14ac:dyDescent="0.2">
      <c r="C36" s="30">
        <f>IF(DAY(JulSun1)=1,IF(AND(YEAR(JulSun1+22)=ΈτοςΗμερολογίου,MONTH(JulSun1+22)=7),JulSun1+22,""),IF(AND(YEAR(JulSun1+29)=ΈτοςΗμερολογίου,MONTH(JulSun1+29)=7),JulSun1+29,""))</f>
        <v>44039</v>
      </c>
      <c r="D36" s="30">
        <f>IF(DAY(JulSun1)=1,IF(AND(YEAR(JulSun1+23)=ΈτοςΗμερολογίου,MONTH(JulSun1+23)=7),JulSun1+23,""),IF(AND(YEAR(JulSun1+30)=ΈτοςΗμερολογίου,MONTH(JulSun1+30)=7),JulSun1+30,""))</f>
        <v>44040</v>
      </c>
      <c r="E36" s="30">
        <f>IF(DAY(JulSun1)=1,IF(AND(YEAR(JulSun1+24)=ΈτοςΗμερολογίου,MONTH(JulSun1+24)=7),JulSun1+24,""),IF(AND(YEAR(JulSun1+31)=ΈτοςΗμερολογίου,MONTH(JulSun1+31)=7),JulSun1+31,""))</f>
        <v>44041</v>
      </c>
      <c r="F36" s="30">
        <f>IF(DAY(JulSun1)=1,IF(AND(YEAR(JulSun1+25)=ΈτοςΗμερολογίου,MONTH(JulSun1+25)=7),JulSun1+25,""),IF(AND(YEAR(JulSun1+32)=ΈτοςΗμερολογίου,MONTH(JulSun1+32)=7),JulSun1+32,""))</f>
        <v>44042</v>
      </c>
      <c r="G36" s="30">
        <f>IF(DAY(JulSun1)=1,IF(AND(YEAR(JulSun1+26)=ΈτοςΗμερολογίου,MONTH(JulSun1+26)=7),JulSun1+26,""),IF(AND(YEAR(JulSun1+33)=ΈτοςΗμερολογίου,MONTH(JulSun1+33)=7),JulSun1+33,""))</f>
        <v>44043</v>
      </c>
      <c r="H36" s="30" t="str">
        <f>IF(DAY(JulSun1)=1,IF(AND(YEAR(JulSun1+27)=ΈτοςΗμερολογίου,MONTH(JulSun1+27)=7),JulSun1+27,""),IF(AND(YEAR(JulSun1+34)=ΈτοςΗμερολογίου,MONTH(JulSun1+34)=7),JulSun1+34,""))</f>
        <v/>
      </c>
      <c r="I36" s="30" t="str">
        <f>IF(DAY(JulSun1)=1,IF(AND(YEAR(JulSun1+28)=ΈτοςΗμερολογίου,MONTH(JulSun1+28)=7),JulSun1+28,""),IF(AND(YEAR(JulSun1+35)=ΈτοςΗμερολογίου,MONTH(JulSun1+35)=7),JulSun1+35,""))</f>
        <v/>
      </c>
      <c r="K36" s="30">
        <f>IF(DAY(AugSun1)=1,IF(AND(YEAR(AugSun1+22)=ΈτοςΗμερολογίου,MONTH(AugSun1+22)=8),AugSun1+22,""),IF(AND(YEAR(AugSun1+29)=ΈτοςΗμερολογίου,MONTH(AugSun1+29)=8),AugSun1+29,""))</f>
        <v>44067</v>
      </c>
      <c r="L36" s="30">
        <f>IF(DAY(AugSun1)=1,IF(AND(YEAR(AugSun1+23)=ΈτοςΗμερολογίου,MONTH(AugSun1+23)=8),AugSun1+23,""),IF(AND(YEAR(AugSun1+30)=ΈτοςΗμερολογίου,MONTH(AugSun1+30)=8),AugSun1+30,""))</f>
        <v>44068</v>
      </c>
      <c r="M36" s="30">
        <f>IF(DAY(AugSun1)=1,IF(AND(YEAR(AugSun1+24)=ΈτοςΗμερολογίου,MONTH(AugSun1+24)=8),AugSun1+24,""),IF(AND(YEAR(AugSun1+31)=ΈτοςΗμερολογίου,MONTH(AugSun1+31)=8),AugSun1+31,""))</f>
        <v>44069</v>
      </c>
      <c r="N36" s="30">
        <f>IF(DAY(AugSun1)=1,IF(AND(YEAR(AugSun1+25)=ΈτοςΗμερολογίου,MONTH(AugSun1+25)=8),AugSun1+25,""),IF(AND(YEAR(AugSun1+32)=ΈτοςΗμερολογίου,MONTH(AugSun1+32)=8),AugSun1+32,""))</f>
        <v>44070</v>
      </c>
      <c r="O36" s="30">
        <f>IF(DAY(AugSun1)=1,IF(AND(YEAR(AugSun1+26)=ΈτοςΗμερολογίου,MONTH(AugSun1+26)=8),AugSun1+26,""),IF(AND(YEAR(AugSun1+33)=ΈτοςΗμερολογίου,MONTH(AugSun1+33)=8),AugSun1+33,""))</f>
        <v>44071</v>
      </c>
      <c r="P36" s="30">
        <f>IF(DAY(AugSun1)=1,IF(AND(YEAR(AugSun1+27)=ΈτοςΗμερολογίου,MONTH(AugSun1+27)=8),AugSun1+27,""),IF(AND(YEAR(AugSun1+34)=ΈτοςΗμερολογίου,MONTH(AugSun1+34)=8),AugSun1+34,""))</f>
        <v>44072</v>
      </c>
      <c r="Q36" s="30">
        <f>IF(DAY(AugSun1)=1,IF(AND(YEAR(AugSun1+28)=ΈτοςΗμερολογίου,MONTH(AugSun1+28)=8),AugSun1+28,""),IF(AND(YEAR(AugSun1+35)=ΈτοςΗμερολογίου,MONTH(AugSun1+35)=8),AugSun1+35,""))</f>
        <v>44073</v>
      </c>
      <c r="S36" s="24"/>
      <c r="U36" s="10"/>
      <c r="V36" s="25"/>
      <c r="W36" s="25"/>
    </row>
    <row r="37" spans="1:23" ht="15" customHeight="1" x14ac:dyDescent="0.2">
      <c r="C37" s="30" t="str">
        <f>IF(DAY(JulSun1)=1,IF(AND(YEAR(JulSun1+29)=ΈτοςΗμερολογίου,MONTH(JulSun1+29)=7),JulSun1+29,""),IF(AND(YEAR(JulSun1+36)=ΈτοςΗμερολογίου,MONTH(JulSun1+36)=7),JulSun1+36,""))</f>
        <v/>
      </c>
      <c r="D37" s="30" t="str">
        <f>IF(DAY(JulSun1)=1,IF(AND(YEAR(JulSun1+30)=ΈτοςΗμερολογίου,MONTH(JulSun1+30)=7),JulSun1+30,""),IF(AND(YEAR(JulSun1+37)=ΈτοςΗμερολογίου,MONTH(JulSun1+37)=7),JulSun1+37,""))</f>
        <v/>
      </c>
      <c r="E37" s="30" t="str">
        <f>IF(DAY(JulSun1)=1,IF(AND(YEAR(JulSun1+31)=ΈτοςΗμερολογίου,MONTH(JulSun1+31)=7),JulSun1+31,""),IF(AND(YEAR(JulSun1+38)=ΈτοςΗμερολογίου,MONTH(JulSun1+38)=7),JulSun1+38,""))</f>
        <v/>
      </c>
      <c r="F37" s="30" t="str">
        <f>IF(DAY(JulSun1)=1,IF(AND(YEAR(JulSun1+32)=ΈτοςΗμερολογίου,MONTH(JulSun1+32)=7),JulSun1+32,""),IF(AND(YEAR(JulSun1+39)=ΈτοςΗμερολογίου,MONTH(JulSun1+39)=7),JulSun1+39,""))</f>
        <v/>
      </c>
      <c r="G37" s="30" t="str">
        <f>IF(DAY(JulSun1)=1,IF(AND(YEAR(JulSun1+33)=ΈτοςΗμερολογίου,MONTH(JulSun1+33)=7),JulSun1+33,""),IF(AND(YEAR(JulSun1+40)=ΈτοςΗμερολογίου,MONTH(JulSun1+40)=7),JulSun1+40,""))</f>
        <v/>
      </c>
      <c r="H37" s="30" t="str">
        <f>IF(DAY(JulSun1)=1,IF(AND(YEAR(JulSun1+34)=ΈτοςΗμερολογίου,MONTH(JulSun1+34)=7),JulSun1+34,""),IF(AND(YEAR(JulSun1+41)=ΈτοςΗμερολογίου,MONTH(JulSun1+41)=7),JulSun1+41,""))</f>
        <v/>
      </c>
      <c r="I37" s="30" t="str">
        <f>IF(DAY(JulSun1)=1,IF(AND(YEAR(JulSun1+35)=ΈτοςΗμερολογίου,MONTH(JulSun1+35)=7),JulSun1+35,""),IF(AND(YEAR(JulSun1+42)=ΈτοςΗμερολογίου,MONTH(JulSun1+42)=7),JulSun1+42,""))</f>
        <v/>
      </c>
      <c r="K37" s="30">
        <f>IF(DAY(AugSun1)=1,IF(AND(YEAR(AugSun1+29)=ΈτοςΗμερολογίου,MONTH(AugSun1+29)=8),AugSun1+29,""),IF(AND(YEAR(AugSun1+36)=ΈτοςΗμερολογίου,MONTH(AugSun1+36)=8),AugSun1+36,""))</f>
        <v>44074</v>
      </c>
      <c r="L37" s="30" t="str">
        <f>IF(DAY(AugSun1)=1,IF(AND(YEAR(AugSun1+30)=ΈτοςΗμερολογίου,MONTH(AugSun1+30)=8),AugSun1+30,""),IF(AND(YEAR(AugSun1+37)=ΈτοςΗμερολογίου,MONTH(AugSun1+37)=8),AugSun1+37,""))</f>
        <v/>
      </c>
      <c r="M37" s="30" t="str">
        <f>IF(DAY(AugSun1)=1,IF(AND(YEAR(AugSun1+31)=ΈτοςΗμερολογίου,MONTH(AugSun1+31)=8),AugSun1+31,""),IF(AND(YEAR(AugSun1+38)=ΈτοςΗμερολογίου,MONTH(AugSun1+38)=8),AugSun1+38,""))</f>
        <v/>
      </c>
      <c r="N37" s="30" t="str">
        <f>IF(DAY(AugSun1)=1,IF(AND(YEAR(AugSun1+32)=ΈτοςΗμερολογίου,MONTH(AugSun1+32)=8),AugSun1+32,""),IF(AND(YEAR(AugSun1+39)=ΈτοςΗμερολογίου,MONTH(AugSun1+39)=8),AugSun1+39,""))</f>
        <v/>
      </c>
      <c r="O37" s="30" t="str">
        <f>IF(DAY(AugSun1)=1,IF(AND(YEAR(AugSun1+33)=ΈτοςΗμερολογίου,MONTH(AugSun1+33)=8),AugSun1+33,""),IF(AND(YEAR(AugSun1+40)=ΈτοςΗμερολογίου,MONTH(AugSun1+40)=8),AugSun1+40,""))</f>
        <v/>
      </c>
      <c r="P37" s="30" t="str">
        <f>IF(DAY(AugSun1)=1,IF(AND(YEAR(AugSun1+34)=ΈτοςΗμερολογίου,MONTH(AugSun1+34)=8),AugSun1+34,""),IF(AND(YEAR(AugSun1+41)=ΈτοςΗμερολογίου,MONTH(AugSun1+41)=8),AugSun1+41,""))</f>
        <v/>
      </c>
      <c r="Q37" s="30" t="str">
        <f>IF(DAY(AugSun1)=1,IF(AND(YEAR(AugSun1+35)=ΈτοςΗμερολογίου,MONTH(AugSun1+35)=8),AugSun1+35,""),IF(AND(YEAR(AugSun1+42)=ΈτοςΗμερολογίου,MONTH(AugSun1+42)=8),AugSun1+42,""))</f>
        <v/>
      </c>
      <c r="S37" s="24"/>
      <c r="U37" s="3"/>
      <c r="V37" s="25"/>
      <c r="W37" s="25"/>
    </row>
    <row r="38" spans="1:23" ht="15" customHeight="1" x14ac:dyDescent="0.2">
      <c r="C38" s="22"/>
      <c r="D38" s="22"/>
      <c r="E38" s="22"/>
      <c r="F38" s="22"/>
      <c r="G38" s="22"/>
      <c r="H38" s="22"/>
      <c r="I38" s="22"/>
      <c r="K38" s="22"/>
      <c r="L38" s="22"/>
      <c r="M38" s="22"/>
      <c r="N38" s="22"/>
      <c r="O38" s="22"/>
      <c r="P38" s="22"/>
      <c r="Q38" s="22"/>
      <c r="S38" s="24"/>
      <c r="U38" s="2"/>
      <c r="V38" s="25"/>
      <c r="W38" s="25"/>
    </row>
    <row r="39" spans="1:23" ht="15" customHeight="1" x14ac:dyDescent="0.2">
      <c r="A39" s="18" t="s">
        <v>17</v>
      </c>
      <c r="C39" s="26" t="s">
        <v>31</v>
      </c>
      <c r="D39" s="26"/>
      <c r="E39" s="26"/>
      <c r="F39" s="26"/>
      <c r="G39" s="26"/>
      <c r="H39" s="26"/>
      <c r="I39" s="26"/>
      <c r="K39" s="26" t="s">
        <v>43</v>
      </c>
      <c r="L39" s="26"/>
      <c r="M39" s="26"/>
      <c r="N39" s="26"/>
      <c r="O39" s="26"/>
      <c r="P39" s="26"/>
      <c r="Q39" s="26"/>
      <c r="S39" s="24"/>
      <c r="U39" s="10"/>
      <c r="V39" s="25"/>
      <c r="W39" s="25"/>
    </row>
    <row r="40" spans="1:23" ht="15" customHeight="1" x14ac:dyDescent="0.2">
      <c r="A40" s="18" t="s">
        <v>18</v>
      </c>
      <c r="C40" s="11" t="s">
        <v>27</v>
      </c>
      <c r="D40" s="11" t="s">
        <v>33</v>
      </c>
      <c r="E40" s="11" t="s">
        <v>34</v>
      </c>
      <c r="F40" s="11" t="s">
        <v>35</v>
      </c>
      <c r="G40" s="11" t="s">
        <v>36</v>
      </c>
      <c r="H40" s="11" t="s">
        <v>37</v>
      </c>
      <c r="I40" s="11" t="s">
        <v>38</v>
      </c>
      <c r="K40" s="11" t="s">
        <v>27</v>
      </c>
      <c r="L40" s="11" t="s">
        <v>33</v>
      </c>
      <c r="M40" s="11" t="s">
        <v>34</v>
      </c>
      <c r="N40" s="11" t="s">
        <v>35</v>
      </c>
      <c r="O40" s="11" t="s">
        <v>36</v>
      </c>
      <c r="P40" s="11" t="s">
        <v>37</v>
      </c>
      <c r="Q40" s="11" t="s">
        <v>38</v>
      </c>
      <c r="S40" s="24"/>
      <c r="U40" s="3"/>
      <c r="V40" s="25"/>
      <c r="W40" s="25"/>
    </row>
    <row r="41" spans="1:23" ht="15" customHeight="1" x14ac:dyDescent="0.2">
      <c r="C41" s="30" t="str">
        <f>IF(DAY(SepSun1)=1,"",IF(AND(YEAR(SepSun1+1)=ΈτοςΗμερολογίου,MONTH(SepSun1+1)=9),SepSun1+1,""))</f>
        <v/>
      </c>
      <c r="D41" s="30">
        <f>IF(DAY(SepSun1)=1,"",IF(AND(YEAR(SepSun1+2)=ΈτοςΗμερολογίου,MONTH(SepSun1+2)=9),SepSun1+2,""))</f>
        <v>44075</v>
      </c>
      <c r="E41" s="30">
        <f>IF(DAY(SepSun1)=1,"",IF(AND(YEAR(SepSun1+3)=ΈτοςΗμερολογίου,MONTH(SepSun1+3)=9),SepSun1+3,""))</f>
        <v>44076</v>
      </c>
      <c r="F41" s="30">
        <f>IF(DAY(SepSun1)=1,"",IF(AND(YEAR(SepSun1+4)=ΈτοςΗμερολογίου,MONTH(SepSun1+4)=9),SepSun1+4,""))</f>
        <v>44077</v>
      </c>
      <c r="G41" s="30">
        <f>IF(DAY(SepSun1)=1,"",IF(AND(YEAR(SepSun1+5)=ΈτοςΗμερολογίου,MONTH(SepSun1+5)=9),SepSun1+5,""))</f>
        <v>44078</v>
      </c>
      <c r="H41" s="30">
        <f>IF(DAY(SepSun1)=1,"",IF(AND(YEAR(SepSun1+6)=ΈτοςΗμερολογίου,MONTH(SepSun1+6)=9),SepSun1+6,""))</f>
        <v>44079</v>
      </c>
      <c r="I41" s="30">
        <f>IF(DAY(SepSun1)=1,IF(AND(YEAR(SepSun1)=ΈτοςΗμερολογίου,MONTH(SepSun1)=9),SepSun1,""),IF(AND(YEAR(SepSun1+7)=ΈτοςΗμερολογίου,MONTH(SepSun1+7)=9),SepSun1+7,""))</f>
        <v>44080</v>
      </c>
      <c r="K41" s="30" t="str">
        <f>IF(DAY(OctSun1)=1,"",IF(AND(YEAR(OctSun1+1)=ΈτοςΗμερολογίου,MONTH(OctSun1+1)=10),OctSun1+1,""))</f>
        <v/>
      </c>
      <c r="L41" s="30" t="str">
        <f>IF(DAY(OctSun1)=1,"",IF(AND(YEAR(OctSun1+2)=ΈτοςΗμερολογίου,MONTH(OctSun1+2)=10),OctSun1+2,""))</f>
        <v/>
      </c>
      <c r="M41" s="30" t="str">
        <f>IF(DAY(OctSun1)=1,"",IF(AND(YEAR(OctSun1+3)=ΈτοςΗμερολογίου,MONTH(OctSun1+3)=10),OctSun1+3,""))</f>
        <v/>
      </c>
      <c r="N41" s="30">
        <f>IF(DAY(OctSun1)=1,"",IF(AND(YEAR(OctSun1+4)=ΈτοςΗμερολογίου,MONTH(OctSun1+4)=10),OctSun1+4,""))</f>
        <v>44105</v>
      </c>
      <c r="O41" s="30">
        <f>IF(DAY(OctSun1)=1,"",IF(AND(YEAR(OctSun1+5)=ΈτοςΗμερολογίου,MONTH(OctSun1+5)=10),OctSun1+5,""))</f>
        <v>44106</v>
      </c>
      <c r="P41" s="30">
        <f>IF(DAY(OctSun1)=1,"",IF(AND(YEAR(OctSun1+6)=ΈτοςΗμερολογίου,MONTH(OctSun1+6)=10),OctSun1+6,""))</f>
        <v>44107</v>
      </c>
      <c r="Q41" s="30">
        <f>IF(DAY(OctSun1)=1,IF(AND(YEAR(OctSun1)=ΈτοςΗμερολογίου,MONTH(OctSun1)=10),OctSun1,""),IF(AND(YEAR(OctSun1+7)=ΈτοςΗμερολογίου,MONTH(OctSun1+7)=10),OctSun1+7,""))</f>
        <v>44108</v>
      </c>
      <c r="S41" s="24"/>
      <c r="U41" s="2"/>
      <c r="V41" s="25"/>
      <c r="W41" s="25"/>
    </row>
    <row r="42" spans="1:23" ht="15" customHeight="1" x14ac:dyDescent="0.2">
      <c r="C42" s="30">
        <f>IF(DAY(SepSun1)=1,IF(AND(YEAR(SepSun1+1)=ΈτοςΗμερολογίου,MONTH(SepSun1+1)=9),SepSun1+1,""),IF(AND(YEAR(SepSun1+8)=ΈτοςΗμερολογίου,MONTH(SepSun1+8)=9),SepSun1+8,""))</f>
        <v>44081</v>
      </c>
      <c r="D42" s="30">
        <f>IF(DAY(SepSun1)=1,IF(AND(YEAR(SepSun1+2)=ΈτοςΗμερολογίου,MONTH(SepSun1+2)=9),SepSun1+2,""),IF(AND(YEAR(SepSun1+9)=ΈτοςΗμερολογίου,MONTH(SepSun1+9)=9),SepSun1+9,""))</f>
        <v>44082</v>
      </c>
      <c r="E42" s="30">
        <f>IF(DAY(SepSun1)=1,IF(AND(YEAR(SepSun1+3)=ΈτοςΗμερολογίου,MONTH(SepSun1+3)=9),SepSun1+3,""),IF(AND(YEAR(SepSun1+10)=ΈτοςΗμερολογίου,MONTH(SepSun1+10)=9),SepSun1+10,""))</f>
        <v>44083</v>
      </c>
      <c r="F42" s="30">
        <f>IF(DAY(SepSun1)=1,IF(AND(YEAR(SepSun1+4)=ΈτοςΗμερολογίου,MONTH(SepSun1+4)=9),SepSun1+4,""),IF(AND(YEAR(SepSun1+11)=ΈτοςΗμερολογίου,MONTH(SepSun1+11)=9),SepSun1+11,""))</f>
        <v>44084</v>
      </c>
      <c r="G42" s="30">
        <f>IF(DAY(SepSun1)=1,IF(AND(YEAR(SepSun1+5)=ΈτοςΗμερολογίου,MONTH(SepSun1+5)=9),SepSun1+5,""),IF(AND(YEAR(SepSun1+12)=ΈτοςΗμερολογίου,MONTH(SepSun1+12)=9),SepSun1+12,""))</f>
        <v>44085</v>
      </c>
      <c r="H42" s="30">
        <f>IF(DAY(SepSun1)=1,IF(AND(YEAR(SepSun1+6)=ΈτοςΗμερολογίου,MONTH(SepSun1+6)=9),SepSun1+6,""),IF(AND(YEAR(SepSun1+13)=ΈτοςΗμερολογίου,MONTH(SepSun1+13)=9),SepSun1+13,""))</f>
        <v>44086</v>
      </c>
      <c r="I42" s="30">
        <f>IF(DAY(SepSun1)=1,IF(AND(YEAR(SepSun1+7)=ΈτοςΗμερολογίου,MONTH(SepSun1+7)=9),SepSun1+7,""),IF(AND(YEAR(SepSun1+14)=ΈτοςΗμερολογίου,MONTH(SepSun1+14)=9),SepSun1+14,""))</f>
        <v>44087</v>
      </c>
      <c r="K42" s="30">
        <f>IF(DAY(OctSun1)=1,IF(AND(YEAR(OctSun1+1)=ΈτοςΗμερολογίου,MONTH(OctSun1+1)=10),OctSun1+1,""),IF(AND(YEAR(OctSun1+8)=ΈτοςΗμερολογίου,MONTH(OctSun1+8)=10),OctSun1+8,""))</f>
        <v>44109</v>
      </c>
      <c r="L42" s="30">
        <f>IF(DAY(OctSun1)=1,IF(AND(YEAR(OctSun1+2)=ΈτοςΗμερολογίου,MONTH(OctSun1+2)=10),OctSun1+2,""),IF(AND(YEAR(OctSun1+9)=ΈτοςΗμερολογίου,MONTH(OctSun1+9)=10),OctSun1+9,""))</f>
        <v>44110</v>
      </c>
      <c r="M42" s="30">
        <f>IF(DAY(OctSun1)=1,IF(AND(YEAR(OctSun1+3)=ΈτοςΗμερολογίου,MONTH(OctSun1+3)=10),OctSun1+3,""),IF(AND(YEAR(OctSun1+10)=ΈτοςΗμερολογίου,MONTH(OctSun1+10)=10),OctSun1+10,""))</f>
        <v>44111</v>
      </c>
      <c r="N42" s="30">
        <f>IF(DAY(OctSun1)=1,IF(AND(YEAR(OctSun1+4)=ΈτοςΗμερολογίου,MONTH(OctSun1+4)=10),OctSun1+4,""),IF(AND(YEAR(OctSun1+11)=ΈτοςΗμερολογίου,MONTH(OctSun1+11)=10),OctSun1+11,""))</f>
        <v>44112</v>
      </c>
      <c r="O42" s="30">
        <f>IF(DAY(OctSun1)=1,IF(AND(YEAR(OctSun1+5)=ΈτοςΗμερολογίου,MONTH(OctSun1+5)=10),OctSun1+5,""),IF(AND(YEAR(OctSun1+12)=ΈτοςΗμερολογίου,MONTH(OctSun1+12)=10),OctSun1+12,""))</f>
        <v>44113</v>
      </c>
      <c r="P42" s="30">
        <f>IF(DAY(OctSun1)=1,IF(AND(YEAR(OctSun1+6)=ΈτοςΗμερολογίου,MONTH(OctSun1+6)=10),OctSun1+6,""),IF(AND(YEAR(OctSun1+13)=ΈτοςΗμερολογίου,MONTH(OctSun1+13)=10),OctSun1+13,""))</f>
        <v>44114</v>
      </c>
      <c r="Q42" s="30">
        <f>IF(DAY(OctSun1)=1,IF(AND(YEAR(OctSun1+7)=ΈτοςΗμερολογίου,MONTH(OctSun1+7)=10),OctSun1+7,""),IF(AND(YEAR(OctSun1+14)=ΈτοςΗμερολογίου,MONTH(OctSun1+14)=10),OctSun1+14,""))</f>
        <v>44115</v>
      </c>
      <c r="S42" s="24"/>
      <c r="U42" s="10"/>
      <c r="V42" s="25"/>
      <c r="W42" s="25"/>
    </row>
    <row r="43" spans="1:23" ht="15" customHeight="1" x14ac:dyDescent="0.2">
      <c r="C43" s="30">
        <f>IF(DAY(SepSun1)=1,IF(AND(YEAR(SepSun1+8)=ΈτοςΗμερολογίου,MONTH(SepSun1+8)=9),SepSun1+8,""),IF(AND(YEAR(SepSun1+15)=ΈτοςΗμερολογίου,MONTH(SepSun1+15)=9),SepSun1+15,""))</f>
        <v>44088</v>
      </c>
      <c r="D43" s="30">
        <f>IF(DAY(SepSun1)=1,IF(AND(YEAR(SepSun1+9)=ΈτοςΗμερολογίου,MONTH(SepSun1+9)=9),SepSun1+9,""),IF(AND(YEAR(SepSun1+16)=ΈτοςΗμερολογίου,MONTH(SepSun1+16)=9),SepSun1+16,""))</f>
        <v>44089</v>
      </c>
      <c r="E43" s="30">
        <f>IF(DAY(SepSun1)=1,IF(AND(YEAR(SepSun1+10)=ΈτοςΗμερολογίου,MONTH(SepSun1+10)=9),SepSun1+10,""),IF(AND(YEAR(SepSun1+17)=ΈτοςΗμερολογίου,MONTH(SepSun1+17)=9),SepSun1+17,""))</f>
        <v>44090</v>
      </c>
      <c r="F43" s="30">
        <f>IF(DAY(SepSun1)=1,IF(AND(YEAR(SepSun1+11)=ΈτοςΗμερολογίου,MONTH(SepSun1+11)=9),SepSun1+11,""),IF(AND(YEAR(SepSun1+18)=ΈτοςΗμερολογίου,MONTH(SepSun1+18)=9),SepSun1+18,""))</f>
        <v>44091</v>
      </c>
      <c r="G43" s="30">
        <f>IF(DAY(SepSun1)=1,IF(AND(YEAR(SepSun1+12)=ΈτοςΗμερολογίου,MONTH(SepSun1+12)=9),SepSun1+12,""),IF(AND(YEAR(SepSun1+19)=ΈτοςΗμερολογίου,MONTH(SepSun1+19)=9),SepSun1+19,""))</f>
        <v>44092</v>
      </c>
      <c r="H43" s="30">
        <f>IF(DAY(SepSun1)=1,IF(AND(YEAR(SepSun1+13)=ΈτοςΗμερολογίου,MONTH(SepSun1+13)=9),SepSun1+13,""),IF(AND(YEAR(SepSun1+20)=ΈτοςΗμερολογίου,MONTH(SepSun1+20)=9),SepSun1+20,""))</f>
        <v>44093</v>
      </c>
      <c r="I43" s="30">
        <f>IF(DAY(SepSun1)=1,IF(AND(YEAR(SepSun1+14)=ΈτοςΗμερολογίου,MONTH(SepSun1+14)=9),SepSun1+14,""),IF(AND(YEAR(SepSun1+21)=ΈτοςΗμερολογίου,MONTH(SepSun1+21)=9),SepSun1+21,""))</f>
        <v>44094</v>
      </c>
      <c r="K43" s="30">
        <f>IF(DAY(OctSun1)=1,IF(AND(YEAR(OctSun1+8)=ΈτοςΗμερολογίου,MONTH(OctSun1+8)=10),OctSun1+8,""),IF(AND(YEAR(OctSun1+15)=ΈτοςΗμερολογίου,MONTH(OctSun1+15)=10),OctSun1+15,""))</f>
        <v>44116</v>
      </c>
      <c r="L43" s="30">
        <f>IF(DAY(OctSun1)=1,IF(AND(YEAR(OctSun1+9)=ΈτοςΗμερολογίου,MONTH(OctSun1+9)=10),OctSun1+9,""),IF(AND(YEAR(OctSun1+16)=ΈτοςΗμερολογίου,MONTH(OctSun1+16)=10),OctSun1+16,""))</f>
        <v>44117</v>
      </c>
      <c r="M43" s="30">
        <f>IF(DAY(OctSun1)=1,IF(AND(YEAR(OctSun1+10)=ΈτοςΗμερολογίου,MONTH(OctSun1+10)=10),OctSun1+10,""),IF(AND(YEAR(OctSun1+17)=ΈτοςΗμερολογίου,MONTH(OctSun1+17)=10),OctSun1+17,""))</f>
        <v>44118</v>
      </c>
      <c r="N43" s="30">
        <f>IF(DAY(OctSun1)=1,IF(AND(YEAR(OctSun1+11)=ΈτοςΗμερολογίου,MONTH(OctSun1+11)=10),OctSun1+11,""),IF(AND(YEAR(OctSun1+18)=ΈτοςΗμερολογίου,MONTH(OctSun1+18)=10),OctSun1+18,""))</f>
        <v>44119</v>
      </c>
      <c r="O43" s="30">
        <f>IF(DAY(OctSun1)=1,IF(AND(YEAR(OctSun1+12)=ΈτοςΗμερολογίου,MONTH(OctSun1+12)=10),OctSun1+12,""),IF(AND(YEAR(OctSun1+19)=ΈτοςΗμερολογίου,MONTH(OctSun1+19)=10),OctSun1+19,""))</f>
        <v>44120</v>
      </c>
      <c r="P43" s="30">
        <f>IF(DAY(OctSun1)=1,IF(AND(YEAR(OctSun1+13)=ΈτοςΗμερολογίου,MONTH(OctSun1+13)=10),OctSun1+13,""),IF(AND(YEAR(OctSun1+20)=ΈτοςΗμερολογίου,MONTH(OctSun1+20)=10),OctSun1+20,""))</f>
        <v>44121</v>
      </c>
      <c r="Q43" s="30">
        <f>IF(DAY(OctSun1)=1,IF(AND(YEAR(OctSun1+14)=ΈτοςΗμερολογίου,MONTH(OctSun1+14)=10),OctSun1+14,""),IF(AND(YEAR(OctSun1+21)=ΈτοςΗμερολογίου,MONTH(OctSun1+21)=10),OctSun1+21,""))</f>
        <v>44122</v>
      </c>
      <c r="S43" s="24"/>
      <c r="U43" s="3"/>
      <c r="V43" s="25"/>
      <c r="W43" s="25"/>
    </row>
    <row r="44" spans="1:23" ht="15" customHeight="1" x14ac:dyDescent="0.2">
      <c r="A44" s="18" t="s">
        <v>19</v>
      </c>
      <c r="C44" s="30">
        <f>IF(DAY(SepSun1)=1,IF(AND(YEAR(SepSun1+15)=ΈτοςΗμερολογίου,MONTH(SepSun1+15)=9),SepSun1+15,""),IF(AND(YEAR(SepSun1+22)=ΈτοςΗμερολογίου,MONTH(SepSun1+22)=9),SepSun1+22,""))</f>
        <v>44095</v>
      </c>
      <c r="D44" s="30">
        <f>IF(DAY(SepSun1)=1,IF(AND(YEAR(SepSun1+16)=ΈτοςΗμερολογίου,MONTH(SepSun1+16)=9),SepSun1+16,""),IF(AND(YEAR(SepSun1+23)=ΈτοςΗμερολογίου,MONTH(SepSun1+23)=9),SepSun1+23,""))</f>
        <v>44096</v>
      </c>
      <c r="E44" s="30">
        <f>IF(DAY(SepSun1)=1,IF(AND(YEAR(SepSun1+17)=ΈτοςΗμερολογίου,MONTH(SepSun1+17)=9),SepSun1+17,""),IF(AND(YEAR(SepSun1+24)=ΈτοςΗμερολογίου,MONTH(SepSun1+24)=9),SepSun1+24,""))</f>
        <v>44097</v>
      </c>
      <c r="F44" s="30">
        <f>IF(DAY(SepSun1)=1,IF(AND(YEAR(SepSun1+18)=ΈτοςΗμερολογίου,MONTH(SepSun1+18)=9),SepSun1+18,""),IF(AND(YEAR(SepSun1+25)=ΈτοςΗμερολογίου,MONTH(SepSun1+25)=9),SepSun1+25,""))</f>
        <v>44098</v>
      </c>
      <c r="G44" s="30">
        <f>IF(DAY(SepSun1)=1,IF(AND(YEAR(SepSun1+19)=ΈτοςΗμερολογίου,MONTH(SepSun1+19)=9),SepSun1+19,""),IF(AND(YEAR(SepSun1+26)=ΈτοςΗμερολογίου,MONTH(SepSun1+26)=9),SepSun1+26,""))</f>
        <v>44099</v>
      </c>
      <c r="H44" s="30">
        <f>IF(DAY(SepSun1)=1,IF(AND(YEAR(SepSun1+20)=ΈτοςΗμερολογίου,MONTH(SepSun1+20)=9),SepSun1+20,""),IF(AND(YEAR(SepSun1+27)=ΈτοςΗμερολογίου,MONTH(SepSun1+27)=9),SepSun1+27,""))</f>
        <v>44100</v>
      </c>
      <c r="I44" s="30">
        <f>IF(DAY(SepSun1)=1,IF(AND(YEAR(SepSun1+21)=ΈτοςΗμερολογίου,MONTH(SepSun1+21)=9),SepSun1+21,""),IF(AND(YEAR(SepSun1+28)=ΈτοςΗμερολογίου,MONTH(SepSun1+28)=9),SepSun1+28,""))</f>
        <v>44101</v>
      </c>
      <c r="K44" s="30">
        <f>IF(DAY(OctSun1)=1,IF(AND(YEAR(OctSun1+15)=ΈτοςΗμερολογίου,MONTH(OctSun1+15)=10),OctSun1+15,""),IF(AND(YEAR(OctSun1+22)=ΈτοςΗμερολογίου,MONTH(OctSun1+22)=10),OctSun1+22,""))</f>
        <v>44123</v>
      </c>
      <c r="L44" s="30">
        <f>IF(DAY(OctSun1)=1,IF(AND(YEAR(OctSun1+16)=ΈτοςΗμερολογίου,MONTH(OctSun1+16)=10),OctSun1+16,""),IF(AND(YEAR(OctSun1+23)=ΈτοςΗμερολογίου,MONTH(OctSun1+23)=10),OctSun1+23,""))</f>
        <v>44124</v>
      </c>
      <c r="M44" s="30">
        <f>IF(DAY(OctSun1)=1,IF(AND(YEAR(OctSun1+17)=ΈτοςΗμερολογίου,MONTH(OctSun1+17)=10),OctSun1+17,""),IF(AND(YEAR(OctSun1+24)=ΈτοςΗμερολογίου,MONTH(OctSun1+24)=10),OctSun1+24,""))</f>
        <v>44125</v>
      </c>
      <c r="N44" s="30">
        <f>IF(DAY(OctSun1)=1,IF(AND(YEAR(OctSun1+18)=ΈτοςΗμερολογίου,MONTH(OctSun1+18)=10),OctSun1+18,""),IF(AND(YEAR(OctSun1+25)=ΈτοςΗμερολογίου,MONTH(OctSun1+25)=10),OctSun1+25,""))</f>
        <v>44126</v>
      </c>
      <c r="O44" s="30">
        <f>IF(DAY(OctSun1)=1,IF(AND(YEAR(OctSun1+19)=ΈτοςΗμερολογίου,MONTH(OctSun1+19)=10),OctSun1+19,""),IF(AND(YEAR(OctSun1+26)=ΈτοςΗμερολογίου,MONTH(OctSun1+26)=10),OctSun1+26,""))</f>
        <v>44127</v>
      </c>
      <c r="P44" s="30">
        <f>IF(DAY(OctSun1)=1,IF(AND(YEAR(OctSun1+20)=ΈτοςΗμερολογίου,MONTH(OctSun1+20)=10),OctSun1+20,""),IF(AND(YEAR(OctSun1+27)=ΈτοςΗμερολογίου,MONTH(OctSun1+27)=10),OctSun1+27,""))</f>
        <v>44128</v>
      </c>
      <c r="Q44" s="30">
        <f>IF(DAY(OctSun1)=1,IF(AND(YEAR(OctSun1+21)=ΈτοςΗμερολογίου,MONTH(OctSun1+21)=10),OctSun1+21,""),IF(AND(YEAR(OctSun1+28)=ΈτοςΗμερολογίου,MONTH(OctSun1+28)=10),OctSun1+28,""))</f>
        <v>44129</v>
      </c>
      <c r="S44" s="24"/>
      <c r="U44" s="8" t="s">
        <v>52</v>
      </c>
      <c r="V44" s="25"/>
      <c r="W44" s="25"/>
    </row>
    <row r="45" spans="1:23" ht="15" customHeight="1" x14ac:dyDescent="0.2">
      <c r="A45" s="18" t="s">
        <v>20</v>
      </c>
      <c r="C45" s="30">
        <f>IF(DAY(SepSun1)=1,IF(AND(YEAR(SepSun1+22)=ΈτοςΗμερολογίου,MONTH(SepSun1+22)=9),SepSun1+22,""),IF(AND(YEAR(SepSun1+29)=ΈτοςΗμερολογίου,MONTH(SepSun1+29)=9),SepSun1+29,""))</f>
        <v>44102</v>
      </c>
      <c r="D45" s="30">
        <f>IF(DAY(SepSun1)=1,IF(AND(YEAR(SepSun1+23)=ΈτοςΗμερολογίου,MONTH(SepSun1+23)=9),SepSun1+23,""),IF(AND(YEAR(SepSun1+30)=ΈτοςΗμερολογίου,MONTH(SepSun1+30)=9),SepSun1+30,""))</f>
        <v>44103</v>
      </c>
      <c r="E45" s="30">
        <f>IF(DAY(SepSun1)=1,IF(AND(YEAR(SepSun1+24)=ΈτοςΗμερολογίου,MONTH(SepSun1+24)=9),SepSun1+24,""),IF(AND(YEAR(SepSun1+31)=ΈτοςΗμερολογίου,MONTH(SepSun1+31)=9),SepSun1+31,""))</f>
        <v>44104</v>
      </c>
      <c r="F45" s="30" t="str">
        <f>IF(DAY(SepSun1)=1,IF(AND(YEAR(SepSun1+25)=ΈτοςΗμερολογίου,MONTH(SepSun1+25)=9),SepSun1+25,""),IF(AND(YEAR(SepSun1+32)=ΈτοςΗμερολογίου,MONTH(SepSun1+32)=9),SepSun1+32,""))</f>
        <v/>
      </c>
      <c r="G45" s="30" t="str">
        <f>IF(DAY(SepSun1)=1,IF(AND(YEAR(SepSun1+26)=ΈτοςΗμερολογίου,MONTH(SepSun1+26)=9),SepSun1+26,""),IF(AND(YEAR(SepSun1+33)=ΈτοςΗμερολογίου,MONTH(SepSun1+33)=9),SepSun1+33,""))</f>
        <v/>
      </c>
      <c r="H45" s="30" t="str">
        <f>IF(DAY(SepSun1)=1,IF(AND(YEAR(SepSun1+27)=ΈτοςΗμερολογίου,MONTH(SepSun1+27)=9),SepSun1+27,""),IF(AND(YEAR(SepSun1+34)=ΈτοςΗμερολογίου,MONTH(SepSun1+34)=9),SepSun1+34,""))</f>
        <v/>
      </c>
      <c r="I45" s="30" t="str">
        <f>IF(DAY(SepSun1)=1,IF(AND(YEAR(SepSun1+28)=ΈτοςΗμερολογίου,MONTH(SepSun1+28)=9),SepSun1+28,""),IF(AND(YEAR(SepSun1+35)=ΈτοςΗμερολογίου,MONTH(SepSun1+35)=9),SepSun1+35,""))</f>
        <v/>
      </c>
      <c r="K45" s="30">
        <f>IF(DAY(OctSun1)=1,IF(AND(YEAR(OctSun1+22)=ΈτοςΗμερολογίου,MONTH(OctSun1+22)=10),OctSun1+22,""),IF(AND(YEAR(OctSun1+29)=ΈτοςΗμερολογίου,MONTH(OctSun1+29)=10),OctSun1+29,""))</f>
        <v>44130</v>
      </c>
      <c r="L45" s="30">
        <f>IF(DAY(OctSun1)=1,IF(AND(YEAR(OctSun1+23)=ΈτοςΗμερολογίου,MONTH(OctSun1+23)=10),OctSun1+23,""),IF(AND(YEAR(OctSun1+30)=ΈτοςΗμερολογίου,MONTH(OctSun1+30)=10),OctSun1+30,""))</f>
        <v>44131</v>
      </c>
      <c r="M45" s="30">
        <f>IF(DAY(OctSun1)=1,IF(AND(YEAR(OctSun1+24)=ΈτοςΗμερολογίου,MONTH(OctSun1+24)=10),OctSun1+24,""),IF(AND(YEAR(OctSun1+31)=ΈτοςΗμερολογίου,MONTH(OctSun1+31)=10),OctSun1+31,""))</f>
        <v>44132</v>
      </c>
      <c r="N45" s="30">
        <f>IF(DAY(OctSun1)=1,IF(AND(YEAR(OctSun1+25)=ΈτοςΗμερολογίου,MONTH(OctSun1+25)=10),OctSun1+25,""),IF(AND(YEAR(OctSun1+32)=ΈτοςΗμερολογίου,MONTH(OctSun1+32)=10),OctSun1+32,""))</f>
        <v>44133</v>
      </c>
      <c r="O45" s="30">
        <f>IF(DAY(OctSun1)=1,IF(AND(YEAR(OctSun1+26)=ΈτοςΗμερολογίου,MONTH(OctSun1+26)=10),OctSun1+26,""),IF(AND(YEAR(OctSun1+33)=ΈτοςΗμερολογίου,MONTH(OctSun1+33)=10),OctSun1+33,""))</f>
        <v>44134</v>
      </c>
      <c r="P45" s="30">
        <f>IF(DAY(OctSun1)=1,IF(AND(YEAR(OctSun1+27)=ΈτοςΗμερολογίου,MONTH(OctSun1+27)=10),OctSun1+27,""),IF(AND(YEAR(OctSun1+34)=ΈτοςΗμερολογίου,MONTH(OctSun1+34)=10),OctSun1+34,""))</f>
        <v>44135</v>
      </c>
      <c r="Q45" s="30" t="str">
        <f>IF(DAY(OctSun1)=1,IF(AND(YEAR(OctSun1+28)=ΈτοςΗμερολογίου,MONTH(OctSun1+28)=10),OctSun1+28,""),IF(AND(YEAR(OctSun1+35)=ΈτοςΗμερολογίου,MONTH(OctSun1+35)=10),OctSun1+35,""))</f>
        <v/>
      </c>
      <c r="S45" s="24"/>
      <c r="U45" s="9" t="s">
        <v>53</v>
      </c>
      <c r="V45" s="25"/>
      <c r="W45" s="25"/>
    </row>
    <row r="46" spans="1:23" ht="15" customHeight="1" x14ac:dyDescent="0.2">
      <c r="A46" s="18"/>
      <c r="C46" s="30" t="str">
        <f>IF(DAY(SepSun1)=1,IF(AND(YEAR(SepSun1+29)=ΈτοςΗμερολογίου,MONTH(SepSun1+29)=9),SepSun1+29,""),IF(AND(YEAR(SepSun1+36)=ΈτοςΗμερολογίου,MONTH(SepSun1+36)=9),SepSun1+36,""))</f>
        <v/>
      </c>
      <c r="D46" s="30" t="str">
        <f>IF(DAY(SepSun1)=1,IF(AND(YEAR(SepSun1+30)=ΈτοςΗμερολογίου,MONTH(SepSun1+30)=9),SepSun1+30,""),IF(AND(YEAR(SepSun1+37)=ΈτοςΗμερολογίου,MONTH(SepSun1+37)=9),SepSun1+37,""))</f>
        <v/>
      </c>
      <c r="E46" s="30" t="str">
        <f>IF(DAY(SepSun1)=1,IF(AND(YEAR(SepSun1+31)=ΈτοςΗμερολογίου,MONTH(SepSun1+31)=9),SepSun1+31,""),IF(AND(YEAR(SepSun1+38)=ΈτοςΗμερολογίου,MONTH(SepSun1+38)=9),SepSun1+38,""))</f>
        <v/>
      </c>
      <c r="F46" s="30" t="str">
        <f>IF(DAY(SepSun1)=1,IF(AND(YEAR(SepSun1+32)=ΈτοςΗμερολογίου,MONTH(SepSun1+32)=9),SepSun1+32,""),IF(AND(YEAR(SepSun1+39)=ΈτοςΗμερολογίου,MONTH(SepSun1+39)=9),SepSun1+39,""))</f>
        <v/>
      </c>
      <c r="G46" s="30" t="str">
        <f>IF(DAY(SepSun1)=1,IF(AND(YEAR(SepSun1+33)=ΈτοςΗμερολογίου,MONTH(SepSun1+33)=9),SepSun1+33,""),IF(AND(YEAR(SepSun1+40)=ΈτοςΗμερολογίου,MONTH(SepSun1+40)=9),SepSun1+40,""))</f>
        <v/>
      </c>
      <c r="H46" s="30" t="str">
        <f>IF(DAY(SepSun1)=1,IF(AND(YEAR(SepSun1+34)=ΈτοςΗμερολογίου,MONTH(SepSun1+34)=9),SepSun1+34,""),IF(AND(YEAR(SepSun1+41)=ΈτοςΗμερολογίου,MONTH(SepSun1+41)=9),SepSun1+41,""))</f>
        <v/>
      </c>
      <c r="I46" s="30" t="str">
        <f>IF(DAY(SepSun1)=1,IF(AND(YEAR(SepSun1+35)=ΈτοςΗμερολογίου,MONTH(SepSun1+35)=9),SepSun1+35,""),IF(AND(YEAR(SepSun1+42)=ΈτοςΗμερολογίου,MONTH(SepSun1+42)=9),SepSun1+42,""))</f>
        <v/>
      </c>
      <c r="K46" s="30" t="str">
        <f>IF(DAY(OctSun1)=1,IF(AND(YEAR(OctSun1+29)=ΈτοςΗμερολογίου,MONTH(OctSun1+29)=10),OctSun1+29,""),IF(AND(YEAR(OctSun1+36)=ΈτοςΗμερολογίου,MONTH(OctSun1+36)=10),OctSun1+36,""))</f>
        <v/>
      </c>
      <c r="L46" s="30" t="str">
        <f>IF(DAY(OctSun1)=1,IF(AND(YEAR(OctSun1+30)=ΈτοςΗμερολογίου,MONTH(OctSun1+30)=10),OctSun1+30,""),IF(AND(YEAR(OctSun1+37)=ΈτοςΗμερολογίου,MONTH(OctSun1+37)=10),OctSun1+37,""))</f>
        <v/>
      </c>
      <c r="M46" s="30" t="str">
        <f>IF(DAY(OctSun1)=1,IF(AND(YEAR(OctSun1+31)=ΈτοςΗμερολογίου,MONTH(OctSun1+31)=10),OctSun1+31,""),IF(AND(YEAR(OctSun1+38)=ΈτοςΗμερολογίου,MONTH(OctSun1+38)=10),OctSun1+38,""))</f>
        <v/>
      </c>
      <c r="N46" s="30" t="str">
        <f>IF(DAY(OctSun1)=1,IF(AND(YEAR(OctSun1+32)=ΈτοςΗμερολογίου,MONTH(OctSun1+32)=10),OctSun1+32,""),IF(AND(YEAR(OctSun1+39)=ΈτοςΗμερολογίου,MONTH(OctSun1+39)=10),OctSun1+39,""))</f>
        <v/>
      </c>
      <c r="O46" s="30" t="str">
        <f>IF(DAY(OctSun1)=1,IF(AND(YEAR(OctSun1+33)=ΈτοςΗμερολογίου,MONTH(OctSun1+33)=10),OctSun1+33,""),IF(AND(YEAR(OctSun1+40)=ΈτοςΗμερολογίου,MONTH(OctSun1+40)=10),OctSun1+40,""))</f>
        <v/>
      </c>
      <c r="P46" s="30" t="str">
        <f>IF(DAY(OctSun1)=1,IF(AND(YEAR(OctSun1+34)=ΈτοςΗμερολογίου,MONTH(OctSun1+34)=10),OctSun1+34,""),IF(AND(YEAR(OctSun1+41)=ΈτοςΗμερολογίου,MONTH(OctSun1+41)=10),OctSun1+41,""))</f>
        <v/>
      </c>
      <c r="Q46" s="30" t="str">
        <f>IF(DAY(OctSun1)=1,IF(AND(YEAR(OctSun1+35)=ΈτοςΗμερολογίου,MONTH(OctSun1+35)=10),OctSun1+35,""),IF(AND(YEAR(OctSun1+42)=ΈτοςΗμερολογίου,MONTH(OctSun1+42)=10),OctSun1+42,""))</f>
        <v/>
      </c>
      <c r="S46" s="24"/>
      <c r="U46" s="9"/>
      <c r="V46" s="25"/>
      <c r="W46" s="25"/>
    </row>
    <row r="47" spans="1:23" ht="15" customHeight="1" x14ac:dyDescent="0.2">
      <c r="A47" s="18" t="s">
        <v>21</v>
      </c>
      <c r="S47" s="24"/>
      <c r="U47" s="9" t="s">
        <v>54</v>
      </c>
      <c r="V47" s="25"/>
      <c r="W47" s="25"/>
    </row>
    <row r="48" spans="1:23" ht="15" customHeight="1" x14ac:dyDescent="0.2">
      <c r="A48" s="18" t="s">
        <v>22</v>
      </c>
      <c r="C48" s="26" t="s">
        <v>32</v>
      </c>
      <c r="D48" s="26"/>
      <c r="E48" s="26"/>
      <c r="F48" s="26"/>
      <c r="G48" s="26"/>
      <c r="H48" s="26"/>
      <c r="I48" s="26"/>
      <c r="K48" s="26" t="s">
        <v>44</v>
      </c>
      <c r="L48" s="26"/>
      <c r="M48" s="26"/>
      <c r="N48" s="26"/>
      <c r="O48" s="26"/>
      <c r="P48" s="26"/>
      <c r="Q48" s="26"/>
      <c r="S48" s="24"/>
      <c r="U48" s="9" t="s">
        <v>55</v>
      </c>
      <c r="V48" s="25"/>
      <c r="W48" s="25"/>
    </row>
    <row r="49" spans="1:21" ht="15" customHeight="1" x14ac:dyDescent="0.2">
      <c r="A49" s="18" t="s">
        <v>23</v>
      </c>
      <c r="C49" s="11" t="s">
        <v>27</v>
      </c>
      <c r="D49" s="11" t="s">
        <v>33</v>
      </c>
      <c r="E49" s="11" t="s">
        <v>34</v>
      </c>
      <c r="F49" s="11" t="s">
        <v>35</v>
      </c>
      <c r="G49" s="11" t="s">
        <v>36</v>
      </c>
      <c r="H49" s="11" t="s">
        <v>37</v>
      </c>
      <c r="I49" s="11" t="s">
        <v>38</v>
      </c>
      <c r="J49" s="23"/>
      <c r="K49" s="11" t="s">
        <v>27</v>
      </c>
      <c r="L49" s="11" t="s">
        <v>33</v>
      </c>
      <c r="M49" s="11" t="s">
        <v>34</v>
      </c>
      <c r="N49" s="11" t="s">
        <v>35</v>
      </c>
      <c r="O49" s="11" t="s">
        <v>36</v>
      </c>
      <c r="P49" s="11" t="s">
        <v>37</v>
      </c>
      <c r="Q49" s="11" t="s">
        <v>38</v>
      </c>
      <c r="S49" s="24"/>
      <c r="U49" s="9" t="s">
        <v>56</v>
      </c>
    </row>
    <row r="50" spans="1:21" ht="15" customHeight="1" x14ac:dyDescent="0.2">
      <c r="A50" s="18"/>
      <c r="C50" s="30" t="str">
        <f>IF(DAY(NovSun1)=1,"",IF(AND(YEAR(NovSun1+1)=ΈτοςΗμερολογίου,MONTH(NovSun1+1)=11),NovSun1+1,""))</f>
        <v/>
      </c>
      <c r="D50" s="30" t="str">
        <f>IF(DAY(NovSun1)=1,"",IF(AND(YEAR(NovSun1+2)=ΈτοςΗμερολογίου,MONTH(NovSun1+2)=11),NovSun1+2,""))</f>
        <v/>
      </c>
      <c r="E50" s="30" t="str">
        <f>IF(DAY(NovSun1)=1,"",IF(AND(YEAR(NovSun1+3)=ΈτοςΗμερολογίου,MONTH(NovSun1+3)=11),NovSun1+3,""))</f>
        <v/>
      </c>
      <c r="F50" s="30" t="str">
        <f>IF(DAY(NovSun1)=1,"",IF(AND(YEAR(NovSun1+4)=ΈτοςΗμερολογίου,MONTH(NovSun1+4)=11),NovSun1+4,""))</f>
        <v/>
      </c>
      <c r="G50" s="30" t="str">
        <f>IF(DAY(NovSun1)=1,"",IF(AND(YEAR(NovSun1+5)=ΈτοςΗμερολογίου,MONTH(NovSun1+5)=11),NovSun1+5,""))</f>
        <v/>
      </c>
      <c r="H50" s="30" t="str">
        <f>IF(DAY(NovSun1)=1,"",IF(AND(YEAR(NovSun1+6)=ΈτοςΗμερολογίου,MONTH(NovSun1+6)=11),NovSun1+6,""))</f>
        <v/>
      </c>
      <c r="I50" s="30">
        <f>IF(DAY(NovSun1)=1,IF(AND(YEAR(NovSun1)=ΈτοςΗμερολογίου,MONTH(NovSun1)=11),NovSun1,""),IF(AND(YEAR(NovSun1+7)=ΈτοςΗμερολογίου,MONTH(NovSun1+7)=11),NovSun1+7,""))</f>
        <v>44136</v>
      </c>
      <c r="K50" s="30" t="str">
        <f>IF(DAY(DecSun1)=1,"",IF(AND(YEAR(DecSun1+1)=ΈτοςΗμερολογίου,MONTH(DecSun1+1)=12),DecSun1+1,""))</f>
        <v/>
      </c>
      <c r="L50" s="30">
        <f>IF(DAY(DecSun1)=1,"",IF(AND(YEAR(DecSun1+2)=ΈτοςΗμερολογίου,MONTH(DecSun1+2)=12),DecSun1+2,""))</f>
        <v>44166</v>
      </c>
      <c r="M50" s="30">
        <f>IF(DAY(DecSun1)=1,"",IF(AND(YEAR(DecSun1+3)=ΈτοςΗμερολογίου,MONTH(DecSun1+3)=12),DecSun1+3,""))</f>
        <v>44167</v>
      </c>
      <c r="N50" s="30">
        <f>IF(DAY(DecSun1)=1,"",IF(AND(YEAR(DecSun1+4)=ΈτοςΗμερολογίου,MONTH(DecSun1+4)=12),DecSun1+4,""))</f>
        <v>44168</v>
      </c>
      <c r="O50" s="30">
        <f>IF(DAY(DecSun1)=1,"",IF(AND(YEAR(DecSun1+5)=ΈτοςΗμερολογίου,MONTH(DecSun1+5)=12),DecSun1+5,""))</f>
        <v>44169</v>
      </c>
      <c r="P50" s="30">
        <f>IF(DAY(DecSun1)=1,"",IF(AND(YEAR(DecSun1+6)=ΈτοςΗμερολογίου,MONTH(DecSun1+6)=12),DecSun1+6,""))</f>
        <v>44170</v>
      </c>
      <c r="Q50" s="30">
        <f>IF(DAY(DecSun1)=1,IF(AND(YEAR(DecSun1)=ΈτοςΗμερολογίου,MONTH(DecSun1)=12),DecSun1,""),IF(AND(YEAR(DecSun1+7)=ΈτοςΗμερολογίου,MONTH(DecSun1+7)=12),DecSun1+7,""))</f>
        <v>44171</v>
      </c>
      <c r="S50" s="24"/>
      <c r="U50" s="1"/>
    </row>
    <row r="51" spans="1:21" ht="15" customHeight="1" x14ac:dyDescent="0.2">
      <c r="A51" s="18" t="s">
        <v>24</v>
      </c>
      <c r="C51" s="30">
        <f>IF(DAY(NovSun1)=1,IF(AND(YEAR(NovSun1+1)=ΈτοςΗμερολογίου,MONTH(NovSun1+1)=11),NovSun1+1,""),IF(AND(YEAR(NovSun1+8)=ΈτοςΗμερολογίου,MONTH(NovSun1+8)=11),NovSun1+8,""))</f>
        <v>44137</v>
      </c>
      <c r="D51" s="30">
        <f>IF(DAY(NovSun1)=1,IF(AND(YEAR(NovSun1+2)=ΈτοςΗμερολογίου,MONTH(NovSun1+2)=11),NovSun1+2,""),IF(AND(YEAR(NovSun1+9)=ΈτοςΗμερολογίου,MONTH(NovSun1+9)=11),NovSun1+9,""))</f>
        <v>44138</v>
      </c>
      <c r="E51" s="30">
        <f>IF(DAY(NovSun1)=1,IF(AND(YEAR(NovSun1+3)=ΈτοςΗμερολογίου,MONTH(NovSun1+3)=11),NovSun1+3,""),IF(AND(YEAR(NovSun1+10)=ΈτοςΗμερολογίου,MONTH(NovSun1+10)=11),NovSun1+10,""))</f>
        <v>44139</v>
      </c>
      <c r="F51" s="30">
        <f>IF(DAY(NovSun1)=1,IF(AND(YEAR(NovSun1+4)=ΈτοςΗμερολογίου,MONTH(NovSun1+4)=11),NovSun1+4,""),IF(AND(YEAR(NovSun1+11)=ΈτοςΗμερολογίου,MONTH(NovSun1+11)=11),NovSun1+11,""))</f>
        <v>44140</v>
      </c>
      <c r="G51" s="30">
        <f>IF(DAY(NovSun1)=1,IF(AND(YEAR(NovSun1+5)=ΈτοςΗμερολογίου,MONTH(NovSun1+5)=11),NovSun1+5,""),IF(AND(YEAR(NovSun1+12)=ΈτοςΗμερολογίου,MONTH(NovSun1+12)=11),NovSun1+12,""))</f>
        <v>44141</v>
      </c>
      <c r="H51" s="30">
        <f>IF(DAY(NovSun1)=1,IF(AND(YEAR(NovSun1+6)=ΈτοςΗμερολογίου,MONTH(NovSun1+6)=11),NovSun1+6,""),IF(AND(YEAR(NovSun1+13)=ΈτοςΗμερολογίου,MONTH(NovSun1+13)=11),NovSun1+13,""))</f>
        <v>44142</v>
      </c>
      <c r="I51" s="30">
        <f>IF(DAY(NovSun1)=1,IF(AND(YEAR(NovSun1+7)=ΈτοςΗμερολογίου,MONTH(NovSun1+7)=11),NovSun1+7,""),IF(AND(YEAR(NovSun1+14)=ΈτοςΗμερολογίου,MONTH(NovSun1+14)=11),NovSun1+14,""))</f>
        <v>44143</v>
      </c>
      <c r="K51" s="30">
        <f>IF(DAY(DecSun1)=1,IF(AND(YEAR(DecSun1+1)=ΈτοςΗμερολογίου,MONTH(DecSun1+1)=12),DecSun1+1,""),IF(AND(YEAR(DecSun1+8)=ΈτοςΗμερολογίου,MONTH(DecSun1+8)=12),DecSun1+8,""))</f>
        <v>44172</v>
      </c>
      <c r="L51" s="30">
        <f>IF(DAY(DecSun1)=1,IF(AND(YEAR(DecSun1+2)=ΈτοςΗμερολογίου,MONTH(DecSun1+2)=12),DecSun1+2,""),IF(AND(YEAR(DecSun1+9)=ΈτοςΗμερολογίου,MONTH(DecSun1+9)=12),DecSun1+9,""))</f>
        <v>44173</v>
      </c>
      <c r="M51" s="30">
        <f>IF(DAY(DecSun1)=1,IF(AND(YEAR(DecSun1+3)=ΈτοςΗμερολογίου,MONTH(DecSun1+3)=12),DecSun1+3,""),IF(AND(YEAR(DecSun1+10)=ΈτοςΗμερολογίου,MONTH(DecSun1+10)=12),DecSun1+10,""))</f>
        <v>44174</v>
      </c>
      <c r="N51" s="30">
        <f>IF(DAY(DecSun1)=1,IF(AND(YEAR(DecSun1+4)=ΈτοςΗμερολογίου,MONTH(DecSun1+4)=12),DecSun1+4,""),IF(AND(YEAR(DecSun1+11)=ΈτοςΗμερολογίου,MONTH(DecSun1+11)=12),DecSun1+11,""))</f>
        <v>44175</v>
      </c>
      <c r="O51" s="30">
        <f>IF(DAY(DecSun1)=1,IF(AND(YEAR(DecSun1+5)=ΈτοςΗμερολογίου,MONTH(DecSun1+5)=12),DecSun1+5,""),IF(AND(YEAR(DecSun1+12)=ΈτοςΗμερολογίου,MONTH(DecSun1+12)=12),DecSun1+12,""))</f>
        <v>44176</v>
      </c>
      <c r="P51" s="30">
        <f>IF(DAY(DecSun1)=1,IF(AND(YEAR(DecSun1+6)=ΈτοςΗμερολογίου,MONTH(DecSun1+6)=12),DecSun1+6,""),IF(AND(YEAR(DecSun1+13)=ΈτοςΗμερολογίου,MONTH(DecSun1+13)=12),DecSun1+13,""))</f>
        <v>44177</v>
      </c>
      <c r="Q51" s="30">
        <f>IF(DAY(DecSun1)=1,IF(AND(YEAR(DecSun1+7)=ΈτοςΗμερολογίου,MONTH(DecSun1+7)=12),DecSun1+7,""),IF(AND(YEAR(DecSun1+14)=ΈτοςΗμερολογίου,MONTH(DecSun1+14)=12),DecSun1+14,""))</f>
        <v>44178</v>
      </c>
      <c r="S51" s="24"/>
      <c r="U51" s="28" t="s">
        <v>57</v>
      </c>
    </row>
    <row r="52" spans="1:21" ht="15" customHeight="1" x14ac:dyDescent="0.2">
      <c r="C52" s="30">
        <f>IF(DAY(NovSun1)=1,IF(AND(YEAR(NovSun1+8)=ΈτοςΗμερολογίου,MONTH(NovSun1+8)=11),NovSun1+8,""),IF(AND(YEAR(NovSun1+15)=ΈτοςΗμερολογίου,MONTH(NovSun1+15)=11),NovSun1+15,""))</f>
        <v>44144</v>
      </c>
      <c r="D52" s="30">
        <f>IF(DAY(NovSun1)=1,IF(AND(YEAR(NovSun1+9)=ΈτοςΗμερολογίου,MONTH(NovSun1+9)=11),NovSun1+9,""),IF(AND(YEAR(NovSun1+16)=ΈτοςΗμερολογίου,MONTH(NovSun1+16)=11),NovSun1+16,""))</f>
        <v>44145</v>
      </c>
      <c r="E52" s="30">
        <f>IF(DAY(NovSun1)=1,IF(AND(YEAR(NovSun1+10)=ΈτοςΗμερολογίου,MONTH(NovSun1+10)=11),NovSun1+10,""),IF(AND(YEAR(NovSun1+17)=ΈτοςΗμερολογίου,MONTH(NovSun1+17)=11),NovSun1+17,""))</f>
        <v>44146</v>
      </c>
      <c r="F52" s="30">
        <f>IF(DAY(NovSun1)=1,IF(AND(YEAR(NovSun1+11)=ΈτοςΗμερολογίου,MONTH(NovSun1+11)=11),NovSun1+11,""),IF(AND(YEAR(NovSun1+18)=ΈτοςΗμερολογίου,MONTH(NovSun1+18)=11),NovSun1+18,""))</f>
        <v>44147</v>
      </c>
      <c r="G52" s="30">
        <f>IF(DAY(NovSun1)=1,IF(AND(YEAR(NovSun1+12)=ΈτοςΗμερολογίου,MONTH(NovSun1+12)=11),NovSun1+12,""),IF(AND(YEAR(NovSun1+19)=ΈτοςΗμερολογίου,MONTH(NovSun1+19)=11),NovSun1+19,""))</f>
        <v>44148</v>
      </c>
      <c r="H52" s="30">
        <f>IF(DAY(NovSun1)=1,IF(AND(YEAR(NovSun1+13)=ΈτοςΗμερολογίου,MONTH(NovSun1+13)=11),NovSun1+13,""),IF(AND(YEAR(NovSun1+20)=ΈτοςΗμερολογίου,MONTH(NovSun1+20)=11),NovSun1+20,""))</f>
        <v>44149</v>
      </c>
      <c r="I52" s="30">
        <f>IF(DAY(NovSun1)=1,IF(AND(YEAR(NovSun1+14)=ΈτοςΗμερολογίου,MONTH(NovSun1+14)=11),NovSun1+14,""),IF(AND(YEAR(NovSun1+21)=ΈτοςΗμερολογίου,MONTH(NovSun1+21)=11),NovSun1+21,""))</f>
        <v>44150</v>
      </c>
      <c r="K52" s="30">
        <f>IF(DAY(DecSun1)=1,IF(AND(YEAR(DecSun1+8)=ΈτοςΗμερολογίου,MONTH(DecSun1+8)=12),DecSun1+8,""),IF(AND(YEAR(DecSun1+15)=ΈτοςΗμερολογίου,MONTH(DecSun1+15)=12),DecSun1+15,""))</f>
        <v>44179</v>
      </c>
      <c r="L52" s="30">
        <f>IF(DAY(DecSun1)=1,IF(AND(YEAR(DecSun1+9)=ΈτοςΗμερολογίου,MONTH(DecSun1+9)=12),DecSun1+9,""),IF(AND(YEAR(DecSun1+16)=ΈτοςΗμερολογίου,MONTH(DecSun1+16)=12),DecSun1+16,""))</f>
        <v>44180</v>
      </c>
      <c r="M52" s="30">
        <f>IF(DAY(DecSun1)=1,IF(AND(YEAR(DecSun1+10)=ΈτοςΗμερολογίου,MONTH(DecSun1+10)=12),DecSun1+10,""),IF(AND(YEAR(DecSun1+17)=ΈτοςΗμερολογίου,MONTH(DecSun1+17)=12),DecSun1+17,""))</f>
        <v>44181</v>
      </c>
      <c r="N52" s="30">
        <f>IF(DAY(DecSun1)=1,IF(AND(YEAR(DecSun1+11)=ΈτοςΗμερολογίου,MONTH(DecSun1+11)=12),DecSun1+11,""),IF(AND(YEAR(DecSun1+18)=ΈτοςΗμερολογίου,MONTH(DecSun1+18)=12),DecSun1+18,""))</f>
        <v>44182</v>
      </c>
      <c r="O52" s="30">
        <f>IF(DAY(DecSun1)=1,IF(AND(YEAR(DecSun1+12)=ΈτοςΗμερολογίου,MONTH(DecSun1+12)=12),DecSun1+12,""),IF(AND(YEAR(DecSun1+19)=ΈτοςΗμερολογίου,MONTH(DecSun1+19)=12),DecSun1+19,""))</f>
        <v>44183</v>
      </c>
      <c r="P52" s="30">
        <f>IF(DAY(DecSun1)=1,IF(AND(YEAR(DecSun1+13)=ΈτοςΗμερολογίου,MONTH(DecSun1+13)=12),DecSun1+13,""),IF(AND(YEAR(DecSun1+20)=ΈτοςΗμερολογίου,MONTH(DecSun1+20)=12),DecSun1+20,""))</f>
        <v>44184</v>
      </c>
      <c r="Q52" s="30">
        <f>IF(DAY(DecSun1)=1,IF(AND(YEAR(DecSun1+14)=ΈτοςΗμερολογίου,MONTH(DecSun1+14)=12),DecSun1+14,""),IF(AND(YEAR(DecSun1+21)=ΈτοςΗμερολογίου,MONTH(DecSun1+21)=12),DecSun1+21,""))</f>
        <v>44185</v>
      </c>
      <c r="S52" s="24"/>
      <c r="U52" s="28"/>
    </row>
    <row r="53" spans="1:21" ht="15" customHeight="1" x14ac:dyDescent="0.2">
      <c r="C53" s="30">
        <f>IF(DAY(NovSun1)=1,IF(AND(YEAR(NovSun1+15)=ΈτοςΗμερολογίου,MONTH(NovSun1+15)=11),NovSun1+15,""),IF(AND(YEAR(NovSun1+22)=ΈτοςΗμερολογίου,MONTH(NovSun1+22)=11),NovSun1+22,""))</f>
        <v>44151</v>
      </c>
      <c r="D53" s="30">
        <f>IF(DAY(NovSun1)=1,IF(AND(YEAR(NovSun1+16)=ΈτοςΗμερολογίου,MONTH(NovSun1+16)=11),NovSun1+16,""),IF(AND(YEAR(NovSun1+23)=ΈτοςΗμερολογίου,MONTH(NovSun1+23)=11),NovSun1+23,""))</f>
        <v>44152</v>
      </c>
      <c r="E53" s="30">
        <f>IF(DAY(NovSun1)=1,IF(AND(YEAR(NovSun1+17)=ΈτοςΗμερολογίου,MONTH(NovSun1+17)=11),NovSun1+17,""),IF(AND(YEAR(NovSun1+24)=ΈτοςΗμερολογίου,MONTH(NovSun1+24)=11),NovSun1+24,""))</f>
        <v>44153</v>
      </c>
      <c r="F53" s="30">
        <f>IF(DAY(NovSun1)=1,IF(AND(YEAR(NovSun1+18)=ΈτοςΗμερολογίου,MONTH(NovSun1+18)=11),NovSun1+18,""),IF(AND(YEAR(NovSun1+25)=ΈτοςΗμερολογίου,MONTH(NovSun1+25)=11),NovSun1+25,""))</f>
        <v>44154</v>
      </c>
      <c r="G53" s="30">
        <f>IF(DAY(NovSun1)=1,IF(AND(YEAR(NovSun1+19)=ΈτοςΗμερολογίου,MONTH(NovSun1+19)=11),NovSun1+19,""),IF(AND(YEAR(NovSun1+26)=ΈτοςΗμερολογίου,MONTH(NovSun1+26)=11),NovSun1+26,""))</f>
        <v>44155</v>
      </c>
      <c r="H53" s="30">
        <f>IF(DAY(NovSun1)=1,IF(AND(YEAR(NovSun1+20)=ΈτοςΗμερολογίου,MONTH(NovSun1+20)=11),NovSun1+20,""),IF(AND(YEAR(NovSun1+27)=ΈτοςΗμερολογίου,MONTH(NovSun1+27)=11),NovSun1+27,""))</f>
        <v>44156</v>
      </c>
      <c r="I53" s="30">
        <f>IF(DAY(NovSun1)=1,IF(AND(YEAR(NovSun1+21)=ΈτοςΗμερολογίου,MONTH(NovSun1+21)=11),NovSun1+21,""),IF(AND(YEAR(NovSun1+28)=ΈτοςΗμερολογίου,MONTH(NovSun1+28)=11),NovSun1+28,""))</f>
        <v>44157</v>
      </c>
      <c r="K53" s="30">
        <f>IF(DAY(DecSun1)=1,IF(AND(YEAR(DecSun1+15)=ΈτοςΗμερολογίου,MONTH(DecSun1+15)=12),DecSun1+15,""),IF(AND(YEAR(DecSun1+22)=ΈτοςΗμερολογίου,MONTH(DecSun1+22)=12),DecSun1+22,""))</f>
        <v>44186</v>
      </c>
      <c r="L53" s="30">
        <f>IF(DAY(DecSun1)=1,IF(AND(YEAR(DecSun1+16)=ΈτοςΗμερολογίου,MONTH(DecSun1+16)=12),DecSun1+16,""),IF(AND(YEAR(DecSun1+23)=ΈτοςΗμερολογίου,MONTH(DecSun1+23)=12),DecSun1+23,""))</f>
        <v>44187</v>
      </c>
      <c r="M53" s="30">
        <f>IF(DAY(DecSun1)=1,IF(AND(YEAR(DecSun1+17)=ΈτοςΗμερολογίου,MONTH(DecSun1+17)=12),DecSun1+17,""),IF(AND(YEAR(DecSun1+24)=ΈτοςΗμερολογίου,MONTH(DecSun1+24)=12),DecSun1+24,""))</f>
        <v>44188</v>
      </c>
      <c r="N53" s="30">
        <f>IF(DAY(DecSun1)=1,IF(AND(YEAR(DecSun1+18)=ΈτοςΗμερολογίου,MONTH(DecSun1+18)=12),DecSun1+18,""),IF(AND(YEAR(DecSun1+25)=ΈτοςΗμερολογίου,MONTH(DecSun1+25)=12),DecSun1+25,""))</f>
        <v>44189</v>
      </c>
      <c r="O53" s="30">
        <f>IF(DAY(DecSun1)=1,IF(AND(YEAR(DecSun1+19)=ΈτοςΗμερολογίου,MONTH(DecSun1+19)=12),DecSun1+19,""),IF(AND(YEAR(DecSun1+26)=ΈτοςΗμερολογίου,MONTH(DecSun1+26)=12),DecSun1+26,""))</f>
        <v>44190</v>
      </c>
      <c r="P53" s="30">
        <f>IF(DAY(DecSun1)=1,IF(AND(YEAR(DecSun1+20)=ΈτοςΗμερολογίου,MONTH(DecSun1+20)=12),DecSun1+20,""),IF(AND(YEAR(DecSun1+27)=ΈτοςΗμερολογίου,MONTH(DecSun1+27)=12),DecSun1+27,""))</f>
        <v>44191</v>
      </c>
      <c r="Q53" s="30">
        <f>IF(DAY(DecSun1)=1,IF(AND(YEAR(DecSun1+21)=ΈτοςΗμερολογίου,MONTH(DecSun1+21)=12),DecSun1+21,""),IF(AND(YEAR(DecSun1+28)=ΈτοςΗμερολογίου,MONTH(DecSun1+28)=12),DecSun1+28,""))</f>
        <v>44192</v>
      </c>
      <c r="S53" s="24"/>
      <c r="U53" s="28"/>
    </row>
    <row r="54" spans="1:21" ht="15" customHeight="1" x14ac:dyDescent="0.2">
      <c r="C54" s="30">
        <f>IF(DAY(NovSun1)=1,IF(AND(YEAR(NovSun1+22)=ΈτοςΗμερολογίου,MONTH(NovSun1+22)=11),NovSun1+22,""),IF(AND(YEAR(NovSun1+29)=ΈτοςΗμερολογίου,MONTH(NovSun1+29)=11),NovSun1+29,""))</f>
        <v>44158</v>
      </c>
      <c r="D54" s="30">
        <f>IF(DAY(NovSun1)=1,IF(AND(YEAR(NovSun1+23)=ΈτοςΗμερολογίου,MONTH(NovSun1+23)=11),NovSun1+23,""),IF(AND(YEAR(NovSun1+30)=ΈτοςΗμερολογίου,MONTH(NovSun1+30)=11),NovSun1+30,""))</f>
        <v>44159</v>
      </c>
      <c r="E54" s="30">
        <f>IF(DAY(NovSun1)=1,IF(AND(YEAR(NovSun1+24)=ΈτοςΗμερολογίου,MONTH(NovSun1+24)=11),NovSun1+24,""),IF(AND(YEAR(NovSun1+31)=ΈτοςΗμερολογίου,MONTH(NovSun1+31)=11),NovSun1+31,""))</f>
        <v>44160</v>
      </c>
      <c r="F54" s="30">
        <f>IF(DAY(NovSun1)=1,IF(AND(YEAR(NovSun1+25)=ΈτοςΗμερολογίου,MONTH(NovSun1+25)=11),NovSun1+25,""),IF(AND(YEAR(NovSun1+32)=ΈτοςΗμερολογίου,MONTH(NovSun1+32)=11),NovSun1+32,""))</f>
        <v>44161</v>
      </c>
      <c r="G54" s="30">
        <f>IF(DAY(NovSun1)=1,IF(AND(YEAR(NovSun1+26)=ΈτοςΗμερολογίου,MONTH(NovSun1+26)=11),NovSun1+26,""),IF(AND(YEAR(NovSun1+33)=ΈτοςΗμερολογίου,MONTH(NovSun1+33)=11),NovSun1+33,""))</f>
        <v>44162</v>
      </c>
      <c r="H54" s="30">
        <f>IF(DAY(NovSun1)=1,IF(AND(YEAR(NovSun1+27)=ΈτοςΗμερολογίου,MONTH(NovSun1+27)=11),NovSun1+27,""),IF(AND(YEAR(NovSun1+34)=ΈτοςΗμερολογίου,MONTH(NovSun1+34)=11),NovSun1+34,""))</f>
        <v>44163</v>
      </c>
      <c r="I54" s="30">
        <f>IF(DAY(NovSun1)=1,IF(AND(YEAR(NovSun1+28)=ΈτοςΗμερολογίου,MONTH(NovSun1+28)=11),NovSun1+28,""),IF(AND(YEAR(NovSun1+35)=ΈτοςΗμερολογίου,MONTH(NovSun1+35)=11),NovSun1+35,""))</f>
        <v>44164</v>
      </c>
      <c r="K54" s="30">
        <f>IF(DAY(DecSun1)=1,IF(AND(YEAR(DecSun1+22)=ΈτοςΗμερολογίου,MONTH(DecSun1+22)=12),DecSun1+22,""),IF(AND(YEAR(DecSun1+29)=ΈτοςΗμερολογίου,MONTH(DecSun1+29)=12),DecSun1+29,""))</f>
        <v>44193</v>
      </c>
      <c r="L54" s="30">
        <f>IF(DAY(DecSun1)=1,IF(AND(YEAR(DecSun1+23)=ΈτοςΗμερολογίου,MONTH(DecSun1+23)=12),DecSun1+23,""),IF(AND(YEAR(DecSun1+30)=ΈτοςΗμερολογίου,MONTH(DecSun1+30)=12),DecSun1+30,""))</f>
        <v>44194</v>
      </c>
      <c r="M54" s="30">
        <f>IF(DAY(DecSun1)=1,IF(AND(YEAR(DecSun1+24)=ΈτοςΗμερολογίου,MONTH(DecSun1+24)=12),DecSun1+24,""),IF(AND(YEAR(DecSun1+31)=ΈτοςΗμερολογίου,MONTH(DecSun1+31)=12),DecSun1+31,""))</f>
        <v>44195</v>
      </c>
      <c r="N54" s="30">
        <f>IF(DAY(DecSun1)=1,IF(AND(YEAR(DecSun1+25)=ΈτοςΗμερολογίου,MONTH(DecSun1+25)=12),DecSun1+25,""),IF(AND(YEAR(DecSun1+32)=ΈτοςΗμερολογίου,MONTH(DecSun1+32)=12),DecSun1+32,""))</f>
        <v>44196</v>
      </c>
      <c r="O54" s="30" t="str">
        <f>IF(DAY(DecSun1)=1,IF(AND(YEAR(DecSun1+26)=ΈτοςΗμερολογίου,MONTH(DecSun1+26)=12),DecSun1+26,""),IF(AND(YEAR(DecSun1+33)=ΈτοςΗμερολογίου,MONTH(DecSun1+33)=12),DecSun1+33,""))</f>
        <v/>
      </c>
      <c r="P54" s="30" t="str">
        <f>IF(DAY(DecSun1)=1,IF(AND(YEAR(DecSun1+27)=ΈτοςΗμερολογίου,MONTH(DecSun1+27)=12),DecSun1+27,""),IF(AND(YEAR(DecSun1+34)=ΈτοςΗμερολογίου,MONTH(DecSun1+34)=12),DecSun1+34,""))</f>
        <v/>
      </c>
      <c r="Q54" s="30" t="str">
        <f>IF(DAY(DecSun1)=1,IF(AND(YEAR(DecSun1+28)=ΈτοςΗμερολογίου,MONTH(DecSun1+28)=12),DecSun1+28,""),IF(AND(YEAR(DecSun1+35)=ΈτοςΗμερολογίου,MONTH(DecSun1+35)=12),DecSun1+35,""))</f>
        <v/>
      </c>
      <c r="S54" s="24"/>
      <c r="U54" s="28"/>
    </row>
    <row r="55" spans="1:21" ht="15" customHeight="1" x14ac:dyDescent="0.2">
      <c r="C55" s="30">
        <f>IF(DAY(NovSun1)=1,IF(AND(YEAR(NovSun1+29)=ΈτοςΗμερολογίου,MONTH(NovSun1+29)=11),NovSun1+29,""),IF(AND(YEAR(NovSun1+36)=ΈτοςΗμερολογίου,MONTH(NovSun1+36)=11),NovSun1+36,""))</f>
        <v>44165</v>
      </c>
      <c r="D55" s="30" t="str">
        <f>IF(DAY(NovSun1)=1,IF(AND(YEAR(NovSun1+30)=ΈτοςΗμερολογίου,MONTH(NovSun1+30)=11),NovSun1+30,""),IF(AND(YEAR(NovSun1+37)=ΈτοςΗμερολογίου,MONTH(NovSun1+37)=11),NovSun1+37,""))</f>
        <v/>
      </c>
      <c r="E55" s="30" t="str">
        <f>IF(DAY(NovSun1)=1,IF(AND(YEAR(NovSun1+31)=ΈτοςΗμερολογίου,MONTH(NovSun1+31)=11),NovSun1+31,""),IF(AND(YEAR(NovSun1+38)=ΈτοςΗμερολογίου,MONTH(NovSun1+38)=11),NovSun1+38,""))</f>
        <v/>
      </c>
      <c r="F55" s="30" t="str">
        <f>IF(DAY(NovSun1)=1,IF(AND(YEAR(NovSun1+32)=ΈτοςΗμερολογίου,MONTH(NovSun1+32)=11),NovSun1+32,""),IF(AND(YEAR(NovSun1+39)=ΈτοςΗμερολογίου,MONTH(NovSun1+39)=11),NovSun1+39,""))</f>
        <v/>
      </c>
      <c r="G55" s="30" t="str">
        <f>IF(DAY(NovSun1)=1,IF(AND(YEAR(NovSun1+33)=ΈτοςΗμερολογίου,MONTH(NovSun1+33)=11),NovSun1+33,""),IF(AND(YEAR(NovSun1+40)=ΈτοςΗμερολογίου,MONTH(NovSun1+40)=11),NovSun1+40,""))</f>
        <v/>
      </c>
      <c r="H55" s="30" t="str">
        <f>IF(DAY(NovSun1)=1,IF(AND(YEAR(NovSun1+34)=ΈτοςΗμερολογίου,MONTH(NovSun1+34)=11),NovSun1+34,""),IF(AND(YEAR(NovSun1+41)=ΈτοςΗμερολογίου,MONTH(NovSun1+41)=11),NovSun1+41,""))</f>
        <v/>
      </c>
      <c r="I55" s="30" t="str">
        <f>IF(DAY(NovSun1)=1,IF(AND(YEAR(NovSun1+35)=ΈτοςΗμερολογίου,MONTH(NovSun1+35)=11),NovSun1+35,""),IF(AND(YEAR(NovSun1+42)=ΈτοςΗμερολογίου,MONTH(NovSun1+42)=11),NovSun1+42,""))</f>
        <v/>
      </c>
      <c r="K55" s="30" t="str">
        <f>IF(DAY(DecSun1)=1,IF(AND(YEAR(DecSun1+29)=ΈτοςΗμερολογίου,MONTH(DecSun1+29)=12),DecSun1+29,""),IF(AND(YEAR(DecSun1+36)=ΈτοςΗμερολογίου,MONTH(DecSun1+36)=12),DecSun1+36,""))</f>
        <v/>
      </c>
      <c r="L55" s="30" t="str">
        <f>IF(DAY(DecSun1)=1,IF(AND(YEAR(DecSun1+30)=ΈτοςΗμερολογίου,MONTH(DecSun1+30)=12),DecSun1+30,""),IF(AND(YEAR(DecSun1+37)=ΈτοςΗμερολογίου,MONTH(DecSun1+37)=12),DecSun1+37,""))</f>
        <v/>
      </c>
      <c r="M55" s="30" t="str">
        <f>IF(DAY(DecSun1)=1,IF(AND(YEAR(DecSun1+31)=ΈτοςΗμερολογίου,MONTH(DecSun1+31)=12),DecSun1+31,""),IF(AND(YEAR(DecSun1+38)=ΈτοςΗμερολογίου,MONTH(DecSun1+38)=12),DecSun1+38,""))</f>
        <v/>
      </c>
      <c r="N55" s="30" t="str">
        <f>IF(DAY(DecSun1)=1,IF(AND(YEAR(DecSun1+32)=ΈτοςΗμερολογίου,MONTH(DecSun1+32)=12),DecSun1+32,""),IF(AND(YEAR(DecSun1+39)=ΈτοςΗμερολογίου,MONTH(DecSun1+39)=12),DecSun1+39,""))</f>
        <v/>
      </c>
      <c r="O55" s="30" t="str">
        <f>IF(DAY(DecSun1)=1,IF(AND(YEAR(DecSun1+33)=ΈτοςΗμερολογίου,MONTH(DecSun1+33)=12),DecSun1+33,""),IF(AND(YEAR(DecSun1+40)=ΈτοςΗμερολογίου,MONTH(DecSun1+40)=12),DecSun1+40,""))</f>
        <v/>
      </c>
      <c r="P55" s="30" t="str">
        <f>IF(DAY(DecSun1)=1,IF(AND(YEAR(DecSun1+34)=ΈτοςΗμερολογίου,MONTH(DecSun1+34)=12),DecSun1+34,""),IF(AND(YEAR(DecSun1+41)=ΈτοςΗμερολογίου,MONTH(DecSun1+41)=12),DecSun1+41,""))</f>
        <v/>
      </c>
      <c r="Q55" s="30" t="str">
        <f>IF(DAY(DecSun1)=1,IF(AND(YEAR(DecSun1+35)=ΈτοςΗμερολογίου,MONTH(DecSun1+35)=12),DecSun1+35,""),IF(AND(YEAR(DecSun1+42)=ΈτοςΗμερολογίου,MONTH(DecSun1+42)=12),DecSun1+42,""))</f>
        <v/>
      </c>
      <c r="S55" s="24"/>
      <c r="U55" s="28"/>
    </row>
    <row r="56" spans="1:21" ht="15" customHeight="1" x14ac:dyDescent="0.2"/>
    <row r="57" spans="1:21" ht="15" customHeight="1" x14ac:dyDescent="0.2"/>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C3:I3"/>
    <mergeCell ref="K3:Q3"/>
    <mergeCell ref="U51:U55"/>
    <mergeCell ref="C39:I39"/>
    <mergeCell ref="K39:Q39"/>
    <mergeCell ref="C48:I48"/>
    <mergeCell ref="K48:Q48"/>
    <mergeCell ref="B2:P2"/>
    <mergeCell ref="V3:W48"/>
    <mergeCell ref="C12:I12"/>
    <mergeCell ref="K12:Q12"/>
    <mergeCell ref="C21:I21"/>
    <mergeCell ref="K21:Q21"/>
    <mergeCell ref="C30:I30"/>
    <mergeCell ref="K30:Q30"/>
  </mergeCells>
  <phoneticPr fontId="6" type="noConversion"/>
  <dataValidations count="1">
    <dataValidation allowBlank="1" showInputMessage="1" showErrorMessage="1" errorTitle="Μη έγκυρο έτος" error="Πληκτρολογήστε ένα έτος από το 1900 έως το 9999 ή χρησιμοποιήστε τη γραμμή κύλισης για να βρείτε ένα έτος." sqref="C1:F1" xr:uid="{00000000-0002-0000-0100-000000000000}"/>
  </dataValidations>
  <printOptions horizontalCentered="1" verticalCentered="1"/>
  <pageMargins left="0.5" right="0.5" top="0.5" bottom="0.5" header="0.3" footer="0.3"/>
  <pageSetup paperSize="9" scale="83"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Κουμπί αυξομείωσης">
              <controlPr defaultSize="0" print="0" autoPict="0" altText="Χρησιμοποιήστε το κουμπί αυξομείωσης για να αλλάξετε το έτος του ημερολογίου ή εισαγάγετε το έτος στο κελί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2.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Φύλλα εργασίας</vt:lpstr>
      </vt:variant>
      <vt:variant>
        <vt:i4>2</vt:i4>
      </vt:variant>
      <vt:variant>
        <vt:lpstr>Καθορισμένες περιοχές</vt:lpstr>
      </vt:variant>
      <vt:variant>
        <vt:i4>2</vt:i4>
      </vt:variant>
    </vt:vector>
  </HeadingPairs>
  <TitlesOfParts>
    <vt:vector size="4" baseType="lpstr">
      <vt:lpstr>Έναρξη</vt:lpstr>
      <vt:lpstr>Ετήσιο ημερολόγιο</vt:lpstr>
      <vt:lpstr>'Ετήσιο ημερολόγιο'!Print_Area</vt:lpstr>
      <vt:lpstr>ΈτοςΗμερολογίου</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2020-02-14T09:05:25Z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