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7"/>
  <workbookPr filterPrivacy="1" autoCompressPictures="0"/>
  <xr:revisionPtr revIDLastSave="0" documentId="13_ncr:1_{8C527C6A-6826-49EC-99A4-3AC0C10A46B0}" xr6:coauthVersionLast="45" xr6:coauthVersionMax="45" xr10:uidLastSave="{00000000-0000-0000-0000-000000000000}"/>
  <bookViews>
    <workbookView xWindow="-120" yWindow="-120" windowWidth="28890" windowHeight="16110" xr2:uid="{00000000-000D-0000-FFFF-FFFF00000000}"/>
  </bookViews>
  <sheets>
    <sheet name="Начало" sheetId="2" r:id="rId1"/>
    <sheet name="Годишен Календар" sheetId="1" r:id="rId2"/>
  </sheets>
  <definedNames>
    <definedName name="АвгНед1">DATE(КалендарнаГодина,8,1)-WEEKDAY(DATE(КалендарнаГодина,8,1))+1</definedName>
    <definedName name="АпрНед1">DATE(КалендарнаГодина,4,1)-WEEKDAY(DATE(КалендарнаГодина,4,1))+1</definedName>
    <definedName name="ДекНед1">DATE(КалендарнаГодина,12,1)-WEEKDAY(DATE(КалендарнаГодина,12,1))+1</definedName>
    <definedName name="КалендарнаГодина">'Годишен Календар'!$C$1</definedName>
    <definedName name="МайНед1">DATE(КалендарнаГодина,5,1)-WEEKDAY(DATE(КалендарнаГодина,5,1))+1</definedName>
    <definedName name="МарНед1">DATE(КалендарнаГодина,3,1)-WEEKDAY(DATE(КалендарнаГодина,3,1))+1</definedName>
    <definedName name="НоеНед1">DATE(КалендарнаГодина,11,1)-WEEKDAY(DATE(КалендарнаГодина,11,1))+1</definedName>
    <definedName name="_xlnm.Print_Area" localSheetId="1">'Годишен Календар'!$B$1:$W$55</definedName>
    <definedName name="ОктНед1">DATE(КалендарнаГодина,10,1)-WEEKDAY(DATE(КалендарнаГодина,10,1))+1</definedName>
    <definedName name="СепНед1">DATE(КалендарнаГодина,9,1)-WEEKDAY(DATE(КалендарнаГодина,9,1))+1</definedName>
    <definedName name="ФевНед1">DATE(КалендарнаГодина,2,1)-WEEKDAY(DATE(КалендарнаГодина,2,1))+1</definedName>
    <definedName name="ЮлНед1">DATE(КалендарнаГодина,7,1)-WEEKDAY(DATE(КалендарнаГодина,7,1))+1</definedName>
    <definedName name="ЮнНед1">DATE(КалендарнаГодина,6,1)-WEEKDAY(DATE(КалендарнаГодина,6,1))+1</definedName>
    <definedName name="ЯнНед1">DATE(КалендарнаГодина,1,1)-WEEKDAY(DATE(КалендарнаГодина,1,1))+1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<sst xmlns="http://schemas.openxmlformats.org/spreadsheetml/2006/main" count="135" uniqueCount="58">
  <si>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ЗА ТОЗИ ШАБЛОН</t>
  </si>
  <si>
    <t>Използвайте този шаблон за създаване на лични малък бизнес календар за всяка година.</t>
  </si>
  <si>
    <t>Попълнете име на фирма и данни за контакт и добавите емблема на фирмата.</t>
  </si>
  <si>
    <t>Изберете година и въведете важни дати и събития.</t>
  </si>
  <si>
    <t>Забележка: </t>
  </si>
  <si>
    <t>За да научите повече за таблиците, натиснете SHIFT и след това F10 в таблица, изберете опцията ТАБЛИЦА, след което изберете АЛТЕРНАТИВЕН ТЕКСТ.</t>
  </si>
  <si>
    <t>Създайте малък бизнес календар за произволна година в този работен лист. Полезни указания, за тока как да използвате този работен лист, можете да намерите в клетките в тази колона. Изберете брояча в клетката вдясно, за да променя годината в клетка C1. Етикетът за важните дати е в клетка U1</t>
  </si>
  <si>
    <t>Съветът е в клетката вдясно</t>
  </si>
  <si>
    <t>Избраният годишен календар е в клетките от C3 до Q55, януарски календар в клетките от C4 до I10, а февруарски календара в клетките от K4 да Q10. Етикет за януари е в клетка C3, за февруари в клетка K3. Въведете важните дати и събития в клетките от U3 до U42</t>
  </si>
  <si>
    <t>Таблицата на календара за януари се намират в клетките от C4 до I10, а таблицата на календара за февруари в клетки от K4 до Q10. Следващата инструкция е в клетка A12.</t>
  </si>
  <si>
    <t>Етикетът за март е в клетка C12, а за април в клетка K12</t>
  </si>
  <si>
    <t>Таблицата на календара за март се намират в клетките от C13 до I19, а таблицата на календара за април в клетки от K13 до Q19. Следващата инструкция е в клетка A21</t>
  </si>
  <si>
    <t>Етикетът за май е в клетка C21, а за юни е в клетка К21</t>
  </si>
  <si>
    <t>Таблицата на календара за май се намират в клетките от С22 до I28, а таблицата на календара за юни в клетки от K22 до Q28. Следващата инструкция е в клетка A30.</t>
  </si>
  <si>
    <t>Етикетът за юли е в клетка C30, а за август е в клетка K30</t>
  </si>
  <si>
    <t>Таблицата на календара за юли се намират в клетките от C31 до I37, а таблицата на календара за август е в клетки от K31 до Q37. Следващата инструкция е в клетка A39</t>
  </si>
  <si>
    <t>Етикетът за септември е в клетка C39, а за октомври в клетка K39</t>
  </si>
  <si>
    <t>Таблицата на календара за септември се намират в клетките от C40 до I46, а таблицата на календара за октомври е в клетки от K40 до Q46. Следващата инструкция е в клетка A44</t>
  </si>
  <si>
    <t>Въведете улица и номер в клетка U44</t>
  </si>
  <si>
    <t>Въведете град, област и пощенски код в клетка U45. Следващата инструкция е в клетка A47</t>
  </si>
  <si>
    <t>Въведете телефонен номер на фирмата в клетка U47</t>
  </si>
  <si>
    <t>Етикетът за ноември е в клетка C48, а за декември в клетка K48. Въведете имейл адрес в клетка U48</t>
  </si>
  <si>
    <t>Таблицата на календара за ноември се намират в клетките от C49 до I55 а таблицата на календара за декември е в клетки от K49 да Q55. Следващата инструкция е в клетка A51</t>
  </si>
  <si>
    <t>Добавете емблема на фирмата в клетка U51</t>
  </si>
  <si>
    <t>Използвайте брояча, за да промените календарната година</t>
  </si>
  <si>
    <t>ЯНУАРИ</t>
  </si>
  <si>
    <t>ПОН</t>
  </si>
  <si>
    <t>МАРТ</t>
  </si>
  <si>
    <t>МАЙ</t>
  </si>
  <si>
    <t>ЮЛИ</t>
  </si>
  <si>
    <t>СЕПТЕМВРИ</t>
  </si>
  <si>
    <t>НОЕМВРИ</t>
  </si>
  <si>
    <t>ВТО</t>
  </si>
  <si>
    <t>СРЯ</t>
  </si>
  <si>
    <t>ЧЕТ</t>
  </si>
  <si>
    <t>ПЕТ</t>
  </si>
  <si>
    <t>СЪБ</t>
  </si>
  <si>
    <t>НЕД</t>
  </si>
  <si>
    <t>ФЕВРУАРИ</t>
  </si>
  <si>
    <t>АПРИЛ</t>
  </si>
  <si>
    <t>ЮНИ</t>
  </si>
  <si>
    <t>АВГУСТ</t>
  </si>
  <si>
    <t>ОКТОМВРИ</t>
  </si>
  <si>
    <t>ДЕКЕМВРИ</t>
  </si>
  <si>
    <t>ВАЖНИ ДАТИ</t>
  </si>
  <si>
    <t>ЯНУАРИ 1</t>
  </si>
  <si>
    <t>НОВА ГОДИНА</t>
  </si>
  <si>
    <t>14 ФЕВРУАРИ</t>
  </si>
  <si>
    <t>СВ. ВАЛЕНТИН</t>
  </si>
  <si>
    <t>22 ФЕВРУАРИ</t>
  </si>
  <si>
    <t>ОТВОРЕНИ ВРАТИ</t>
  </si>
  <si>
    <t>Адрес: улица и номер</t>
  </si>
  <si>
    <t>Град, област, пощенски код</t>
  </si>
  <si>
    <t>Телефон</t>
  </si>
  <si>
    <t>Имейл</t>
  </si>
  <si>
    <t>Уеб сайт</t>
  </si>
  <si>
    <t>Контейнерът за емблемата е в тази клетка.</t>
  </si>
  <si>
    <t xml:space="preserve">Допълнителни инструкции са предоставени в колона A в работния лист на ГОДИШЕН КАЛЕНДАР. Този текст е скрит нарочно. За да премахнете текста, изберете колона А, след което изберете DELETE.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</si>
</sst>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d"/>
  </numFmts>
  <fonts count="36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8" fillId="0" borderId="2" applyNumberFormat="0" applyFill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5" applyNumberFormat="0" applyAlignment="0" applyProtection="0"/>
    <xf numFmtId="0" fontId="29" fillId="8" borderId="6" applyNumberFormat="0" applyAlignment="0" applyProtection="0"/>
    <xf numFmtId="0" fontId="30" fillId="8" borderId="5" applyNumberFormat="0" applyAlignment="0" applyProtection="0"/>
    <xf numFmtId="0" fontId="31" fillId="0" borderId="7" applyNumberFormat="0" applyFill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21" fillId="10" borderId="9" applyNumberFormat="0" applyFon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/>
    <xf numFmtId="49" fontId="11" fillId="0" borderId="0" xfId="0" applyNumberFormat="1" applyFont="1"/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3" borderId="0" xfId="0" applyFill="1"/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49" fontId="15" fillId="0" borderId="1" xfId="0" applyNumberFormat="1" applyFont="1" applyBorder="1"/>
    <xf numFmtId="49" fontId="15" fillId="0" borderId="0" xfId="0" applyNumberFormat="1" applyFont="1"/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0" fillId="3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wrapText="1"/>
    </xf>
    <xf numFmtId="166" fontId="2" fillId="0" borderId="0" xfId="0" applyNumberFormat="1" applyFont="1" applyAlignment="1">
      <alignment vertical="center"/>
    </xf>
    <xf numFmtId="166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2" borderId="0" xfId="0" applyFill="1"/>
    <xf numFmtId="0" fontId="1" fillId="0" borderId="0" xfId="0" applyFont="1" applyAlignment="1">
      <alignment vertical="center" wrapText="1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left" vertical="center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4" builtinId="4" customBuiltin="1"/>
    <cellStyle name="Валута [0]" xfId="5" builtinId="7" customBuiltin="1"/>
    <cellStyle name="Вход" xfId="14" builtinId="20" customBuiltin="1"/>
    <cellStyle name="Добър" xfId="11" builtinId="26" customBuiltin="1"/>
    <cellStyle name="Заглавие" xfId="7" builtinId="15" customBuiltin="1"/>
    <cellStyle name="Заглавие 1" xfId="8" builtinId="16" customBuiltin="1"/>
    <cellStyle name="Заглавие 2" xfId="1" builtinId="17" customBuiltin="1"/>
    <cellStyle name="Заглавие 3" xfId="9" builtinId="18" customBuiltin="1"/>
    <cellStyle name="Заглавие 4" xfId="10" builtinId="19" customBuiltin="1"/>
    <cellStyle name="Запетая" xfId="2" builtinId="3" customBuiltin="1"/>
    <cellStyle name="Запетая [0]" xfId="3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6" builtinId="5" customBuiltin="1"/>
    <cellStyle name="Свързана клетка" xfId="17" builtinId="24" customBuiltin="1"/>
    <cellStyle name="Сума" xfId="22" builtinId="25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682625</xdr:colOff>
      <xdr:row>47</xdr:row>
      <xdr:rowOff>66674</xdr:rowOff>
    </xdr:to>
    <xdr:pic>
      <xdr:nvPicPr>
        <xdr:cNvPr id="2" name="Листа" descr="Шест листа поставени в двойка и самостоятелно на различни разстояния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Брояч" descr="Използвайте бутона на брояча, за да промените календарната година, или въведете годината в клетка C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Емблема" descr="Контейнер за емблема, за да добавите емблемата на фирм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Септември" displayName="Септември" ref="C40:I46" totalsRowShown="0" headerRowDxfId="107" dataDxfId="106">
  <autoFilter ref="C40:I4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ПОН" dataDxfId="105"/>
    <tableColumn id="2" xr3:uid="{00000000-0010-0000-0000-000002000000}" name="ВТО" dataDxfId="104"/>
    <tableColumn id="3" xr3:uid="{00000000-0010-0000-0000-000003000000}" name="СРЯ" dataDxfId="103"/>
    <tableColumn id="4" xr3:uid="{00000000-0010-0000-0000-000004000000}" name="ЧЕТ" dataDxfId="102"/>
    <tableColumn id="5" xr3:uid="{00000000-0010-0000-0000-000005000000}" name="ПЕТ" dataDxfId="101"/>
    <tableColumn id="6" xr3:uid="{00000000-0010-0000-0000-000006000000}" name="СЪБ" dataDxfId="100"/>
    <tableColumn id="7" xr3:uid="{00000000-0010-0000-0000-000007000000}" name="НЕД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септември в тази таблица се актуализира автоматично с имена на дните от седмицата и дати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Април" displayName="Април" ref="K13:Q19" totalsRowShown="0" headerRowDxfId="26" dataDxfId="25">
  <autoFilter ref="K13:Q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ПОН" dataDxfId="24"/>
    <tableColumn id="2" xr3:uid="{00000000-0010-0000-0900-000002000000}" name="ВТО" dataDxfId="23"/>
    <tableColumn id="3" xr3:uid="{00000000-0010-0000-0900-000003000000}" name="СРЯ" dataDxfId="22"/>
    <tableColumn id="4" xr3:uid="{00000000-0010-0000-0900-000004000000}" name="ЧЕТ" dataDxfId="21"/>
    <tableColumn id="5" xr3:uid="{00000000-0010-0000-0900-000005000000}" name="ПЕТ" dataDxfId="20"/>
    <tableColumn id="6" xr3:uid="{00000000-0010-0000-0900-000006000000}" name="СЪБ" dataDxfId="19"/>
    <tableColumn id="7" xr3:uid="{00000000-0010-0000-0900-000007000000}" name="НЕД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април в тази таблица се актуализира автоматично с имена на дните от седмицата и дати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Февруари" displayName="Февруари" ref="K4:Q10" totalsRowShown="0" headerRowDxfId="17" dataDxfId="16">
  <autoFilter ref="K4:Q1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ПОН" dataDxfId="15"/>
    <tableColumn id="2" xr3:uid="{00000000-0010-0000-0A00-000002000000}" name="ВТО" dataDxfId="14"/>
    <tableColumn id="3" xr3:uid="{00000000-0010-0000-0A00-000003000000}" name="СРЯ" dataDxfId="13"/>
    <tableColumn id="4" xr3:uid="{00000000-0010-0000-0A00-000004000000}" name="ЧЕТ" dataDxfId="12"/>
    <tableColumn id="5" xr3:uid="{00000000-0010-0000-0A00-000005000000}" name="ПЕТ" dataDxfId="11"/>
    <tableColumn id="6" xr3:uid="{00000000-0010-0000-0A00-000006000000}" name="СЪБ" dataDxfId="10"/>
    <tableColumn id="7" xr3:uid="{00000000-0010-0000-0A00-000007000000}" name="НЕД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февруари в тази таблица се актуализира автоматично с имена на дните от седмицата и дати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Януари" displayName="Януари" ref="C4:I10" totalsRowShown="0" headerRowDxfId="8" dataDxfId="7">
  <autoFilter ref="C4:I10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ПОН" dataDxfId="6"/>
    <tableColumn id="2" xr3:uid="{00000000-0010-0000-0B00-000002000000}" name="ВТО" dataDxfId="5"/>
    <tableColumn id="3" xr3:uid="{00000000-0010-0000-0B00-000003000000}" name="СРЯ" dataDxfId="4"/>
    <tableColumn id="4" xr3:uid="{00000000-0010-0000-0B00-000004000000}" name="ЧЕТ" dataDxfId="3"/>
    <tableColumn id="5" xr3:uid="{00000000-0010-0000-0B00-000005000000}" name="ПЕТ" dataDxfId="2"/>
    <tableColumn id="6" xr3:uid="{00000000-0010-0000-0B00-000006000000}" name="СЪБ" dataDxfId="1"/>
    <tableColumn id="7" xr3:uid="{00000000-0010-0000-0B00-000007000000}" name="НЕД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януари в тази таблица се актуализира автоматично с имена на дните от седмицата и дат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Октомври" displayName="Октомври" ref="K40:Q46" totalsRowShown="0" headerRowDxfId="98" dataDxfId="97">
  <autoFilter ref="K40:Q4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ПОН" dataDxfId="96"/>
    <tableColumn id="2" xr3:uid="{00000000-0010-0000-0100-000002000000}" name="ВТО" dataDxfId="95"/>
    <tableColumn id="3" xr3:uid="{00000000-0010-0000-0100-000003000000}" name="СРЯ" dataDxfId="94"/>
    <tableColumn id="4" xr3:uid="{00000000-0010-0000-0100-000004000000}" name="ЧЕТ" dataDxfId="93"/>
    <tableColumn id="5" xr3:uid="{00000000-0010-0000-0100-000005000000}" name="ПЕТ" dataDxfId="92"/>
    <tableColumn id="6" xr3:uid="{00000000-0010-0000-0100-000006000000}" name="СЪБ" dataDxfId="91"/>
    <tableColumn id="7" xr3:uid="{00000000-0010-0000-0100-000007000000}" name="НЕД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октомври в тази таблица се актуализира автоматично с имена на дните от седмицата и дати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Декември" displayName="Декември" ref="K49:Q55" totalsRowShown="0" headerRowDxfId="89" dataDxfId="88">
  <autoFilter ref="K49:Q5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ПОН" dataDxfId="87"/>
    <tableColumn id="2" xr3:uid="{00000000-0010-0000-0200-000002000000}" name="ВТО" dataDxfId="86"/>
    <tableColumn id="3" xr3:uid="{00000000-0010-0000-0200-000003000000}" name="СРЯ" dataDxfId="85"/>
    <tableColumn id="4" xr3:uid="{00000000-0010-0000-0200-000004000000}" name="ЧЕТ" dataDxfId="84"/>
    <tableColumn id="5" xr3:uid="{00000000-0010-0000-0200-000005000000}" name="ПЕТ" dataDxfId="83"/>
    <tableColumn id="6" xr3:uid="{00000000-0010-0000-0200-000006000000}" name="СЪБ" dataDxfId="82"/>
    <tableColumn id="7" xr3:uid="{00000000-0010-0000-0200-000007000000}" name="НЕД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декември в тази таблица се актуализира автоматично с имена на дните от седмицата и дати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Ноември" displayName="Ноември" ref="C49:I55" totalsRowShown="0" headerRowDxfId="80" dataDxfId="79">
  <autoFilter ref="C49:I5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ПОН" dataDxfId="78"/>
    <tableColumn id="2" xr3:uid="{00000000-0010-0000-0300-000002000000}" name="ВТО" dataDxfId="77"/>
    <tableColumn id="3" xr3:uid="{00000000-0010-0000-0300-000003000000}" name="СРЯ" dataDxfId="76"/>
    <tableColumn id="4" xr3:uid="{00000000-0010-0000-0300-000004000000}" name="ЧЕТ" dataDxfId="75"/>
    <tableColumn id="5" xr3:uid="{00000000-0010-0000-0300-000005000000}" name="ПЕТ" dataDxfId="74"/>
    <tableColumn id="6" xr3:uid="{00000000-0010-0000-0300-000006000000}" name="СЪБ" dataDxfId="73"/>
    <tableColumn id="7" xr3:uid="{00000000-0010-0000-0300-000007000000}" name="НЕД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ноември в тази таблица се актуализира автоматично с имена на дните от седмицата и дати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Август" displayName="Август" ref="K31:Q37" totalsRowShown="0" headerRowDxfId="71" dataDxfId="70">
  <autoFilter ref="K31:Q3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ПОН" dataDxfId="69"/>
    <tableColumn id="2" xr3:uid="{00000000-0010-0000-0400-000002000000}" name="ВТО" dataDxfId="68"/>
    <tableColumn id="3" xr3:uid="{00000000-0010-0000-0400-000003000000}" name="СРЯ" dataDxfId="67"/>
    <tableColumn id="4" xr3:uid="{00000000-0010-0000-0400-000004000000}" name="ЧЕТ" dataDxfId="66"/>
    <tableColumn id="5" xr3:uid="{00000000-0010-0000-0400-000005000000}" name="ПЕТ" dataDxfId="65"/>
    <tableColumn id="6" xr3:uid="{00000000-0010-0000-0400-000006000000}" name="СЪБ" dataDxfId="64"/>
    <tableColumn id="7" xr3:uid="{00000000-0010-0000-0400-000007000000}" name="НЕД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август в тази таблица се актуализира автоматично с имена на дните от седмицата и дати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Юли" displayName="Юли" ref="C31:I37" totalsRowShown="0" headerRowDxfId="62" dataDxfId="61">
  <autoFilter ref="C31:I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ПОН" dataDxfId="60"/>
    <tableColumn id="2" xr3:uid="{00000000-0010-0000-0500-000002000000}" name="ВТО" dataDxfId="59"/>
    <tableColumn id="3" xr3:uid="{00000000-0010-0000-0500-000003000000}" name="СРЯ" dataDxfId="58"/>
    <tableColumn id="4" xr3:uid="{00000000-0010-0000-0500-000004000000}" name="ЧЕТ" dataDxfId="57"/>
    <tableColumn id="5" xr3:uid="{00000000-0010-0000-0500-000005000000}" name="ПЕТ" dataDxfId="56"/>
    <tableColumn id="6" xr3:uid="{00000000-0010-0000-0500-000006000000}" name="СЪБ" dataDxfId="55"/>
    <tableColumn id="7" xr3:uid="{00000000-0010-0000-0500-000007000000}" name="НЕД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юли в тази таблица се актуализира автоматично с имена на дните от седмицата и дати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Юни" displayName="Юни" ref="K22:Q28" totalsRowShown="0" headerRowDxfId="53" dataDxfId="52">
  <autoFilter ref="K22:Q28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ПОН" dataDxfId="51"/>
    <tableColumn id="2" xr3:uid="{00000000-0010-0000-0600-000002000000}" name="ВТО" dataDxfId="50"/>
    <tableColumn id="3" xr3:uid="{00000000-0010-0000-0600-000003000000}" name="СРЯ" dataDxfId="49"/>
    <tableColumn id="4" xr3:uid="{00000000-0010-0000-0600-000004000000}" name="ЧЕТ" dataDxfId="48"/>
    <tableColumn id="5" xr3:uid="{00000000-0010-0000-0600-000005000000}" name="ПЕТ" dataDxfId="47"/>
    <tableColumn id="6" xr3:uid="{00000000-0010-0000-0600-000006000000}" name="СЪБ" dataDxfId="46"/>
    <tableColumn id="7" xr3:uid="{00000000-0010-0000-0600-000007000000}" name="НЕД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юни в тази таблица се актуализира автоматично с имена на дните от седмицата и дати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Май" displayName="Май" ref="C22:I28" totalsRowShown="0" headerRowDxfId="44" dataDxfId="43">
  <autoFilter ref="C22:I2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ПОН" dataDxfId="42"/>
    <tableColumn id="2" xr3:uid="{00000000-0010-0000-0700-000002000000}" name="ВТО" dataDxfId="41"/>
    <tableColumn id="3" xr3:uid="{00000000-0010-0000-0700-000003000000}" name="СРЯ" dataDxfId="40"/>
    <tableColumn id="4" xr3:uid="{00000000-0010-0000-0700-000004000000}" name="ЧЕТ" dataDxfId="39"/>
    <tableColumn id="5" xr3:uid="{00000000-0010-0000-0700-000005000000}" name="ПЕТ" dataDxfId="38"/>
    <tableColumn id="6" xr3:uid="{00000000-0010-0000-0700-000006000000}" name="СЪБ" dataDxfId="37"/>
    <tableColumn id="7" xr3:uid="{00000000-0010-0000-0700-000007000000}" name="НЕД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май в тази таблица се актуализира автоматично с имена на дните от седмицата и дати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Март" displayName="Март" ref="C13:I19" totalsRowShown="0" headerRowDxfId="35" dataDxfId="34">
  <autoFilter ref="C13:I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ПОН" dataDxfId="33"/>
    <tableColumn id="2" xr3:uid="{00000000-0010-0000-0800-000002000000}" name="ВТО" dataDxfId="32"/>
    <tableColumn id="3" xr3:uid="{00000000-0010-0000-0800-000003000000}" name="СРЯ" dataDxfId="31"/>
    <tableColumn id="4" xr3:uid="{00000000-0010-0000-0800-000004000000}" name="ЧЕТ" dataDxfId="30"/>
    <tableColumn id="5" xr3:uid="{00000000-0010-0000-0800-000005000000}" name="ПЕТ" dataDxfId="29"/>
    <tableColumn id="6" xr3:uid="{00000000-0010-0000-0800-000006000000}" name="СЪБ" dataDxfId="28"/>
    <tableColumn id="7" xr3:uid="{00000000-0010-0000-0800-000007000000}" name="НЕД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ът за март в тази таблица се актуализира автоматично с имена на дните от седмицата и дати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2.83203125" style="16" customWidth="1"/>
    <col min="3" max="3" width="2.83203125" customWidth="1"/>
  </cols>
  <sheetData>
    <row r="1" spans="2:2" ht="30" customHeight="1" x14ac:dyDescent="0.2">
      <c r="B1" s="13" t="s">
        <v>0</v>
      </c>
    </row>
    <row r="2" spans="2:2" ht="49.5" customHeight="1" x14ac:dyDescent="0.2">
      <c r="B2" s="12" t="s">
        <v>1</v>
      </c>
    </row>
    <row r="3" spans="2:2" ht="30" customHeight="1" x14ac:dyDescent="0.2">
      <c r="B3" s="12" t="s">
        <v>2</v>
      </c>
    </row>
    <row r="4" spans="2:2" ht="30" customHeight="1" x14ac:dyDescent="0.2">
      <c r="B4" s="12" t="s">
        <v>3</v>
      </c>
    </row>
    <row r="5" spans="2:2" ht="30" customHeight="1" x14ac:dyDescent="0.25">
      <c r="B5" s="15" t="s">
        <v>4</v>
      </c>
    </row>
    <row r="6" spans="2:2" ht="65.25" customHeight="1" x14ac:dyDescent="0.2">
      <c r="B6" s="24" t="s">
        <v>57</v>
      </c>
    </row>
    <row r="7" spans="2:2" ht="30" x14ac:dyDescent="0.2">
      <c r="B7" s="14" t="s">
        <v>5</v>
      </c>
    </row>
    <row r="8" spans="2:2" ht="15" x14ac:dyDescent="0.2">
      <c r="B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69"/>
  <sheetViews>
    <sheetView showGridLines="0" zoomScaleNormal="100" workbookViewId="0"/>
  </sheetViews>
  <sheetFormatPr defaultColWidth="9.5" defaultRowHeight="11.25" x14ac:dyDescent="0.2"/>
  <cols>
    <col min="1" max="1" width="2.5" style="19" customWidth="1"/>
    <col min="2" max="2" width="5.1640625" customWidth="1"/>
    <col min="3" max="17" width="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23" ht="30" customHeight="1" x14ac:dyDescent="0.2">
      <c r="A1" s="17" t="s">
        <v>6</v>
      </c>
      <c r="B1" s="4"/>
      <c r="C1" s="28">
        <v>2020</v>
      </c>
      <c r="D1" s="28"/>
      <c r="E1" s="28"/>
      <c r="F1" s="28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7" t="s">
        <v>44</v>
      </c>
      <c r="V1" s="4"/>
      <c r="W1" s="4"/>
    </row>
    <row r="2" spans="1:23" ht="15" customHeight="1" x14ac:dyDescent="0.2">
      <c r="A2" s="18" t="s">
        <v>7</v>
      </c>
      <c r="B2" s="30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S2" s="23"/>
    </row>
    <row r="3" spans="1:23" ht="15" customHeight="1" x14ac:dyDescent="0.25">
      <c r="A3" s="19" t="s">
        <v>8</v>
      </c>
      <c r="C3" s="27" t="s">
        <v>25</v>
      </c>
      <c r="D3" s="27"/>
      <c r="E3" s="27"/>
      <c r="F3" s="27"/>
      <c r="G3" s="27"/>
      <c r="H3" s="27"/>
      <c r="I3" s="27"/>
      <c r="J3" s="20"/>
      <c r="K3" s="27" t="s">
        <v>38</v>
      </c>
      <c r="L3" s="27"/>
      <c r="M3" s="27"/>
      <c r="N3" s="27"/>
      <c r="O3" s="27"/>
      <c r="P3" s="27"/>
      <c r="Q3" s="27"/>
      <c r="S3" s="23"/>
      <c r="U3" s="10" t="s">
        <v>45</v>
      </c>
      <c r="V3" s="26"/>
      <c r="W3" s="26"/>
    </row>
    <row r="4" spans="1:23" ht="15" customHeight="1" x14ac:dyDescent="0.2">
      <c r="A4" s="18" t="s">
        <v>9</v>
      </c>
      <c r="C4" s="11" t="s">
        <v>26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 t="s">
        <v>37</v>
      </c>
      <c r="J4" s="21"/>
      <c r="K4" s="11" t="s">
        <v>26</v>
      </c>
      <c r="L4" s="11" t="s">
        <v>32</v>
      </c>
      <c r="M4" s="11" t="s">
        <v>33</v>
      </c>
      <c r="N4" s="11" t="s">
        <v>34</v>
      </c>
      <c r="O4" s="11" t="s">
        <v>35</v>
      </c>
      <c r="P4" s="11" t="s">
        <v>36</v>
      </c>
      <c r="Q4" s="11" t="s">
        <v>37</v>
      </c>
      <c r="S4" s="23"/>
      <c r="U4" s="3" t="s">
        <v>46</v>
      </c>
      <c r="V4" s="26"/>
      <c r="W4" s="26"/>
    </row>
    <row r="5" spans="1:23" ht="15" customHeight="1" x14ac:dyDescent="0.2">
      <c r="A5" s="18"/>
      <c r="C5" s="25" t="str">
        <f>IF(DAY(ЯнНед1)=1,"",IF(AND(YEAR(ЯнНед1+1)=КалендарнаГодина,MONTH(ЯнНед1+1)=1),ЯнНед1+1,""))</f>
        <v/>
      </c>
      <c r="D5" s="25" t="str">
        <f>IF(DAY(ЯнНед1)=1,"",IF(AND(YEAR(ЯнНед1+2)=КалендарнаГодина,MONTH(ЯнНед1+2)=1),ЯнНед1+2,""))</f>
        <v/>
      </c>
      <c r="E5" s="25">
        <f>IF(DAY(ЯнНед1)=1,"",IF(AND(YEAR(ЯнНед1+3)=КалендарнаГодина,MONTH(ЯнНед1+3)=1),ЯнНед1+3,""))</f>
        <v>43831</v>
      </c>
      <c r="F5" s="25">
        <f>IF(DAY(ЯнНед1)=1,"",IF(AND(YEAR(ЯнНед1+4)=КалендарнаГодина,MONTH(ЯнНед1+4)=1),ЯнНед1+4,""))</f>
        <v>43832</v>
      </c>
      <c r="G5" s="25">
        <f>IF(DAY(ЯнНед1)=1,"",IF(AND(YEAR(ЯнНед1+5)=КалендарнаГодина,MONTH(ЯнНед1+5)=1),ЯнНед1+5,""))</f>
        <v>43833</v>
      </c>
      <c r="H5" s="25">
        <f>IF(DAY(ЯнНед1)=1,"",IF(AND(YEAR(ЯнНед1+6)=КалендарнаГодина,MONTH(ЯнНед1+6)=1),ЯнНед1+6,""))</f>
        <v>43834</v>
      </c>
      <c r="I5" s="25">
        <f>IF(DAY(ЯнНед1)=1,IF(AND(YEAR(ЯнНед1)=КалендарнаГодина,MONTH(ЯнНед1)=1),ЯнНед1,""),IF(AND(YEAR(ЯнНед1+7)=КалендарнаГодина,MONTH(ЯнНед1+7)=1),ЯнНед1+7,""))</f>
        <v>43835</v>
      </c>
      <c r="J5" s="21"/>
      <c r="K5" s="25" t="str">
        <f>IF(DAY(ФевНед1)=1,"",IF(AND(YEAR(ФевНед1+1)=КалендарнаГодина,MONTH(ФевНед1+1)=2),ФевНед1+1,""))</f>
        <v/>
      </c>
      <c r="L5" s="25" t="str">
        <f>IF(DAY(ФевНед1)=1,"",IF(AND(YEAR(ФевНед1+2)=КалендарнаГодина,MONTH(ФевНед1+2)=2),ФевНед1+2,""))</f>
        <v/>
      </c>
      <c r="M5" s="25" t="str">
        <f>IF(DAY(ФевНед1)=1,"",IF(AND(YEAR(ФевНед1+3)=КалендарнаГодина,MONTH(ФевНед1+3)=2),ФевНед1+3,""))</f>
        <v/>
      </c>
      <c r="N5" s="25" t="str">
        <f>IF(DAY(ФевНед1)=1,"",IF(AND(YEAR(ФевНед1+4)=КалендарнаГодина,MONTH(ФевНед1+4)=2),ФевНед1+4,""))</f>
        <v/>
      </c>
      <c r="O5" s="25" t="str">
        <f>IF(DAY(ФевНед1)=1,"",IF(AND(YEAR(ФевНед1+5)=КалендарнаГодина,MONTH(ФевНед1+5)=2),ФевНед1+5,""))</f>
        <v/>
      </c>
      <c r="P5" s="25">
        <f>IF(DAY(ФевНед1)=1,"",IF(AND(YEAR(ФевНед1+6)=КалендарнаГодина,MONTH(ФевНед1+6)=2),ФевНед1+6,""))</f>
        <v>43862</v>
      </c>
      <c r="Q5" s="25">
        <f>IF(DAY(ФевНед1)=1,IF(AND(YEAR(ФевНед1)=КалендарнаГодина,MONTH(ФевНед1)=2),ФевНед1,""),IF(AND(YEAR(ФевНед1+7)=КалендарнаГодина,MONTH(ФевНед1+7)=2),ФевНед1+7,""))</f>
        <v>43863</v>
      </c>
      <c r="S5" s="23"/>
      <c r="U5" s="2"/>
      <c r="V5" s="26"/>
      <c r="W5" s="26"/>
    </row>
    <row r="6" spans="1:23" ht="15" customHeight="1" x14ac:dyDescent="0.2">
      <c r="A6" s="18"/>
      <c r="C6" s="25">
        <f>IF(DAY(ЯнНед1)=1,IF(AND(YEAR(ЯнНед1+1)=КалендарнаГодина,MONTH(ЯнНед1+1)=1),ЯнНед1+1,""),IF(AND(YEAR(ЯнНед1+8)=КалендарнаГодина,MONTH(ЯнНед1+8)=1),ЯнНед1+8,""))</f>
        <v>43836</v>
      </c>
      <c r="D6" s="25">
        <f>IF(DAY(ЯнНед1)=1,IF(AND(YEAR(ЯнНед1+2)=КалендарнаГодина,MONTH(ЯнНед1+2)=1),ЯнНед1+2,""),IF(AND(YEAR(ЯнНед1+9)=КалендарнаГодина,MONTH(ЯнНед1+9)=1),ЯнНед1+9,""))</f>
        <v>43837</v>
      </c>
      <c r="E6" s="25">
        <f>IF(DAY(ЯнНед1)=1,IF(AND(YEAR(ЯнНед1+3)=КалендарнаГодина,MONTH(ЯнНед1+3)=1),ЯнНед1+3,""),IF(AND(YEAR(ЯнНед1+10)=КалендарнаГодина,MONTH(ЯнНед1+10)=1),ЯнНед1+10,""))</f>
        <v>43838</v>
      </c>
      <c r="F6" s="25">
        <f>IF(DAY(ЯнНед1)=1,IF(AND(YEAR(ЯнНед1+4)=КалендарнаГодина,MONTH(ЯнНед1+4)=1),ЯнНед1+4,""),IF(AND(YEAR(ЯнНед1+11)=КалендарнаГодина,MONTH(ЯнНед1+11)=1),ЯнНед1+11,""))</f>
        <v>43839</v>
      </c>
      <c r="G6" s="25">
        <f>IF(DAY(ЯнНед1)=1,IF(AND(YEAR(ЯнНед1+5)=КалендарнаГодина,MONTH(ЯнНед1+5)=1),ЯнНед1+5,""),IF(AND(YEAR(ЯнНед1+12)=КалендарнаГодина,MONTH(ЯнНед1+12)=1),ЯнНед1+12,""))</f>
        <v>43840</v>
      </c>
      <c r="H6" s="25">
        <f>IF(DAY(ЯнНед1)=1,IF(AND(YEAR(ЯнНед1+6)=КалендарнаГодина,MONTH(ЯнНед1+6)=1),ЯнНед1+6,""),IF(AND(YEAR(ЯнНед1+13)=КалендарнаГодина,MONTH(ЯнНед1+13)=1),ЯнНед1+13,""))</f>
        <v>43841</v>
      </c>
      <c r="I6" s="25">
        <f>IF(DAY(ЯнНед1)=1,IF(AND(YEAR(ЯнНед1+7)=КалендарнаГодина,MONTH(ЯнНед1+7)=1),ЯнНед1+7,""),IF(AND(YEAR(ЯнНед1+14)=КалендарнаГодина,MONTH(ЯнНед1+14)=1),ЯнНед1+14,""))</f>
        <v>43842</v>
      </c>
      <c r="J6" s="21"/>
      <c r="K6" s="25">
        <f>IF(DAY(ФевНед1)=1,IF(AND(YEAR(ФевНед1+1)=КалендарнаГодина,MONTH(ФевНед1+1)=2),ФевНед1+1,""),IF(AND(YEAR(ФевНед1+8)=КалендарнаГодина,MONTH(ФевНед1+8)=2),ФевНед1+8,""))</f>
        <v>43864</v>
      </c>
      <c r="L6" s="25">
        <f>IF(DAY(ФевНед1)=1,IF(AND(YEAR(ФевНед1+2)=КалендарнаГодина,MONTH(ФевНед1+2)=2),ФевНед1+2,""),IF(AND(YEAR(ФевНед1+9)=КалендарнаГодина,MONTH(ФевНед1+9)=2),ФевНед1+9,""))</f>
        <v>43865</v>
      </c>
      <c r="M6" s="25">
        <f>IF(DAY(ФевНед1)=1,IF(AND(YEAR(ФевНед1+3)=КалендарнаГодина,MONTH(ФевНед1+3)=2),ФевНед1+3,""),IF(AND(YEAR(ФевНед1+10)=КалендарнаГодина,MONTH(ФевНед1+10)=2),ФевНед1+10,""))</f>
        <v>43866</v>
      </c>
      <c r="N6" s="25">
        <f>IF(DAY(ФевНед1)=1,IF(AND(YEAR(ФевНед1+4)=КалендарнаГодина,MONTH(ФевНед1+4)=2),ФевНед1+4,""),IF(AND(YEAR(ФевНед1+11)=КалендарнаГодина,MONTH(ФевНед1+11)=2),ФевНед1+11,""))</f>
        <v>43867</v>
      </c>
      <c r="O6" s="25">
        <f>IF(DAY(ФевНед1)=1,IF(AND(YEAR(ФевНед1+5)=КалендарнаГодина,MONTH(ФевНед1+5)=2),ФевНед1+5,""),IF(AND(YEAR(ФевНед1+12)=КалендарнаГодина,MONTH(ФевНед1+12)=2),ФевНед1+12,""))</f>
        <v>43868</v>
      </c>
      <c r="P6" s="25">
        <f>IF(DAY(ФевНед1)=1,IF(AND(YEAR(ФевНед1+6)=КалендарнаГодина,MONTH(ФевНед1+6)=2),ФевНед1+6,""),IF(AND(YEAR(ФевНед1+13)=КалендарнаГодина,MONTH(ФевНед1+13)=2),ФевНед1+13,""))</f>
        <v>43869</v>
      </c>
      <c r="Q6" s="25">
        <f>IF(DAY(ФевНед1)=1,IF(AND(YEAR(ФевНед1+7)=КалендарнаГодина,MONTH(ФевНед1+7)=2),ФевНед1+7,""),IF(AND(YEAR(ФевНед1+14)=КалендарнаГодина,MONTH(ФевНед1+14)=2),ФевНед1+14,""))</f>
        <v>43870</v>
      </c>
      <c r="S6" s="23"/>
      <c r="U6" s="10" t="s">
        <v>47</v>
      </c>
      <c r="V6" s="26"/>
      <c r="W6" s="26"/>
    </row>
    <row r="7" spans="1:23" ht="15" customHeight="1" x14ac:dyDescent="0.2">
      <c r="C7" s="25">
        <f>IF(DAY(ЯнНед1)=1,IF(AND(YEAR(ЯнНед1+8)=КалендарнаГодина,MONTH(ЯнНед1+8)=1),ЯнНед1+8,""),IF(AND(YEAR(ЯнНед1+15)=КалендарнаГодина,MONTH(ЯнНед1+15)=1),ЯнНед1+15,""))</f>
        <v>43843</v>
      </c>
      <c r="D7" s="25">
        <f>IF(DAY(ЯнНед1)=1,IF(AND(YEAR(ЯнНед1+9)=КалендарнаГодина,MONTH(ЯнНед1+9)=1),ЯнНед1+9,""),IF(AND(YEAR(ЯнНед1+16)=КалендарнаГодина,MONTH(ЯнНед1+16)=1),ЯнНед1+16,""))</f>
        <v>43844</v>
      </c>
      <c r="E7" s="25">
        <f>IF(DAY(ЯнНед1)=1,IF(AND(YEAR(ЯнНед1+10)=КалендарнаГодина,MONTH(ЯнНед1+10)=1),ЯнНед1+10,""),IF(AND(YEAR(ЯнНед1+17)=КалендарнаГодина,MONTH(ЯнНед1+17)=1),ЯнНед1+17,""))</f>
        <v>43845</v>
      </c>
      <c r="F7" s="25">
        <f>IF(DAY(ЯнНед1)=1,IF(AND(YEAR(ЯнНед1+11)=КалендарнаГодина,MONTH(ЯнНед1+11)=1),ЯнНед1+11,""),IF(AND(YEAR(ЯнНед1+18)=КалендарнаГодина,MONTH(ЯнНед1+18)=1),ЯнНед1+18,""))</f>
        <v>43846</v>
      </c>
      <c r="G7" s="25">
        <f>IF(DAY(ЯнНед1)=1,IF(AND(YEAR(ЯнНед1+12)=КалендарнаГодина,MONTH(ЯнНед1+12)=1),ЯнНед1+12,""),IF(AND(YEAR(ЯнНед1+19)=КалендарнаГодина,MONTH(ЯнНед1+19)=1),ЯнНед1+19,""))</f>
        <v>43847</v>
      </c>
      <c r="H7" s="25">
        <f>IF(DAY(ЯнНед1)=1,IF(AND(YEAR(ЯнНед1+13)=КалендарнаГодина,MONTH(ЯнНед1+13)=1),ЯнНед1+13,""),IF(AND(YEAR(ЯнНед1+20)=КалендарнаГодина,MONTH(ЯнНед1+20)=1),ЯнНед1+20,""))</f>
        <v>43848</v>
      </c>
      <c r="I7" s="25">
        <f>IF(DAY(ЯнНед1)=1,IF(AND(YEAR(ЯнНед1+14)=КалендарнаГодина,MONTH(ЯнНед1+14)=1),ЯнНед1+14,""),IF(AND(YEAR(ЯнНед1+21)=КалендарнаГодина,MONTH(ЯнНед1+21)=1),ЯнНед1+21,""))</f>
        <v>43849</v>
      </c>
      <c r="J7" s="21"/>
      <c r="K7" s="25">
        <f>IF(DAY(ФевНед1)=1,IF(AND(YEAR(ФевНед1+8)=КалендарнаГодина,MONTH(ФевНед1+8)=2),ФевНед1+8,""),IF(AND(YEAR(ФевНед1+15)=КалендарнаГодина,MONTH(ФевНед1+15)=2),ФевНед1+15,""))</f>
        <v>43871</v>
      </c>
      <c r="L7" s="25">
        <f>IF(DAY(ФевНед1)=1,IF(AND(YEAR(ФевНед1+9)=КалендарнаГодина,MONTH(ФевНед1+9)=2),ФевНед1+9,""),IF(AND(YEAR(ФевНед1+16)=КалендарнаГодина,MONTH(ФевНед1+16)=2),ФевНед1+16,""))</f>
        <v>43872</v>
      </c>
      <c r="M7" s="25">
        <f>IF(DAY(ФевНед1)=1,IF(AND(YEAR(ФевНед1+10)=КалендарнаГодина,MONTH(ФевНед1+10)=2),ФевНед1+10,""),IF(AND(YEAR(ФевНед1+17)=КалендарнаГодина,MONTH(ФевНед1+17)=2),ФевНед1+17,""))</f>
        <v>43873</v>
      </c>
      <c r="N7" s="25">
        <f>IF(DAY(ФевНед1)=1,IF(AND(YEAR(ФевНед1+11)=КалендарнаГодина,MONTH(ФевНед1+11)=2),ФевНед1+11,""),IF(AND(YEAR(ФевНед1+18)=КалендарнаГодина,MONTH(ФевНед1+18)=2),ФевНед1+18,""))</f>
        <v>43874</v>
      </c>
      <c r="O7" s="25">
        <f>IF(DAY(ФевНед1)=1,IF(AND(YEAR(ФевНед1+12)=КалендарнаГодина,MONTH(ФевНед1+12)=2),ФевНед1+12,""),IF(AND(YEAR(ФевНед1+19)=КалендарнаГодина,MONTH(ФевНед1+19)=2),ФевНед1+19,""))</f>
        <v>43875</v>
      </c>
      <c r="P7" s="25">
        <f>IF(DAY(ФевНед1)=1,IF(AND(YEAR(ФевНед1+13)=КалендарнаГодина,MONTH(ФевНед1+13)=2),ФевНед1+13,""),IF(AND(YEAR(ФевНед1+20)=КалендарнаГодина,MONTH(ФевНед1+20)=2),ФевНед1+20,""))</f>
        <v>43876</v>
      </c>
      <c r="Q7" s="25">
        <f>IF(DAY(ФевНед1)=1,IF(AND(YEAR(ФевНед1+14)=КалендарнаГодина,MONTH(ФевНед1+14)=2),ФевНед1+14,""),IF(AND(YEAR(ФевНед1+21)=КалендарнаГодина,MONTH(ФевНед1+21)=2),ФевНед1+21,""))</f>
        <v>43877</v>
      </c>
      <c r="S7" s="23"/>
      <c r="U7" s="3" t="s">
        <v>48</v>
      </c>
      <c r="V7" s="26"/>
      <c r="W7" s="26"/>
    </row>
    <row r="8" spans="1:23" ht="15" customHeight="1" x14ac:dyDescent="0.2">
      <c r="C8" s="25">
        <f>IF(DAY(ЯнНед1)=1,IF(AND(YEAR(ЯнНед1+15)=КалендарнаГодина,MONTH(ЯнНед1+15)=1),ЯнНед1+15,""),IF(AND(YEAR(ЯнНед1+22)=КалендарнаГодина,MONTH(ЯнНед1+22)=1),ЯнНед1+22,""))</f>
        <v>43850</v>
      </c>
      <c r="D8" s="25">
        <f>IF(DAY(ЯнНед1)=1,IF(AND(YEAR(ЯнНед1+16)=КалендарнаГодина,MONTH(ЯнНед1+16)=1),ЯнНед1+16,""),IF(AND(YEAR(ЯнНед1+23)=КалендарнаГодина,MONTH(ЯнНед1+23)=1),ЯнНед1+23,""))</f>
        <v>43851</v>
      </c>
      <c r="E8" s="25">
        <f>IF(DAY(ЯнНед1)=1,IF(AND(YEAR(ЯнНед1+17)=КалендарнаГодина,MONTH(ЯнНед1+17)=1),ЯнНед1+17,""),IF(AND(YEAR(ЯнНед1+24)=КалендарнаГодина,MONTH(ЯнНед1+24)=1),ЯнНед1+24,""))</f>
        <v>43852</v>
      </c>
      <c r="F8" s="25">
        <f>IF(DAY(ЯнНед1)=1,IF(AND(YEAR(ЯнНед1+18)=КалендарнаГодина,MONTH(ЯнНед1+18)=1),ЯнНед1+18,""),IF(AND(YEAR(ЯнНед1+25)=КалендарнаГодина,MONTH(ЯнНед1+25)=1),ЯнНед1+25,""))</f>
        <v>43853</v>
      </c>
      <c r="G8" s="25">
        <f>IF(DAY(ЯнНед1)=1,IF(AND(YEAR(ЯнНед1+19)=КалендарнаГодина,MONTH(ЯнНед1+19)=1),ЯнНед1+19,""),IF(AND(YEAR(ЯнНед1+26)=КалендарнаГодина,MONTH(ЯнНед1+26)=1),ЯнНед1+26,""))</f>
        <v>43854</v>
      </c>
      <c r="H8" s="25">
        <f>IF(DAY(ЯнНед1)=1,IF(AND(YEAR(ЯнНед1+20)=КалендарнаГодина,MONTH(ЯнНед1+20)=1),ЯнНед1+20,""),IF(AND(YEAR(ЯнНед1+27)=КалендарнаГодина,MONTH(ЯнНед1+27)=1),ЯнНед1+27,""))</f>
        <v>43855</v>
      </c>
      <c r="I8" s="25">
        <f>IF(DAY(ЯнНед1)=1,IF(AND(YEAR(ЯнНед1+21)=КалендарнаГодина,MONTH(ЯнНед1+21)=1),ЯнНед1+21,""),IF(AND(YEAR(ЯнНед1+28)=КалендарнаГодина,MONTH(ЯнНед1+28)=1),ЯнНед1+28,""))</f>
        <v>43856</v>
      </c>
      <c r="J8" s="21"/>
      <c r="K8" s="25">
        <f>IF(DAY(ФевНед1)=1,IF(AND(YEAR(ФевНед1+15)=КалендарнаГодина,MONTH(ФевНед1+15)=2),ФевНед1+15,""),IF(AND(YEAR(ФевНед1+22)=КалендарнаГодина,MONTH(ФевНед1+22)=2),ФевНед1+22,""))</f>
        <v>43878</v>
      </c>
      <c r="L8" s="25">
        <f>IF(DAY(ФевНед1)=1,IF(AND(YEAR(ФевНед1+16)=КалендарнаГодина,MONTH(ФевНед1+16)=2),ФевНед1+16,""),IF(AND(YEAR(ФевНед1+23)=КалендарнаГодина,MONTH(ФевНед1+23)=2),ФевНед1+23,""))</f>
        <v>43879</v>
      </c>
      <c r="M8" s="25">
        <f>IF(DAY(ФевНед1)=1,IF(AND(YEAR(ФевНед1+17)=КалендарнаГодина,MONTH(ФевНед1+17)=2),ФевНед1+17,""),IF(AND(YEAR(ФевНед1+24)=КалендарнаГодина,MONTH(ФевНед1+24)=2),ФевНед1+24,""))</f>
        <v>43880</v>
      </c>
      <c r="N8" s="25">
        <f>IF(DAY(ФевНед1)=1,IF(AND(YEAR(ФевНед1+18)=КалендарнаГодина,MONTH(ФевНед1+18)=2),ФевНед1+18,""),IF(AND(YEAR(ФевНед1+25)=КалендарнаГодина,MONTH(ФевНед1+25)=2),ФевНед1+25,""))</f>
        <v>43881</v>
      </c>
      <c r="O8" s="25">
        <f>IF(DAY(ФевНед1)=1,IF(AND(YEAR(ФевНед1+19)=КалендарнаГодина,MONTH(ФевНед1+19)=2),ФевНед1+19,""),IF(AND(YEAR(ФевНед1+26)=КалендарнаГодина,MONTH(ФевНед1+26)=2),ФевНед1+26,""))</f>
        <v>43882</v>
      </c>
      <c r="P8" s="25">
        <f>IF(DAY(ФевНед1)=1,IF(AND(YEAR(ФевНед1+20)=КалендарнаГодина,MONTH(ФевНед1+20)=2),ФевНед1+20,""),IF(AND(YEAR(ФевНед1+27)=КалендарнаГодина,MONTH(ФевНед1+27)=2),ФевНед1+27,""))</f>
        <v>43883</v>
      </c>
      <c r="Q8" s="25">
        <f>IF(DAY(ФевНед1)=1,IF(AND(YEAR(ФевНед1+21)=КалендарнаГодина,MONTH(ФевНед1+21)=2),ФевНед1+21,""),IF(AND(YEAR(ФевНед1+28)=КалендарнаГодина,MONTH(ФевНед1+28)=2),ФевНед1+28,""))</f>
        <v>43884</v>
      </c>
      <c r="S8" s="23"/>
      <c r="U8" s="2"/>
      <c r="V8" s="26"/>
      <c r="W8" s="26"/>
    </row>
    <row r="9" spans="1:23" ht="15" customHeight="1" x14ac:dyDescent="0.2">
      <c r="C9" s="25">
        <f>IF(DAY(ЯнНед1)=1,IF(AND(YEAR(ЯнНед1+22)=КалендарнаГодина,MONTH(ЯнНед1+22)=1),ЯнНед1+22,""),IF(AND(YEAR(ЯнНед1+29)=КалендарнаГодина,MONTH(ЯнНед1+29)=1),ЯнНед1+29,""))</f>
        <v>43857</v>
      </c>
      <c r="D9" s="25">
        <f>IF(DAY(ЯнНед1)=1,IF(AND(YEAR(ЯнНед1+23)=КалендарнаГодина,MONTH(ЯнНед1+23)=1),ЯнНед1+23,""),IF(AND(YEAR(ЯнНед1+30)=КалендарнаГодина,MONTH(ЯнНед1+30)=1),ЯнНед1+30,""))</f>
        <v>43858</v>
      </c>
      <c r="E9" s="25">
        <f>IF(DAY(ЯнНед1)=1,IF(AND(YEAR(ЯнНед1+24)=КалендарнаГодина,MONTH(ЯнНед1+24)=1),ЯнНед1+24,""),IF(AND(YEAR(ЯнНед1+31)=КалендарнаГодина,MONTH(ЯнНед1+31)=1),ЯнНед1+31,""))</f>
        <v>43859</v>
      </c>
      <c r="F9" s="25">
        <f>IF(DAY(ЯнНед1)=1,IF(AND(YEAR(ЯнНед1+25)=КалендарнаГодина,MONTH(ЯнНед1+25)=1),ЯнНед1+25,""),IF(AND(YEAR(ЯнНед1+32)=КалендарнаГодина,MONTH(ЯнНед1+32)=1),ЯнНед1+32,""))</f>
        <v>43860</v>
      </c>
      <c r="G9" s="25">
        <f>IF(DAY(ЯнНед1)=1,IF(AND(YEAR(ЯнНед1+26)=КалендарнаГодина,MONTH(ЯнНед1+26)=1),ЯнНед1+26,""),IF(AND(YEAR(ЯнНед1+33)=КалендарнаГодина,MONTH(ЯнНед1+33)=1),ЯнНед1+33,""))</f>
        <v>43861</v>
      </c>
      <c r="H9" s="25" t="str">
        <f>IF(DAY(ЯнНед1)=1,IF(AND(YEAR(ЯнНед1+27)=КалендарнаГодина,MONTH(ЯнНед1+27)=1),ЯнНед1+27,""),IF(AND(YEAR(ЯнНед1+34)=КалендарнаГодина,MONTH(ЯнНед1+34)=1),ЯнНед1+34,""))</f>
        <v/>
      </c>
      <c r="I9" s="25" t="str">
        <f>IF(DAY(ЯнНед1)=1,IF(AND(YEAR(ЯнНед1+28)=КалендарнаГодина,MONTH(ЯнНед1+28)=1),ЯнНед1+28,""),IF(AND(YEAR(ЯнНед1+35)=КалендарнаГодина,MONTH(ЯнНед1+35)=1),ЯнНед1+35,""))</f>
        <v/>
      </c>
      <c r="J9" s="21"/>
      <c r="K9" s="25">
        <f>IF(DAY(ФевНед1)=1,IF(AND(YEAR(ФевНед1+22)=КалендарнаГодина,MONTH(ФевНед1+22)=2),ФевНед1+22,""),IF(AND(YEAR(ФевНед1+29)=КалендарнаГодина,MONTH(ФевНед1+29)=2),ФевНед1+29,""))</f>
        <v>43885</v>
      </c>
      <c r="L9" s="25">
        <f>IF(DAY(ФевНед1)=1,IF(AND(YEAR(ФевНед1+23)=КалендарнаГодина,MONTH(ФевНед1+23)=2),ФевНед1+23,""),IF(AND(YEAR(ФевНед1+30)=КалендарнаГодина,MONTH(ФевНед1+30)=2),ФевНед1+30,""))</f>
        <v>43886</v>
      </c>
      <c r="M9" s="25">
        <f>IF(DAY(ФевНед1)=1,IF(AND(YEAR(ФевНед1+24)=КалендарнаГодина,MONTH(ФевНед1+24)=2),ФевНед1+24,""),IF(AND(YEAR(ФевНед1+31)=КалендарнаГодина,MONTH(ФевНед1+31)=2),ФевНед1+31,""))</f>
        <v>43887</v>
      </c>
      <c r="N9" s="25">
        <f>IF(DAY(ФевНед1)=1,IF(AND(YEAR(ФевНед1+25)=КалендарнаГодина,MONTH(ФевНед1+25)=2),ФевНед1+25,""),IF(AND(YEAR(ФевНед1+32)=КалендарнаГодина,MONTH(ФевНед1+32)=2),ФевНед1+32,""))</f>
        <v>43888</v>
      </c>
      <c r="O9" s="25">
        <f>IF(DAY(ФевНед1)=1,IF(AND(YEAR(ФевНед1+26)=КалендарнаГодина,MONTH(ФевНед1+26)=2),ФевНед1+26,""),IF(AND(YEAR(ФевНед1+33)=КалендарнаГодина,MONTH(ФевНед1+33)=2),ФевНед1+33,""))</f>
        <v>43889</v>
      </c>
      <c r="P9" s="25">
        <f>IF(DAY(ФевНед1)=1,IF(AND(YEAR(ФевНед1+27)=КалендарнаГодина,MONTH(ФевНед1+27)=2),ФевНед1+27,""),IF(AND(YEAR(ФевНед1+34)=КалендарнаГодина,MONTH(ФевНед1+34)=2),ФевНед1+34,""))</f>
        <v>43890</v>
      </c>
      <c r="Q9" s="25" t="str">
        <f>IF(DAY(ФевНед1)=1,IF(AND(YEAR(ФевНед1+28)=КалендарнаГодина,MONTH(ФевНед1+28)=2),ФевНед1+28,""),IF(AND(YEAR(ФевНед1+35)=КалендарнаГодина,MONTH(ФевНед1+35)=2),ФевНед1+35,""))</f>
        <v/>
      </c>
      <c r="S9" s="23"/>
      <c r="U9" s="10" t="s">
        <v>49</v>
      </c>
      <c r="V9" s="26"/>
      <c r="W9" s="26"/>
    </row>
    <row r="10" spans="1:23" ht="15" customHeight="1" x14ac:dyDescent="0.2">
      <c r="C10" s="25" t="str">
        <f>IF(DAY(ЯнНед1)=1,IF(AND(YEAR(ЯнНед1+29)=КалендарнаГодина,MONTH(ЯнНед1+29)=1),ЯнНед1+29,""),IF(AND(YEAR(ЯнНед1+36)=КалендарнаГодина,MONTH(ЯнНед1+36)=1),ЯнНед1+36,""))</f>
        <v/>
      </c>
      <c r="D10" s="25" t="str">
        <f>IF(DAY(ЯнНед1)=1,IF(AND(YEAR(ЯнНед1+30)=КалендарнаГодина,MONTH(ЯнНед1+30)=1),ЯнНед1+30,""),IF(AND(YEAR(ЯнНед1+37)=КалендарнаГодина,MONTH(ЯнНед1+37)=1),ЯнНед1+37,""))</f>
        <v/>
      </c>
      <c r="E10" s="25" t="str">
        <f>IF(DAY(ЯнНед1)=1,IF(AND(YEAR(ЯнНед1+31)=КалендарнаГодина,MONTH(ЯнНед1+31)=1),ЯнНед1+31,""),IF(AND(YEAR(ЯнНед1+38)=КалендарнаГодина,MONTH(ЯнНед1+38)=1),ЯнНед1+38,""))</f>
        <v/>
      </c>
      <c r="F10" s="25" t="str">
        <f>IF(DAY(ЯнНед1)=1,IF(AND(YEAR(ЯнНед1+32)=КалендарнаГодина,MONTH(ЯнНед1+32)=1),ЯнНед1+32,""),IF(AND(YEAR(ЯнНед1+39)=КалендарнаГодина,MONTH(ЯнНед1+39)=1),ЯнНед1+39,""))</f>
        <v/>
      </c>
      <c r="G10" s="25" t="str">
        <f>IF(DAY(ЯнНед1)=1,IF(AND(YEAR(ЯнНед1+33)=КалендарнаГодина,MONTH(ЯнНед1+33)=1),ЯнНед1+33,""),IF(AND(YEAR(ЯнНед1+40)=КалендарнаГодина,MONTH(ЯнНед1+40)=1),ЯнНед1+40,""))</f>
        <v/>
      </c>
      <c r="H10" s="25" t="str">
        <f>IF(DAY(ЯнНед1)=1,IF(AND(YEAR(ЯнНед1+34)=КалендарнаГодина,MONTH(ЯнНед1+34)=1),ЯнНед1+34,""),IF(AND(YEAR(ЯнНед1+41)=КалендарнаГодина,MONTH(ЯнНед1+41)=1),ЯнНед1+41,""))</f>
        <v/>
      </c>
      <c r="I10" s="25" t="str">
        <f>IF(DAY(ЯнНед1)=1,IF(AND(YEAR(ЯнНед1+35)=КалендарнаГодина,MONTH(ЯнНед1+35)=1),ЯнНед1+35,""),IF(AND(YEAR(ЯнНед1+42)=КалендарнаГодина,MONTH(ЯнНед1+42)=1),ЯнНед1+42,""))</f>
        <v/>
      </c>
      <c r="J10" s="21"/>
      <c r="K10" s="25" t="str">
        <f>IF(DAY(ФевНед1)=1,IF(AND(YEAR(ФевНед1+29)=КалендарнаГодина,MONTH(ФевНед1+29)=2),ФевНед1+29,""),IF(AND(YEAR(ФевНед1+36)=КалендарнаГодина,MONTH(ФевНед1+36)=2),ФевНед1+36,""))</f>
        <v/>
      </c>
      <c r="L10" s="25" t="str">
        <f>IF(DAY(ФевНед1)=1,IF(AND(YEAR(ФевНед1+30)=КалендарнаГодина,MONTH(ФевНед1+30)=2),ФевНед1+30,""),IF(AND(YEAR(ФевНед1+37)=КалендарнаГодина,MONTH(ФевНед1+37)=2),ФевНед1+37,""))</f>
        <v/>
      </c>
      <c r="M10" s="25" t="str">
        <f>IF(DAY(ФевНед1)=1,IF(AND(YEAR(ФевНед1+31)=КалендарнаГодина,MONTH(ФевНед1+31)=2),ФевНед1+31,""),IF(AND(YEAR(ФевНед1+38)=КалендарнаГодина,MONTH(ФевНед1+38)=2),ФевНед1+38,""))</f>
        <v/>
      </c>
      <c r="N10" s="25" t="str">
        <f>IF(DAY(ФевНед1)=1,IF(AND(YEAR(ФевНед1+32)=КалендарнаГодина,MONTH(ФевНед1+32)=2),ФевНед1+32,""),IF(AND(YEAR(ФевНед1+39)=КалендарнаГодина,MONTH(ФевНед1+39)=2),ФевНед1+39,""))</f>
        <v/>
      </c>
      <c r="O10" s="25" t="str">
        <f>IF(DAY(ФевНед1)=1,IF(AND(YEAR(ФевНед1+33)=КалендарнаГодина,MONTH(ФевНед1+33)=2),ФевНед1+33,""),IF(AND(YEAR(ФевНед1+40)=КалендарнаГодина,MONTH(ФевНед1+40)=2),ФевНед1+40,""))</f>
        <v/>
      </c>
      <c r="P10" s="25" t="str">
        <f>IF(DAY(ФевНед1)=1,IF(AND(YEAR(ФевНед1+34)=КалендарнаГодина,MONTH(ФевНед1+34)=2),ФевНед1+34,""),IF(AND(YEAR(ФевНед1+41)=КалендарнаГодина,MONTH(ФевНед1+41)=2),ФевНед1+41,""))</f>
        <v/>
      </c>
      <c r="Q10" s="25" t="str">
        <f>IF(DAY(ФевНед1)=1,IF(AND(YEAR(ФевНед1+35)=КалендарнаГодина,MONTH(ФевНед1+35)=2),ФевНед1+35,""),IF(AND(YEAR(ФевНед1+42)=КалендарнаГодина,MONTH(ФевНед1+42)=2),ФевНед1+42,""))</f>
        <v/>
      </c>
      <c r="S10" s="23"/>
      <c r="U10" s="3" t="s">
        <v>50</v>
      </c>
      <c r="V10" s="26"/>
      <c r="W10" s="26"/>
    </row>
    <row r="11" spans="1:23" ht="15" customHeight="1" x14ac:dyDescent="0.2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S11" s="23"/>
      <c r="U11" s="2"/>
      <c r="V11" s="26"/>
      <c r="W11" s="26"/>
    </row>
    <row r="12" spans="1:23" ht="15" customHeight="1" x14ac:dyDescent="0.2">
      <c r="A12" s="18" t="s">
        <v>10</v>
      </c>
      <c r="C12" s="27" t="s">
        <v>27</v>
      </c>
      <c r="D12" s="27"/>
      <c r="E12" s="27"/>
      <c r="F12" s="27"/>
      <c r="G12" s="27"/>
      <c r="H12" s="27"/>
      <c r="I12" s="27"/>
      <c r="K12" s="27" t="s">
        <v>39</v>
      </c>
      <c r="L12" s="27"/>
      <c r="M12" s="27"/>
      <c r="N12" s="27"/>
      <c r="O12" s="27"/>
      <c r="P12" s="27"/>
      <c r="Q12" s="27"/>
      <c r="S12" s="23"/>
      <c r="U12" s="10"/>
      <c r="V12" s="26"/>
      <c r="W12" s="26"/>
    </row>
    <row r="13" spans="1:23" ht="15" customHeight="1" x14ac:dyDescent="0.25">
      <c r="A13" s="18" t="s">
        <v>11</v>
      </c>
      <c r="C13" s="11" t="s">
        <v>26</v>
      </c>
      <c r="D13" s="11" t="s">
        <v>32</v>
      </c>
      <c r="E13" s="11" t="s">
        <v>33</v>
      </c>
      <c r="F13" s="11" t="s">
        <v>34</v>
      </c>
      <c r="G13" s="11" t="s">
        <v>35</v>
      </c>
      <c r="H13" s="11" t="s">
        <v>36</v>
      </c>
      <c r="I13" s="11" t="s">
        <v>37</v>
      </c>
      <c r="J13" s="20"/>
      <c r="K13" s="11" t="s">
        <v>26</v>
      </c>
      <c r="L13" s="11" t="s">
        <v>32</v>
      </c>
      <c r="M13" s="11" t="s">
        <v>33</v>
      </c>
      <c r="N13" s="11" t="s">
        <v>34</v>
      </c>
      <c r="O13" s="11" t="s">
        <v>35</v>
      </c>
      <c r="P13" s="11" t="s">
        <v>36</v>
      </c>
      <c r="Q13" s="11" t="s">
        <v>37</v>
      </c>
      <c r="S13" s="23"/>
      <c r="U13" s="3"/>
      <c r="V13" s="26"/>
      <c r="W13" s="26"/>
    </row>
    <row r="14" spans="1:23" ht="15" customHeight="1" x14ac:dyDescent="0.2">
      <c r="C14" s="25" t="str">
        <f>IF(DAY(МарНед1)=1,"",IF(AND(YEAR(МарНед1+1)=КалендарнаГодина,MONTH(МарНед1+1)=3),МарНед1+1,""))</f>
        <v/>
      </c>
      <c r="D14" s="25" t="str">
        <f>IF(DAY(МарНед1)=1,"",IF(AND(YEAR(МарНед1+2)=КалендарнаГодина,MONTH(МарНед1+2)=3),МарНед1+2,""))</f>
        <v/>
      </c>
      <c r="E14" s="25" t="str">
        <f>IF(DAY(МарНед1)=1,"",IF(AND(YEAR(МарНед1+3)=КалендарнаГодина,MONTH(МарНед1+3)=3),МарНед1+3,""))</f>
        <v/>
      </c>
      <c r="F14" s="25" t="str">
        <f>IF(DAY(МарНед1)=1,"",IF(AND(YEAR(МарНед1+4)=КалендарнаГодина,MONTH(МарНед1+4)=3),МарНед1+4,""))</f>
        <v/>
      </c>
      <c r="G14" s="25" t="str">
        <f>IF(DAY(МарНед1)=1,"",IF(AND(YEAR(МарНед1+5)=КалендарнаГодина,MONTH(МарНед1+5)=3),МарНед1+5,""))</f>
        <v/>
      </c>
      <c r="H14" s="25" t="str">
        <f>IF(DAY(МарНед1)=1,"",IF(AND(YEAR(МарНед1+6)=КалендарнаГодина,MONTH(МарНед1+6)=3),МарНед1+6,""))</f>
        <v/>
      </c>
      <c r="I14" s="25">
        <f>IF(DAY(МарНед1)=1,IF(AND(YEAR(МарНед1)=КалендарнаГодина,MONTH(МарНед1)=3),МарНед1,""),IF(AND(YEAR(МарНед1+7)=КалендарнаГодина,MONTH(МарНед1+7)=3),МарНед1+7,""))</f>
        <v>43891</v>
      </c>
      <c r="J14" s="21"/>
      <c r="K14" s="25" t="str">
        <f>IF(DAY(АпрНед1)=1,"",IF(AND(YEAR(АпрНед1+1)=КалендарнаГодина,MONTH(АпрНед1+1)=4),АпрНед1+1,""))</f>
        <v/>
      </c>
      <c r="L14" s="25" t="str">
        <f>IF(DAY(АпрНед1)=1,"",IF(AND(YEAR(АпрНед1+2)=КалендарнаГодина,MONTH(АпрНед1+2)=4),АпрНед1+2,""))</f>
        <v/>
      </c>
      <c r="M14" s="25">
        <f>IF(DAY(АпрНед1)=1,"",IF(AND(YEAR(АпрНед1+3)=КалендарнаГодина,MONTH(АпрНед1+3)=4),АпрНед1+3,""))</f>
        <v>43922</v>
      </c>
      <c r="N14" s="25">
        <f>IF(DAY(АпрНед1)=1,"",IF(AND(YEAR(АпрНед1+4)=КалендарнаГодина,MONTH(АпрНед1+4)=4),АпрНед1+4,""))</f>
        <v>43923</v>
      </c>
      <c r="O14" s="25">
        <f>IF(DAY(АпрНед1)=1,"",IF(AND(YEAR(АпрНед1+5)=КалендарнаГодина,MONTH(АпрНед1+5)=4),АпрНед1+5,""))</f>
        <v>43924</v>
      </c>
      <c r="P14" s="25">
        <f>IF(DAY(АпрНед1)=1,"",IF(AND(YEAR(АпрНед1+6)=КалендарнаГодина,MONTH(АпрНед1+6)=4),АпрНед1+6,""))</f>
        <v>43925</v>
      </c>
      <c r="Q14" s="25">
        <f>IF(DAY(АпрНед1)=1,IF(AND(YEAR(АпрНед1)=КалендарнаГодина,MONTH(АпрНед1)=4),АпрНед1,""),IF(AND(YEAR(АпрНед1+7)=КалендарнаГодина,MONTH(АпрНед1+7)=4),АпрНед1+7,""))</f>
        <v>43926</v>
      </c>
      <c r="S14" s="23"/>
      <c r="U14" s="2"/>
      <c r="V14" s="26"/>
      <c r="W14" s="26"/>
    </row>
    <row r="15" spans="1:23" ht="15" customHeight="1" x14ac:dyDescent="0.2">
      <c r="A15" s="18"/>
      <c r="C15" s="25">
        <f>IF(DAY(МарНед1)=1,IF(AND(YEAR(МарНед1+1)=КалендарнаГодина,MONTH(МарНед1+1)=3),МарНед1+1,""),IF(AND(YEAR(МарНед1+8)=КалендарнаГодина,MONTH(МарНед1+8)=3),МарНед1+8,""))</f>
        <v>43892</v>
      </c>
      <c r="D15" s="25">
        <f>IF(DAY(МарНед1)=1,IF(AND(YEAR(МарНед1+2)=КалендарнаГодина,MONTH(МарНед1+2)=3),МарНед1+2,""),IF(AND(YEAR(МарНед1+9)=КалендарнаГодина,MONTH(МарНед1+9)=3),МарНед1+9,""))</f>
        <v>43893</v>
      </c>
      <c r="E15" s="25">
        <f>IF(DAY(МарНед1)=1,IF(AND(YEAR(МарНед1+3)=КалендарнаГодина,MONTH(МарНед1+3)=3),МарНед1+3,""),IF(AND(YEAR(МарНед1+10)=КалендарнаГодина,MONTH(МарНед1+10)=3),МарНед1+10,""))</f>
        <v>43894</v>
      </c>
      <c r="F15" s="25">
        <f>IF(DAY(МарНед1)=1,IF(AND(YEAR(МарНед1+4)=КалендарнаГодина,MONTH(МарНед1+4)=3),МарНед1+4,""),IF(AND(YEAR(МарНед1+11)=КалендарнаГодина,MONTH(МарНед1+11)=3),МарНед1+11,""))</f>
        <v>43895</v>
      </c>
      <c r="G15" s="25">
        <f>IF(DAY(МарНед1)=1,IF(AND(YEAR(МарНед1+5)=КалендарнаГодина,MONTH(МарНед1+5)=3),МарНед1+5,""),IF(AND(YEAR(МарНед1+12)=КалендарнаГодина,MONTH(МарНед1+12)=3),МарНед1+12,""))</f>
        <v>43896</v>
      </c>
      <c r="H15" s="25">
        <f>IF(DAY(МарНед1)=1,IF(AND(YEAR(МарНед1+6)=КалендарнаГодина,MONTH(МарНед1+6)=3),МарНед1+6,""),IF(AND(YEAR(МарНед1+13)=КалендарнаГодина,MONTH(МарНед1+13)=3),МарНед1+13,""))</f>
        <v>43897</v>
      </c>
      <c r="I15" s="25">
        <f>IF(DAY(МарНед1)=1,IF(AND(YEAR(МарНед1+7)=КалендарнаГодина,MONTH(МарНед1+7)=3),МарНед1+7,""),IF(AND(YEAR(МарНед1+14)=КалендарнаГодина,MONTH(МарНед1+14)=3),МарНед1+14,""))</f>
        <v>43898</v>
      </c>
      <c r="J15" s="21"/>
      <c r="K15" s="25">
        <f>IF(DAY(АпрНед1)=1,IF(AND(YEAR(АпрНед1+1)=КалендарнаГодина,MONTH(АпрНед1+1)=4),АпрНед1+1,""),IF(AND(YEAR(АпрНед1+8)=КалендарнаГодина,MONTH(АпрНед1+8)=4),АпрНед1+8,""))</f>
        <v>43927</v>
      </c>
      <c r="L15" s="25">
        <f>IF(DAY(АпрНед1)=1,IF(AND(YEAR(АпрНед1+2)=КалендарнаГодина,MONTH(АпрНед1+2)=4),АпрНед1+2,""),IF(AND(YEAR(АпрНед1+9)=КалендарнаГодина,MONTH(АпрНед1+9)=4),АпрНед1+9,""))</f>
        <v>43928</v>
      </c>
      <c r="M15" s="25">
        <f>IF(DAY(АпрНед1)=1,IF(AND(YEAR(АпрНед1+3)=КалендарнаГодина,MONTH(АпрНед1+3)=4),АпрНед1+3,""),IF(AND(YEAR(АпрНед1+10)=КалендарнаГодина,MONTH(АпрНед1+10)=4),АпрНед1+10,""))</f>
        <v>43929</v>
      </c>
      <c r="N15" s="25">
        <f>IF(DAY(АпрНед1)=1,IF(AND(YEAR(АпрНед1+4)=КалендарнаГодина,MONTH(АпрНед1+4)=4),АпрНед1+4,""),IF(AND(YEAR(АпрНед1+11)=КалендарнаГодина,MONTH(АпрНед1+11)=4),АпрНед1+11,""))</f>
        <v>43930</v>
      </c>
      <c r="O15" s="25">
        <f>IF(DAY(АпрНед1)=1,IF(AND(YEAR(АпрНед1+5)=КалендарнаГодина,MONTH(АпрНед1+5)=4),АпрНед1+5,""),IF(AND(YEAR(АпрНед1+12)=КалендарнаГодина,MONTH(АпрНед1+12)=4),АпрНед1+12,""))</f>
        <v>43931</v>
      </c>
      <c r="P15" s="25">
        <f>IF(DAY(АпрНед1)=1,IF(AND(YEAR(АпрНед1+6)=КалендарнаГодина,MONTH(АпрНед1+6)=4),АпрНед1+6,""),IF(AND(YEAR(АпрНед1+13)=КалендарнаГодина,MONTH(АпрНед1+13)=4),АпрНед1+13,""))</f>
        <v>43932</v>
      </c>
      <c r="Q15" s="25">
        <f>IF(DAY(АпрНед1)=1,IF(AND(YEAR(АпрНед1+7)=КалендарнаГодина,MONTH(АпрНед1+7)=4),АпрНед1+7,""),IF(AND(YEAR(АпрНед1+14)=КалендарнаГодина,MONTH(АпрНед1+14)=4),АпрНед1+14,""))</f>
        <v>43933</v>
      </c>
      <c r="S15" s="23"/>
      <c r="U15" s="10"/>
      <c r="V15" s="26"/>
      <c r="W15" s="26"/>
    </row>
    <row r="16" spans="1:23" ht="15" customHeight="1" x14ac:dyDescent="0.2">
      <c r="C16" s="25">
        <f>IF(DAY(МарНед1)=1,IF(AND(YEAR(МарНед1+8)=КалендарнаГодина,MONTH(МарНед1+8)=3),МарНед1+8,""),IF(AND(YEAR(МарНед1+15)=КалендарнаГодина,MONTH(МарНед1+15)=3),МарНед1+15,""))</f>
        <v>43899</v>
      </c>
      <c r="D16" s="25">
        <f>IF(DAY(МарНед1)=1,IF(AND(YEAR(МарНед1+9)=КалендарнаГодина,MONTH(МарНед1+9)=3),МарНед1+9,""),IF(AND(YEAR(МарНед1+16)=КалендарнаГодина,MONTH(МарНед1+16)=3),МарНед1+16,""))</f>
        <v>43900</v>
      </c>
      <c r="E16" s="25">
        <f>IF(DAY(МарНед1)=1,IF(AND(YEAR(МарНед1+10)=КалендарнаГодина,MONTH(МарНед1+10)=3),МарНед1+10,""),IF(AND(YEAR(МарНед1+17)=КалендарнаГодина,MONTH(МарНед1+17)=3),МарНед1+17,""))</f>
        <v>43901</v>
      </c>
      <c r="F16" s="25">
        <f>IF(DAY(МарНед1)=1,IF(AND(YEAR(МарНед1+11)=КалендарнаГодина,MONTH(МарНед1+11)=3),МарНед1+11,""),IF(AND(YEAR(МарНед1+18)=КалендарнаГодина,MONTH(МарНед1+18)=3),МарНед1+18,""))</f>
        <v>43902</v>
      </c>
      <c r="G16" s="25">
        <f>IF(DAY(МарНед1)=1,IF(AND(YEAR(МарНед1+12)=КалендарнаГодина,MONTH(МарНед1+12)=3),МарНед1+12,""),IF(AND(YEAR(МарНед1+19)=КалендарнаГодина,MONTH(МарНед1+19)=3),МарНед1+19,""))</f>
        <v>43903</v>
      </c>
      <c r="H16" s="25">
        <f>IF(DAY(МарНед1)=1,IF(AND(YEAR(МарНед1+13)=КалендарнаГодина,MONTH(МарНед1+13)=3),МарНед1+13,""),IF(AND(YEAR(МарНед1+20)=КалендарнаГодина,MONTH(МарНед1+20)=3),МарНед1+20,""))</f>
        <v>43904</v>
      </c>
      <c r="I16" s="25">
        <f>IF(DAY(МарНед1)=1,IF(AND(YEAR(МарНед1+14)=КалендарнаГодина,MONTH(МарНед1+14)=3),МарНед1+14,""),IF(AND(YEAR(МарНед1+21)=КалендарнаГодина,MONTH(МарНед1+21)=3),МарНед1+21,""))</f>
        <v>43905</v>
      </c>
      <c r="J16" s="21"/>
      <c r="K16" s="25">
        <f>IF(DAY(АпрНед1)=1,IF(AND(YEAR(АпрНед1+8)=КалендарнаГодина,MONTH(АпрНед1+8)=4),АпрНед1+8,""),IF(AND(YEAR(АпрНед1+15)=КалендарнаГодина,MONTH(АпрНед1+15)=4),АпрНед1+15,""))</f>
        <v>43934</v>
      </c>
      <c r="L16" s="25">
        <f>IF(DAY(АпрНед1)=1,IF(AND(YEAR(АпрНед1+9)=КалендарнаГодина,MONTH(АпрНед1+9)=4),АпрНед1+9,""),IF(AND(YEAR(АпрНед1+16)=КалендарнаГодина,MONTH(АпрНед1+16)=4),АпрНед1+16,""))</f>
        <v>43935</v>
      </c>
      <c r="M16" s="25">
        <f>IF(DAY(АпрНед1)=1,IF(AND(YEAR(АпрНед1+10)=КалендарнаГодина,MONTH(АпрНед1+10)=4),АпрНед1+10,""),IF(AND(YEAR(АпрНед1+17)=КалендарнаГодина,MONTH(АпрНед1+17)=4),АпрНед1+17,""))</f>
        <v>43936</v>
      </c>
      <c r="N16" s="25">
        <f>IF(DAY(АпрНед1)=1,IF(AND(YEAR(АпрНед1+11)=КалендарнаГодина,MONTH(АпрНед1+11)=4),АпрНед1+11,""),IF(AND(YEAR(АпрНед1+18)=КалендарнаГодина,MONTH(АпрНед1+18)=4),АпрНед1+18,""))</f>
        <v>43937</v>
      </c>
      <c r="O16" s="25">
        <f>IF(DAY(АпрНед1)=1,IF(AND(YEAR(АпрНед1+12)=КалендарнаГодина,MONTH(АпрНед1+12)=4),АпрНед1+12,""),IF(AND(YEAR(АпрНед1+19)=КалендарнаГодина,MONTH(АпрНед1+19)=4),АпрНед1+19,""))</f>
        <v>43938</v>
      </c>
      <c r="P16" s="25">
        <f>IF(DAY(АпрНед1)=1,IF(AND(YEAR(АпрНед1+13)=КалендарнаГодина,MONTH(АпрНед1+13)=4),АпрНед1+13,""),IF(AND(YEAR(АпрНед1+20)=КалендарнаГодина,MONTH(АпрНед1+20)=4),АпрНед1+20,""))</f>
        <v>43939</v>
      </c>
      <c r="Q16" s="25">
        <f>IF(DAY(АпрНед1)=1,IF(AND(YEAR(АпрНед1+14)=КалендарнаГодина,MONTH(АпрНед1+14)=4),АпрНед1+14,""),IF(AND(YEAR(АпрНед1+21)=КалендарнаГодина,MONTH(АпрНед1+21)=4),АпрНед1+21,""))</f>
        <v>43940</v>
      </c>
      <c r="S16" s="23"/>
      <c r="U16" s="3"/>
      <c r="V16" s="26"/>
      <c r="W16" s="26"/>
    </row>
    <row r="17" spans="1:23" ht="15" customHeight="1" x14ac:dyDescent="0.2">
      <c r="C17" s="25">
        <f>IF(DAY(МарНед1)=1,IF(AND(YEAR(МарНед1+15)=КалендарнаГодина,MONTH(МарНед1+15)=3),МарНед1+15,""),IF(AND(YEAR(МарНед1+22)=КалендарнаГодина,MONTH(МарНед1+22)=3),МарНед1+22,""))</f>
        <v>43906</v>
      </c>
      <c r="D17" s="25">
        <f>IF(DAY(МарНед1)=1,IF(AND(YEAR(МарНед1+16)=КалендарнаГодина,MONTH(МарНед1+16)=3),МарНед1+16,""),IF(AND(YEAR(МарНед1+23)=КалендарнаГодина,MONTH(МарНед1+23)=3),МарНед1+23,""))</f>
        <v>43907</v>
      </c>
      <c r="E17" s="25">
        <f>IF(DAY(МарНед1)=1,IF(AND(YEAR(МарНед1+17)=КалендарнаГодина,MONTH(МарНед1+17)=3),МарНед1+17,""),IF(AND(YEAR(МарНед1+24)=КалендарнаГодина,MONTH(МарНед1+24)=3),МарНед1+24,""))</f>
        <v>43908</v>
      </c>
      <c r="F17" s="25">
        <f>IF(DAY(МарНед1)=1,IF(AND(YEAR(МарНед1+18)=КалендарнаГодина,MONTH(МарНед1+18)=3),МарНед1+18,""),IF(AND(YEAR(МарНед1+25)=КалендарнаГодина,MONTH(МарНед1+25)=3),МарНед1+25,""))</f>
        <v>43909</v>
      </c>
      <c r="G17" s="25">
        <f>IF(DAY(МарНед1)=1,IF(AND(YEAR(МарНед1+19)=КалендарнаГодина,MONTH(МарНед1+19)=3),МарНед1+19,""),IF(AND(YEAR(МарНед1+26)=КалендарнаГодина,MONTH(МарНед1+26)=3),МарНед1+26,""))</f>
        <v>43910</v>
      </c>
      <c r="H17" s="25">
        <f>IF(DAY(МарНед1)=1,IF(AND(YEAR(МарНед1+20)=КалендарнаГодина,MONTH(МарНед1+20)=3),МарНед1+20,""),IF(AND(YEAR(МарНед1+27)=КалендарнаГодина,MONTH(МарНед1+27)=3),МарНед1+27,""))</f>
        <v>43911</v>
      </c>
      <c r="I17" s="25">
        <f>IF(DAY(МарНед1)=1,IF(AND(YEAR(МарНед1+21)=КалендарнаГодина,MONTH(МарНед1+21)=3),МарНед1+21,""),IF(AND(YEAR(МарНед1+28)=КалендарнаГодина,MONTH(МарНед1+28)=3),МарНед1+28,""))</f>
        <v>43912</v>
      </c>
      <c r="J17" s="21"/>
      <c r="K17" s="25">
        <f>IF(DAY(АпрНед1)=1,IF(AND(YEAR(АпрНед1+15)=КалендарнаГодина,MONTH(АпрНед1+15)=4),АпрНед1+15,""),IF(AND(YEAR(АпрНед1+22)=КалендарнаГодина,MONTH(АпрНед1+22)=4),АпрНед1+22,""))</f>
        <v>43941</v>
      </c>
      <c r="L17" s="25">
        <f>IF(DAY(АпрНед1)=1,IF(AND(YEAR(АпрНед1+16)=КалендарнаГодина,MONTH(АпрНед1+16)=4),АпрНед1+16,""),IF(AND(YEAR(АпрНед1+23)=КалендарнаГодина,MONTH(АпрНед1+23)=4),АпрНед1+23,""))</f>
        <v>43942</v>
      </c>
      <c r="M17" s="25">
        <f>IF(DAY(АпрНед1)=1,IF(AND(YEAR(АпрНед1+17)=КалендарнаГодина,MONTH(АпрНед1+17)=4),АпрНед1+17,""),IF(AND(YEAR(АпрНед1+24)=КалендарнаГодина,MONTH(АпрНед1+24)=4),АпрНед1+24,""))</f>
        <v>43943</v>
      </c>
      <c r="N17" s="25">
        <f>IF(DAY(АпрНед1)=1,IF(AND(YEAR(АпрНед1+18)=КалендарнаГодина,MONTH(АпрНед1+18)=4),АпрНед1+18,""),IF(AND(YEAR(АпрНед1+25)=КалендарнаГодина,MONTH(АпрНед1+25)=4),АпрНед1+25,""))</f>
        <v>43944</v>
      </c>
      <c r="O17" s="25">
        <f>IF(DAY(АпрНед1)=1,IF(AND(YEAR(АпрНед1+19)=КалендарнаГодина,MONTH(АпрНед1+19)=4),АпрНед1+19,""),IF(AND(YEAR(АпрНед1+26)=КалендарнаГодина,MONTH(АпрНед1+26)=4),АпрНед1+26,""))</f>
        <v>43945</v>
      </c>
      <c r="P17" s="25">
        <f>IF(DAY(АпрНед1)=1,IF(AND(YEAR(АпрНед1+20)=КалендарнаГодина,MONTH(АпрНед1+20)=4),АпрНед1+20,""),IF(AND(YEAR(АпрНед1+27)=КалендарнаГодина,MONTH(АпрНед1+27)=4),АпрНед1+27,""))</f>
        <v>43946</v>
      </c>
      <c r="Q17" s="25">
        <f>IF(DAY(АпрНед1)=1,IF(AND(YEAR(АпрНед1+21)=КалендарнаГодина,MONTH(АпрНед1+21)=4),АпрНед1+21,""),IF(AND(YEAR(АпрНед1+28)=КалендарнаГодина,MONTH(АпрНед1+28)=4),АпрНед1+28,""))</f>
        <v>43947</v>
      </c>
      <c r="S17" s="23"/>
      <c r="U17" s="2"/>
      <c r="V17" s="26"/>
      <c r="W17" s="26"/>
    </row>
    <row r="18" spans="1:23" ht="15" customHeight="1" x14ac:dyDescent="0.2">
      <c r="C18" s="25">
        <f>IF(DAY(МарНед1)=1,IF(AND(YEAR(МарНед1+22)=КалендарнаГодина,MONTH(МарНед1+22)=3),МарНед1+22,""),IF(AND(YEAR(МарНед1+29)=КалендарнаГодина,MONTH(МарНед1+29)=3),МарНед1+29,""))</f>
        <v>43913</v>
      </c>
      <c r="D18" s="25">
        <f>IF(DAY(МарНед1)=1,IF(AND(YEAR(МарНед1+23)=КалендарнаГодина,MONTH(МарНед1+23)=3),МарНед1+23,""),IF(AND(YEAR(МарНед1+30)=КалендарнаГодина,MONTH(МарНед1+30)=3),МарНед1+30,""))</f>
        <v>43914</v>
      </c>
      <c r="E18" s="25">
        <f>IF(DAY(МарНед1)=1,IF(AND(YEAR(МарНед1+24)=КалендарнаГодина,MONTH(МарНед1+24)=3),МарНед1+24,""),IF(AND(YEAR(МарНед1+31)=КалендарнаГодина,MONTH(МарНед1+31)=3),МарНед1+31,""))</f>
        <v>43915</v>
      </c>
      <c r="F18" s="25">
        <f>IF(DAY(МарНед1)=1,IF(AND(YEAR(МарНед1+25)=КалендарнаГодина,MONTH(МарНед1+25)=3),МарНед1+25,""),IF(AND(YEAR(МарНед1+32)=КалендарнаГодина,MONTH(МарНед1+32)=3),МарНед1+32,""))</f>
        <v>43916</v>
      </c>
      <c r="G18" s="25">
        <f>IF(DAY(МарНед1)=1,IF(AND(YEAR(МарНед1+26)=КалендарнаГодина,MONTH(МарНед1+26)=3),МарНед1+26,""),IF(AND(YEAR(МарНед1+33)=КалендарнаГодина,MONTH(МарНед1+33)=3),МарНед1+33,""))</f>
        <v>43917</v>
      </c>
      <c r="H18" s="25">
        <f>IF(DAY(МарНед1)=1,IF(AND(YEAR(МарНед1+27)=КалендарнаГодина,MONTH(МарНед1+27)=3),МарНед1+27,""),IF(AND(YEAR(МарНед1+34)=КалендарнаГодина,MONTH(МарНед1+34)=3),МарНед1+34,""))</f>
        <v>43918</v>
      </c>
      <c r="I18" s="25">
        <f>IF(DAY(МарНед1)=1,IF(AND(YEAR(МарНед1+28)=КалендарнаГодина,MONTH(МарНед1+28)=3),МарНед1+28,""),IF(AND(YEAR(МарНед1+35)=КалендарнаГодина,MONTH(МарНед1+35)=3),МарНед1+35,""))</f>
        <v>43919</v>
      </c>
      <c r="J18" s="21"/>
      <c r="K18" s="25">
        <f>IF(DAY(АпрНед1)=1,IF(AND(YEAR(АпрНед1+22)=КалендарнаГодина,MONTH(АпрНед1+22)=4),АпрНед1+22,""),IF(AND(YEAR(АпрНед1+29)=КалендарнаГодина,MONTH(АпрНед1+29)=4),АпрНед1+29,""))</f>
        <v>43948</v>
      </c>
      <c r="L18" s="25">
        <f>IF(DAY(АпрНед1)=1,IF(AND(YEAR(АпрНед1+23)=КалендарнаГодина,MONTH(АпрНед1+23)=4),АпрНед1+23,""),IF(AND(YEAR(АпрНед1+30)=КалендарнаГодина,MONTH(АпрНед1+30)=4),АпрНед1+30,""))</f>
        <v>43949</v>
      </c>
      <c r="M18" s="25">
        <f>IF(DAY(АпрНед1)=1,IF(AND(YEAR(АпрНед1+24)=КалендарнаГодина,MONTH(АпрНед1+24)=4),АпрНед1+24,""),IF(AND(YEAR(АпрНед1+31)=КалендарнаГодина,MONTH(АпрНед1+31)=4),АпрНед1+31,""))</f>
        <v>43950</v>
      </c>
      <c r="N18" s="25">
        <f>IF(DAY(АпрНед1)=1,IF(AND(YEAR(АпрНед1+25)=КалендарнаГодина,MONTH(АпрНед1+25)=4),АпрНед1+25,""),IF(AND(YEAR(АпрНед1+32)=КалендарнаГодина,MONTH(АпрНед1+32)=4),АпрНед1+32,""))</f>
        <v>43951</v>
      </c>
      <c r="O18" s="25" t="str">
        <f>IF(DAY(АпрНед1)=1,IF(AND(YEAR(АпрНед1+26)=КалендарнаГодина,MONTH(АпрНед1+26)=4),АпрНед1+26,""),IF(AND(YEAR(АпрНед1+33)=КалендарнаГодина,MONTH(АпрНед1+33)=4),АпрНед1+33,""))</f>
        <v/>
      </c>
      <c r="P18" s="25" t="str">
        <f>IF(DAY(АпрНед1)=1,IF(AND(YEAR(АпрНед1+27)=КалендарнаГодина,MONTH(АпрНед1+27)=4),АпрНед1+27,""),IF(AND(YEAR(АпрНед1+34)=КалендарнаГодина,MONTH(АпрНед1+34)=4),АпрНед1+34,""))</f>
        <v/>
      </c>
      <c r="Q18" s="25" t="str">
        <f>IF(DAY(АпрНед1)=1,IF(AND(YEAR(АпрНед1+28)=КалендарнаГодина,MONTH(АпрНед1+28)=4),АпрНед1+28,""),IF(AND(YEAR(АпрНед1+35)=КалендарнаГодина,MONTH(АпрНед1+35)=4),АпрНед1+35,""))</f>
        <v/>
      </c>
      <c r="S18" s="23"/>
      <c r="U18" s="10"/>
      <c r="V18" s="26"/>
      <c r="W18" s="26"/>
    </row>
    <row r="19" spans="1:23" ht="15" customHeight="1" x14ac:dyDescent="0.2">
      <c r="C19" s="25">
        <f>IF(DAY(МарНед1)=1,IF(AND(YEAR(МарНед1+29)=КалендарнаГодина,MONTH(МарНед1+29)=3),МарНед1+29,""),IF(AND(YEAR(МарНед1+36)=КалендарнаГодина,MONTH(МарНед1+36)=3),МарНед1+36,""))</f>
        <v>43920</v>
      </c>
      <c r="D19" s="25">
        <f>IF(DAY(МарНед1)=1,IF(AND(YEAR(МарНед1+30)=КалендарнаГодина,MONTH(МарНед1+30)=3),МарНед1+30,""),IF(AND(YEAR(МарНед1+37)=КалендарнаГодина,MONTH(МарНед1+37)=3),МарНед1+37,""))</f>
        <v>43921</v>
      </c>
      <c r="E19" s="25" t="str">
        <f>IF(DAY(МарНед1)=1,IF(AND(YEAR(МарНед1+31)=КалендарнаГодина,MONTH(МарНед1+31)=3),МарНед1+31,""),IF(AND(YEAR(МарНед1+38)=КалендарнаГодина,MONTH(МарНед1+38)=3),МарНед1+38,""))</f>
        <v/>
      </c>
      <c r="F19" s="25" t="str">
        <f>IF(DAY(МарНед1)=1,IF(AND(YEAR(МарНед1+32)=КалендарнаГодина,MONTH(МарНед1+32)=3),МарНед1+32,""),IF(AND(YEAR(МарНед1+39)=КалендарнаГодина,MONTH(МарНед1+39)=3),МарНед1+39,""))</f>
        <v/>
      </c>
      <c r="G19" s="25" t="str">
        <f>IF(DAY(МарНед1)=1,IF(AND(YEAR(МарНед1+33)=КалендарнаГодина,MONTH(МарНед1+33)=3),МарНед1+33,""),IF(AND(YEAR(МарНед1+40)=КалендарнаГодина,MONTH(МарНед1+40)=3),МарНед1+40,""))</f>
        <v/>
      </c>
      <c r="H19" s="25" t="str">
        <f>IF(DAY(МарНед1)=1,IF(AND(YEAR(МарНед1+34)=КалендарнаГодина,MONTH(МарНед1+34)=3),МарНед1+34,""),IF(AND(YEAR(МарНед1+41)=КалендарнаГодина,MONTH(МарНед1+41)=3),МарНед1+41,""))</f>
        <v/>
      </c>
      <c r="I19" s="25" t="str">
        <f>IF(DAY(МарНед1)=1,IF(AND(YEAR(МарНед1+35)=КалендарнаГодина,MONTH(МарНед1+35)=3),МарНед1+35,""),IF(AND(YEAR(МарНед1+42)=КалендарнаГодина,MONTH(МарНед1+42)=3),МарНед1+42,""))</f>
        <v/>
      </c>
      <c r="J19" s="21"/>
      <c r="K19" s="25" t="str">
        <f>IF(DAY(АпрНед1)=1,IF(AND(YEAR(АпрНед1+29)=КалендарнаГодина,MONTH(АпрНед1+29)=4),АпрНед1+29,""),IF(AND(YEAR(АпрНед1+36)=КалендарнаГодина,MONTH(АпрНед1+36)=4),АпрНед1+36,""))</f>
        <v/>
      </c>
      <c r="L19" s="25" t="str">
        <f>IF(DAY(АпрНед1)=1,IF(AND(YEAR(АпрНед1+30)=КалендарнаГодина,MONTH(АпрНед1+30)=4),АпрНед1+30,""),IF(AND(YEAR(АпрНед1+37)=КалендарнаГодина,MONTH(АпрНед1+37)=4),АпрНед1+37,""))</f>
        <v/>
      </c>
      <c r="M19" s="25" t="str">
        <f>IF(DAY(АпрНед1)=1,IF(AND(YEAR(АпрНед1+31)=КалендарнаГодина,MONTH(АпрНед1+31)=4),АпрНед1+31,""),IF(AND(YEAR(АпрНед1+38)=КалендарнаГодина,MONTH(АпрНед1+38)=4),АпрНед1+38,""))</f>
        <v/>
      </c>
      <c r="N19" s="25" t="str">
        <f>IF(DAY(АпрНед1)=1,IF(AND(YEAR(АпрНед1+32)=КалендарнаГодина,MONTH(АпрНед1+32)=4),АпрНед1+32,""),IF(AND(YEAR(АпрНед1+39)=КалендарнаГодина,MONTH(АпрНед1+39)=4),АпрНед1+39,""))</f>
        <v/>
      </c>
      <c r="O19" s="25" t="str">
        <f>IF(DAY(АпрНед1)=1,IF(AND(YEAR(АпрНед1+33)=КалендарнаГодина,MONTH(АпрНед1+33)=4),АпрНед1+33,""),IF(AND(YEAR(АпрНед1+40)=КалендарнаГодина,MONTH(АпрНед1+40)=4),АпрНед1+40,""))</f>
        <v/>
      </c>
      <c r="P19" s="25" t="str">
        <f>IF(DAY(АпрНед1)=1,IF(AND(YEAR(АпрНед1+34)=КалендарнаГодина,MONTH(АпрНед1+34)=4),АпрНед1+34,""),IF(AND(YEAR(АпрНед1+41)=КалендарнаГодина,MONTH(АпрНед1+41)=4),АпрНед1+41,""))</f>
        <v/>
      </c>
      <c r="Q19" s="25" t="str">
        <f>IF(DAY(АпрНед1)=1,IF(AND(YEAR(АпрНед1+35)=КалендарнаГодина,MONTH(АпрНед1+35)=4),АпрНед1+35,""),IF(AND(YEAR(АпрНед1+42)=КалендарнаГодина,MONTH(АпрНед1+42)=4),АпрНед1+42,""))</f>
        <v/>
      </c>
      <c r="S19" s="23"/>
      <c r="U19" s="3"/>
      <c r="V19" s="26"/>
      <c r="W19" s="26"/>
    </row>
    <row r="20" spans="1:23" ht="15" customHeight="1" x14ac:dyDescent="0.2">
      <c r="J20" s="21"/>
      <c r="S20" s="23"/>
      <c r="U20" s="2"/>
      <c r="V20" s="26"/>
      <c r="W20" s="26"/>
    </row>
    <row r="21" spans="1:23" ht="15" customHeight="1" x14ac:dyDescent="0.2">
      <c r="A21" s="18" t="s">
        <v>12</v>
      </c>
      <c r="C21" s="27" t="s">
        <v>28</v>
      </c>
      <c r="D21" s="27"/>
      <c r="E21" s="27"/>
      <c r="F21" s="27"/>
      <c r="G21" s="27"/>
      <c r="H21" s="27"/>
      <c r="I21" s="27"/>
      <c r="J21" s="21"/>
      <c r="K21" s="27" t="s">
        <v>40</v>
      </c>
      <c r="L21" s="27"/>
      <c r="M21" s="27"/>
      <c r="N21" s="27"/>
      <c r="O21" s="27"/>
      <c r="P21" s="27"/>
      <c r="Q21" s="27"/>
      <c r="S21" s="23"/>
      <c r="U21" s="10"/>
      <c r="V21" s="26"/>
      <c r="W21" s="26"/>
    </row>
    <row r="22" spans="1:23" ht="15" customHeight="1" x14ac:dyDescent="0.2">
      <c r="A22" s="18" t="s">
        <v>13</v>
      </c>
      <c r="C22" s="11" t="s">
        <v>26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K22" s="11" t="s">
        <v>26</v>
      </c>
      <c r="L22" s="11" t="s">
        <v>32</v>
      </c>
      <c r="M22" s="11" t="s">
        <v>33</v>
      </c>
      <c r="N22" s="11" t="s">
        <v>34</v>
      </c>
      <c r="O22" s="11" t="s">
        <v>35</v>
      </c>
      <c r="P22" s="11" t="s">
        <v>36</v>
      </c>
      <c r="Q22" s="11" t="s">
        <v>37</v>
      </c>
      <c r="S22" s="23"/>
      <c r="U22" s="3"/>
      <c r="V22" s="26"/>
      <c r="W22" s="26"/>
    </row>
    <row r="23" spans="1:23" ht="15" customHeight="1" x14ac:dyDescent="0.25">
      <c r="A23" s="18"/>
      <c r="C23" s="25" t="str">
        <f>IF(DAY(МайНед1)=1,"",IF(AND(YEAR(МайНед1+1)=КалендарнаГодина,MONTH(МайНед1+1)=5),МайНед1+1,""))</f>
        <v/>
      </c>
      <c r="D23" s="25" t="str">
        <f>IF(DAY(МайНед1)=1,"",IF(AND(YEAR(МайНед1+2)=КалендарнаГодина,MONTH(МайНед1+2)=5),МайНед1+2,""))</f>
        <v/>
      </c>
      <c r="E23" s="25" t="str">
        <f>IF(DAY(МайНед1)=1,"",IF(AND(YEAR(МайНед1+3)=КалендарнаГодина,MONTH(МайНед1+3)=5),МайНед1+3,""))</f>
        <v/>
      </c>
      <c r="F23" s="25" t="str">
        <f>IF(DAY(МайНед1)=1,"",IF(AND(YEAR(МайНед1+4)=КалендарнаГодина,MONTH(МайНед1+4)=5),МайНед1+4,""))</f>
        <v/>
      </c>
      <c r="G23" s="25">
        <f>IF(DAY(МайНед1)=1,"",IF(AND(YEAR(МайНед1+5)=КалендарнаГодина,MONTH(МайНед1+5)=5),МайНед1+5,""))</f>
        <v>43952</v>
      </c>
      <c r="H23" s="25">
        <f>IF(DAY(МайНед1)=1,"",IF(AND(YEAR(МайНед1+6)=КалендарнаГодина,MONTH(МайНед1+6)=5),МайНед1+6,""))</f>
        <v>43953</v>
      </c>
      <c r="I23" s="25">
        <f>IF(DAY(МайНед1)=1,IF(AND(YEAR(МайНед1)=КалендарнаГодина,MONTH(МайНед1)=5),МайНед1,""),IF(AND(YEAR(МайНед1+7)=КалендарнаГодина,MONTH(МайНед1+7)=5),МайНед1+7,""))</f>
        <v>43954</v>
      </c>
      <c r="J23" s="20"/>
      <c r="K23" s="25">
        <f>IF(DAY(ЮнНед1)=1,"",IF(AND(YEAR(ЮнНед1+1)=КалендарнаГодина,MONTH(ЮнНед1+1)=6),ЮнНед1+1,""))</f>
        <v>43983</v>
      </c>
      <c r="L23" s="25">
        <f>IF(DAY(ЮнНед1)=1,"",IF(AND(YEAR(ЮнНед1+2)=КалендарнаГодина,MONTH(ЮнНед1+2)=6),ЮнНед1+2,""))</f>
        <v>43984</v>
      </c>
      <c r="M23" s="25">
        <f>IF(DAY(ЮнНед1)=1,"",IF(AND(YEAR(ЮнНед1+3)=КалендарнаГодина,MONTH(ЮнНед1+3)=6),ЮнНед1+3,""))</f>
        <v>43985</v>
      </c>
      <c r="N23" s="25">
        <f>IF(DAY(ЮнНед1)=1,"",IF(AND(YEAR(ЮнНед1+4)=КалендарнаГодина,MONTH(ЮнНед1+4)=6),ЮнНед1+4,""))</f>
        <v>43986</v>
      </c>
      <c r="O23" s="25">
        <f>IF(DAY(ЮнНед1)=1,"",IF(AND(YEAR(ЮнНед1+5)=КалендарнаГодина,MONTH(ЮнНед1+5)=6),ЮнНед1+5,""))</f>
        <v>43987</v>
      </c>
      <c r="P23" s="25">
        <f>IF(DAY(ЮнНед1)=1,"",IF(AND(YEAR(ЮнНед1+6)=КалендарнаГодина,MONTH(ЮнНед1+6)=6),ЮнНед1+6,""))</f>
        <v>43988</v>
      </c>
      <c r="Q23" s="25">
        <f>IF(DAY(ЮнНед1)=1,IF(AND(YEAR(ЮнНед1)=КалендарнаГодина,MONTH(ЮнНед1)=6),ЮнНед1,""),IF(AND(YEAR(ЮнНед1+7)=КалендарнаГодина,MONTH(ЮнНед1+7)=6),ЮнНед1+7,""))</f>
        <v>43989</v>
      </c>
      <c r="S23" s="23"/>
      <c r="U23" s="2"/>
      <c r="V23" s="26"/>
      <c r="W23" s="26"/>
    </row>
    <row r="24" spans="1:23" ht="15" customHeight="1" x14ac:dyDescent="0.2">
      <c r="C24" s="25">
        <f>IF(DAY(МайНед1)=1,IF(AND(YEAR(МайНед1+1)=КалендарнаГодина,MONTH(МайНед1+1)=5),МайНед1+1,""),IF(AND(YEAR(МайНед1+8)=КалендарнаГодина,MONTH(МайНед1+8)=5),МайНед1+8,""))</f>
        <v>43955</v>
      </c>
      <c r="D24" s="25">
        <f>IF(DAY(МайНед1)=1,IF(AND(YEAR(МайНед1+2)=КалендарнаГодина,MONTH(МайНед1+2)=5),МайНед1+2,""),IF(AND(YEAR(МайНед1+9)=КалендарнаГодина,MONTH(МайНед1+9)=5),МайНед1+9,""))</f>
        <v>43956</v>
      </c>
      <c r="E24" s="25">
        <f>IF(DAY(МайНед1)=1,IF(AND(YEAR(МайНед1+3)=КалендарнаГодина,MONTH(МайНед1+3)=5),МайНед1+3,""),IF(AND(YEAR(МайНед1+10)=КалендарнаГодина,MONTH(МайНед1+10)=5),МайНед1+10,""))</f>
        <v>43957</v>
      </c>
      <c r="F24" s="25">
        <f>IF(DAY(МайНед1)=1,IF(AND(YEAR(МайНед1+4)=КалендарнаГодина,MONTH(МайНед1+4)=5),МайНед1+4,""),IF(AND(YEAR(МайНед1+11)=КалендарнаГодина,MONTH(МайНед1+11)=5),МайНед1+11,""))</f>
        <v>43958</v>
      </c>
      <c r="G24" s="25">
        <f>IF(DAY(МайНед1)=1,IF(AND(YEAR(МайНед1+5)=КалендарнаГодина,MONTH(МайНед1+5)=5),МайНед1+5,""),IF(AND(YEAR(МайНед1+12)=КалендарнаГодина,MONTH(МайНед1+12)=5),МайНед1+12,""))</f>
        <v>43959</v>
      </c>
      <c r="H24" s="25">
        <f>IF(DAY(МайНед1)=1,IF(AND(YEAR(МайНед1+6)=КалендарнаГодина,MONTH(МайНед1+6)=5),МайНед1+6,""),IF(AND(YEAR(МайНед1+13)=КалендарнаГодина,MONTH(МайНед1+13)=5),МайНед1+13,""))</f>
        <v>43960</v>
      </c>
      <c r="I24" s="25">
        <f>IF(DAY(МайНед1)=1,IF(AND(YEAR(МайНед1+7)=КалендарнаГодина,MONTH(МайНед1+7)=5),МайНед1+7,""),IF(AND(YEAR(МайНед1+14)=КалендарнаГодина,MONTH(МайНед1+14)=5),МайНед1+14,""))</f>
        <v>43961</v>
      </c>
      <c r="J24" s="21"/>
      <c r="K24" s="25">
        <f>IF(DAY(ЮнНед1)=1,IF(AND(YEAR(ЮнНед1+1)=КалендарнаГодина,MONTH(ЮнНед1+1)=6),ЮнНед1+1,""),IF(AND(YEAR(ЮнНед1+8)=КалендарнаГодина,MONTH(ЮнНед1+8)=6),ЮнНед1+8,""))</f>
        <v>43990</v>
      </c>
      <c r="L24" s="25">
        <f>IF(DAY(ЮнНед1)=1,IF(AND(YEAR(ЮнНед1+2)=КалендарнаГодина,MONTH(ЮнНед1+2)=6),ЮнНед1+2,""),IF(AND(YEAR(ЮнНед1+9)=КалендарнаГодина,MONTH(ЮнНед1+9)=6),ЮнНед1+9,""))</f>
        <v>43991</v>
      </c>
      <c r="M24" s="25">
        <f>IF(DAY(ЮнНед1)=1,IF(AND(YEAR(ЮнНед1+3)=КалендарнаГодина,MONTH(ЮнНед1+3)=6),ЮнНед1+3,""),IF(AND(YEAR(ЮнНед1+10)=КалендарнаГодина,MONTH(ЮнНед1+10)=6),ЮнНед1+10,""))</f>
        <v>43992</v>
      </c>
      <c r="N24" s="25">
        <f>IF(DAY(ЮнНед1)=1,IF(AND(YEAR(ЮнНед1+4)=КалендарнаГодина,MONTH(ЮнНед1+4)=6),ЮнНед1+4,""),IF(AND(YEAR(ЮнНед1+11)=КалендарнаГодина,MONTH(ЮнНед1+11)=6),ЮнНед1+11,""))</f>
        <v>43993</v>
      </c>
      <c r="O24" s="25">
        <f>IF(DAY(ЮнНед1)=1,IF(AND(YEAR(ЮнНед1+5)=КалендарнаГодина,MONTH(ЮнНед1+5)=6),ЮнНед1+5,""),IF(AND(YEAR(ЮнНед1+12)=КалендарнаГодина,MONTH(ЮнНед1+12)=6),ЮнНед1+12,""))</f>
        <v>43994</v>
      </c>
      <c r="P24" s="25">
        <f>IF(DAY(ЮнНед1)=1,IF(AND(YEAR(ЮнНед1+6)=КалендарнаГодина,MONTH(ЮнНед1+6)=6),ЮнНед1+6,""),IF(AND(YEAR(ЮнНед1+13)=КалендарнаГодина,MONTH(ЮнНед1+13)=6),ЮнНед1+13,""))</f>
        <v>43995</v>
      </c>
      <c r="Q24" s="25">
        <f>IF(DAY(ЮнНед1)=1,IF(AND(YEAR(ЮнНед1+7)=КалендарнаГодина,MONTH(ЮнНед1+7)=6),ЮнНед1+7,""),IF(AND(YEAR(ЮнНед1+14)=КалендарнаГодина,MONTH(ЮнНед1+14)=6),ЮнНед1+14,""))</f>
        <v>43996</v>
      </c>
      <c r="S24" s="23"/>
      <c r="U24" s="10"/>
      <c r="V24" s="26"/>
      <c r="W24" s="26"/>
    </row>
    <row r="25" spans="1:23" ht="15" customHeight="1" x14ac:dyDescent="0.2">
      <c r="C25" s="25">
        <f>IF(DAY(МайНед1)=1,IF(AND(YEAR(МайНед1+8)=КалендарнаГодина,MONTH(МайНед1+8)=5),МайНед1+8,""),IF(AND(YEAR(МайНед1+15)=КалендарнаГодина,MONTH(МайНед1+15)=5),МайНед1+15,""))</f>
        <v>43962</v>
      </c>
      <c r="D25" s="25">
        <f>IF(DAY(МайНед1)=1,IF(AND(YEAR(МайНед1+9)=КалендарнаГодина,MONTH(МайНед1+9)=5),МайНед1+9,""),IF(AND(YEAR(МайНед1+16)=КалендарнаГодина,MONTH(МайНед1+16)=5),МайНед1+16,""))</f>
        <v>43963</v>
      </c>
      <c r="E25" s="25">
        <f>IF(DAY(МайНед1)=1,IF(AND(YEAR(МайНед1+10)=КалендарнаГодина,MONTH(МайНед1+10)=5),МайНед1+10,""),IF(AND(YEAR(МайНед1+17)=КалендарнаГодина,MONTH(МайНед1+17)=5),МайНед1+17,""))</f>
        <v>43964</v>
      </c>
      <c r="F25" s="25">
        <f>IF(DAY(МайНед1)=1,IF(AND(YEAR(МайНед1+11)=КалендарнаГодина,MONTH(МайНед1+11)=5),МайНед1+11,""),IF(AND(YEAR(МайНед1+18)=КалендарнаГодина,MONTH(МайНед1+18)=5),МайНед1+18,""))</f>
        <v>43965</v>
      </c>
      <c r="G25" s="25">
        <f>IF(DAY(МайНед1)=1,IF(AND(YEAR(МайНед1+12)=КалендарнаГодина,MONTH(МайНед1+12)=5),МайНед1+12,""),IF(AND(YEAR(МайНед1+19)=КалендарнаГодина,MONTH(МайНед1+19)=5),МайНед1+19,""))</f>
        <v>43966</v>
      </c>
      <c r="H25" s="25">
        <f>IF(DAY(МайНед1)=1,IF(AND(YEAR(МайНед1+13)=КалендарнаГодина,MONTH(МайНед1+13)=5),МайНед1+13,""),IF(AND(YEAR(МайНед1+20)=КалендарнаГодина,MONTH(МайНед1+20)=5),МайНед1+20,""))</f>
        <v>43967</v>
      </c>
      <c r="I25" s="25">
        <f>IF(DAY(МайНед1)=1,IF(AND(YEAR(МайНед1+14)=КалендарнаГодина,MONTH(МайНед1+14)=5),МайНед1+14,""),IF(AND(YEAR(МайНед1+21)=КалендарнаГодина,MONTH(МайНед1+21)=5),МайНед1+21,""))</f>
        <v>43968</v>
      </c>
      <c r="J25" s="21"/>
      <c r="K25" s="25">
        <f>IF(DAY(ЮнНед1)=1,IF(AND(YEAR(ЮнНед1+8)=КалендарнаГодина,MONTH(ЮнНед1+8)=6),ЮнНед1+8,""),IF(AND(YEAR(ЮнНед1+15)=КалендарнаГодина,MONTH(ЮнНед1+15)=6),ЮнНед1+15,""))</f>
        <v>43997</v>
      </c>
      <c r="L25" s="25">
        <f>IF(DAY(ЮнНед1)=1,IF(AND(YEAR(ЮнНед1+9)=КалендарнаГодина,MONTH(ЮнНед1+9)=6),ЮнНед1+9,""),IF(AND(YEAR(ЮнНед1+16)=КалендарнаГодина,MONTH(ЮнНед1+16)=6),ЮнНед1+16,""))</f>
        <v>43998</v>
      </c>
      <c r="M25" s="25">
        <f>IF(DAY(ЮнНед1)=1,IF(AND(YEAR(ЮнНед1+10)=КалендарнаГодина,MONTH(ЮнНед1+10)=6),ЮнНед1+10,""),IF(AND(YEAR(ЮнНед1+17)=КалендарнаГодина,MONTH(ЮнНед1+17)=6),ЮнНед1+17,""))</f>
        <v>43999</v>
      </c>
      <c r="N25" s="25">
        <f>IF(DAY(ЮнНед1)=1,IF(AND(YEAR(ЮнНед1+11)=КалендарнаГодина,MONTH(ЮнНед1+11)=6),ЮнНед1+11,""),IF(AND(YEAR(ЮнНед1+18)=КалендарнаГодина,MONTH(ЮнНед1+18)=6),ЮнНед1+18,""))</f>
        <v>44000</v>
      </c>
      <c r="O25" s="25">
        <f>IF(DAY(ЮнНед1)=1,IF(AND(YEAR(ЮнНед1+12)=КалендарнаГодина,MONTH(ЮнНед1+12)=6),ЮнНед1+12,""),IF(AND(YEAR(ЮнНед1+19)=КалендарнаГодина,MONTH(ЮнНед1+19)=6),ЮнНед1+19,""))</f>
        <v>44001</v>
      </c>
      <c r="P25" s="25">
        <f>IF(DAY(ЮнНед1)=1,IF(AND(YEAR(ЮнНед1+13)=КалендарнаГодина,MONTH(ЮнНед1+13)=6),ЮнНед1+13,""),IF(AND(YEAR(ЮнНед1+20)=КалендарнаГодина,MONTH(ЮнНед1+20)=6),ЮнНед1+20,""))</f>
        <v>44002</v>
      </c>
      <c r="Q25" s="25">
        <f>IF(DAY(ЮнНед1)=1,IF(AND(YEAR(ЮнНед1+14)=КалендарнаГодина,MONTH(ЮнНед1+14)=6),ЮнНед1+14,""),IF(AND(YEAR(ЮнНед1+21)=КалендарнаГодина,MONTH(ЮнНед1+21)=6),ЮнНед1+21,""))</f>
        <v>44003</v>
      </c>
      <c r="S25" s="23"/>
      <c r="U25" s="3"/>
      <c r="V25" s="26"/>
      <c r="W25" s="26"/>
    </row>
    <row r="26" spans="1:23" ht="15" customHeight="1" x14ac:dyDescent="0.2">
      <c r="C26" s="25">
        <f>IF(DAY(МайНед1)=1,IF(AND(YEAR(МайНед1+15)=КалендарнаГодина,MONTH(МайНед1+15)=5),МайНед1+15,""),IF(AND(YEAR(МайНед1+22)=КалендарнаГодина,MONTH(МайНед1+22)=5),МайНед1+22,""))</f>
        <v>43969</v>
      </c>
      <c r="D26" s="25">
        <f>IF(DAY(МайНед1)=1,IF(AND(YEAR(МайНед1+16)=КалендарнаГодина,MONTH(МайНед1+16)=5),МайНед1+16,""),IF(AND(YEAR(МайНед1+23)=КалендарнаГодина,MONTH(МайНед1+23)=5),МайНед1+23,""))</f>
        <v>43970</v>
      </c>
      <c r="E26" s="25">
        <f>IF(DAY(МайНед1)=1,IF(AND(YEAR(МайНед1+17)=КалендарнаГодина,MONTH(МайНед1+17)=5),МайНед1+17,""),IF(AND(YEAR(МайНед1+24)=КалендарнаГодина,MONTH(МайНед1+24)=5),МайНед1+24,""))</f>
        <v>43971</v>
      </c>
      <c r="F26" s="25">
        <f>IF(DAY(МайНед1)=1,IF(AND(YEAR(МайНед1+18)=КалендарнаГодина,MONTH(МайНед1+18)=5),МайНед1+18,""),IF(AND(YEAR(МайНед1+25)=КалендарнаГодина,MONTH(МайНед1+25)=5),МайНед1+25,""))</f>
        <v>43972</v>
      </c>
      <c r="G26" s="25">
        <f>IF(DAY(МайНед1)=1,IF(AND(YEAR(МайНед1+19)=КалендарнаГодина,MONTH(МайНед1+19)=5),МайНед1+19,""),IF(AND(YEAR(МайНед1+26)=КалендарнаГодина,MONTH(МайНед1+26)=5),МайНед1+26,""))</f>
        <v>43973</v>
      </c>
      <c r="H26" s="25">
        <f>IF(DAY(МайНед1)=1,IF(AND(YEAR(МайНед1+20)=КалендарнаГодина,MONTH(МайНед1+20)=5),МайНед1+20,""),IF(AND(YEAR(МайНед1+27)=КалендарнаГодина,MONTH(МайНед1+27)=5),МайНед1+27,""))</f>
        <v>43974</v>
      </c>
      <c r="I26" s="25">
        <f>IF(DAY(МайНед1)=1,IF(AND(YEAR(МайНед1+21)=КалендарнаГодина,MONTH(МайНед1+21)=5),МайНед1+21,""),IF(AND(YEAR(МайНед1+28)=КалендарнаГодина,MONTH(МайНед1+28)=5),МайНед1+28,""))</f>
        <v>43975</v>
      </c>
      <c r="J26" s="21"/>
      <c r="K26" s="25">
        <f>IF(DAY(ЮнНед1)=1,IF(AND(YEAR(ЮнНед1+15)=КалендарнаГодина,MONTH(ЮнНед1+15)=6),ЮнНед1+15,""),IF(AND(YEAR(ЮнНед1+22)=КалендарнаГодина,MONTH(ЮнНед1+22)=6),ЮнНед1+22,""))</f>
        <v>44004</v>
      </c>
      <c r="L26" s="25">
        <f>IF(DAY(ЮнНед1)=1,IF(AND(YEAR(ЮнНед1+16)=КалендарнаГодина,MONTH(ЮнНед1+16)=6),ЮнНед1+16,""),IF(AND(YEAR(ЮнНед1+23)=КалендарнаГодина,MONTH(ЮнНед1+23)=6),ЮнНед1+23,""))</f>
        <v>44005</v>
      </c>
      <c r="M26" s="25">
        <f>IF(DAY(ЮнНед1)=1,IF(AND(YEAR(ЮнНед1+17)=КалендарнаГодина,MONTH(ЮнНед1+17)=6),ЮнНед1+17,""),IF(AND(YEAR(ЮнНед1+24)=КалендарнаГодина,MONTH(ЮнНед1+24)=6),ЮнНед1+24,""))</f>
        <v>44006</v>
      </c>
      <c r="N26" s="25">
        <f>IF(DAY(ЮнНед1)=1,IF(AND(YEAR(ЮнНед1+18)=КалендарнаГодина,MONTH(ЮнНед1+18)=6),ЮнНед1+18,""),IF(AND(YEAR(ЮнНед1+25)=КалендарнаГодина,MONTH(ЮнНед1+25)=6),ЮнНед1+25,""))</f>
        <v>44007</v>
      </c>
      <c r="O26" s="25">
        <f>IF(DAY(ЮнНед1)=1,IF(AND(YEAR(ЮнНед1+19)=КалендарнаГодина,MONTH(ЮнНед1+19)=6),ЮнНед1+19,""),IF(AND(YEAR(ЮнНед1+26)=КалендарнаГодина,MONTH(ЮнНед1+26)=6),ЮнНед1+26,""))</f>
        <v>44008</v>
      </c>
      <c r="P26" s="25">
        <f>IF(DAY(ЮнНед1)=1,IF(AND(YEAR(ЮнНед1+20)=КалендарнаГодина,MONTH(ЮнНед1+20)=6),ЮнНед1+20,""),IF(AND(YEAR(ЮнНед1+27)=КалендарнаГодина,MONTH(ЮнНед1+27)=6),ЮнНед1+27,""))</f>
        <v>44009</v>
      </c>
      <c r="Q26" s="25">
        <f>IF(DAY(ЮнНед1)=1,IF(AND(YEAR(ЮнНед1+21)=КалендарнаГодина,MONTH(ЮнНед1+21)=6),ЮнНед1+21,""),IF(AND(YEAR(ЮнНед1+28)=КалендарнаГодина,MONTH(ЮнНед1+28)=6),ЮнНед1+28,""))</f>
        <v>44010</v>
      </c>
      <c r="S26" s="23"/>
      <c r="U26" s="2"/>
      <c r="V26" s="26"/>
      <c r="W26" s="26"/>
    </row>
    <row r="27" spans="1:23" ht="15" customHeight="1" x14ac:dyDescent="0.2">
      <c r="C27" s="25">
        <f>IF(DAY(МайНед1)=1,IF(AND(YEAR(МайНед1+22)=КалендарнаГодина,MONTH(МайНед1+22)=5),МайНед1+22,""),IF(AND(YEAR(МайНед1+29)=КалендарнаГодина,MONTH(МайНед1+29)=5),МайНед1+29,""))</f>
        <v>43976</v>
      </c>
      <c r="D27" s="25">
        <f>IF(DAY(МайНед1)=1,IF(AND(YEAR(МайНед1+23)=КалендарнаГодина,MONTH(МайНед1+23)=5),МайНед1+23,""),IF(AND(YEAR(МайНед1+30)=КалендарнаГодина,MONTH(МайНед1+30)=5),МайНед1+30,""))</f>
        <v>43977</v>
      </c>
      <c r="E27" s="25">
        <f>IF(DAY(МайНед1)=1,IF(AND(YEAR(МайНед1+24)=КалендарнаГодина,MONTH(МайНед1+24)=5),МайНед1+24,""),IF(AND(YEAR(МайНед1+31)=КалендарнаГодина,MONTH(МайНед1+31)=5),МайНед1+31,""))</f>
        <v>43978</v>
      </c>
      <c r="F27" s="25">
        <f>IF(DAY(МайНед1)=1,IF(AND(YEAR(МайНед1+25)=КалендарнаГодина,MONTH(МайНед1+25)=5),МайНед1+25,""),IF(AND(YEAR(МайНед1+32)=КалендарнаГодина,MONTH(МайНед1+32)=5),МайНед1+32,""))</f>
        <v>43979</v>
      </c>
      <c r="G27" s="25">
        <f>IF(DAY(МайНед1)=1,IF(AND(YEAR(МайНед1+26)=КалендарнаГодина,MONTH(МайНед1+26)=5),МайНед1+26,""),IF(AND(YEAR(МайНед1+33)=КалендарнаГодина,MONTH(МайНед1+33)=5),МайНед1+33,""))</f>
        <v>43980</v>
      </c>
      <c r="H27" s="25">
        <f>IF(DAY(МайНед1)=1,IF(AND(YEAR(МайНед1+27)=КалендарнаГодина,MONTH(МайНед1+27)=5),МайНед1+27,""),IF(AND(YEAR(МайНед1+34)=КалендарнаГодина,MONTH(МайНед1+34)=5),МайНед1+34,""))</f>
        <v>43981</v>
      </c>
      <c r="I27" s="25">
        <f>IF(DAY(МайНед1)=1,IF(AND(YEAR(МайНед1+28)=КалендарнаГодина,MONTH(МайНед1+28)=5),МайНед1+28,""),IF(AND(YEAR(МайНед1+35)=КалендарнаГодина,MONTH(МайНед1+35)=5),МайНед1+35,""))</f>
        <v>43982</v>
      </c>
      <c r="J27" s="21"/>
      <c r="K27" s="25">
        <f>IF(DAY(ЮнНед1)=1,IF(AND(YEAR(ЮнНед1+22)=КалендарнаГодина,MONTH(ЮнНед1+22)=6),ЮнНед1+22,""),IF(AND(YEAR(ЮнНед1+29)=КалендарнаГодина,MONTH(ЮнНед1+29)=6),ЮнНед1+29,""))</f>
        <v>44011</v>
      </c>
      <c r="L27" s="25">
        <f>IF(DAY(ЮнНед1)=1,IF(AND(YEAR(ЮнНед1+23)=КалендарнаГодина,MONTH(ЮнНед1+23)=6),ЮнНед1+23,""),IF(AND(YEAR(ЮнНед1+30)=КалендарнаГодина,MONTH(ЮнНед1+30)=6),ЮнНед1+30,""))</f>
        <v>44012</v>
      </c>
      <c r="M27" s="25" t="str">
        <f>IF(DAY(ЮнНед1)=1,IF(AND(YEAR(ЮнНед1+24)=КалендарнаГодина,MONTH(ЮнНед1+24)=6),ЮнНед1+24,""),IF(AND(YEAR(ЮнНед1+31)=КалендарнаГодина,MONTH(ЮнНед1+31)=6),ЮнНед1+31,""))</f>
        <v/>
      </c>
      <c r="N27" s="25" t="str">
        <f>IF(DAY(ЮнНед1)=1,IF(AND(YEAR(ЮнНед1+25)=КалендарнаГодина,MONTH(ЮнНед1+25)=6),ЮнНед1+25,""),IF(AND(YEAR(ЮнНед1+32)=КалендарнаГодина,MONTH(ЮнНед1+32)=6),ЮнНед1+32,""))</f>
        <v/>
      </c>
      <c r="O27" s="25" t="str">
        <f>IF(DAY(ЮнНед1)=1,IF(AND(YEAR(ЮнНед1+26)=КалендарнаГодина,MONTH(ЮнНед1+26)=6),ЮнНед1+26,""),IF(AND(YEAR(ЮнНед1+33)=КалендарнаГодина,MONTH(ЮнНед1+33)=6),ЮнНед1+33,""))</f>
        <v/>
      </c>
      <c r="P27" s="25" t="str">
        <f>IF(DAY(ЮнНед1)=1,IF(AND(YEAR(ЮнНед1+27)=КалендарнаГодина,MONTH(ЮнНед1+27)=6),ЮнНед1+27,""),IF(AND(YEAR(ЮнНед1+34)=КалендарнаГодина,MONTH(ЮнНед1+34)=6),ЮнНед1+34,""))</f>
        <v/>
      </c>
      <c r="Q27" s="25" t="str">
        <f>IF(DAY(ЮнНед1)=1,IF(AND(YEAR(ЮнНед1+28)=КалендарнаГодина,MONTH(ЮнНед1+28)=6),ЮнНед1+28,""),IF(AND(YEAR(ЮнНед1+35)=КалендарнаГодина,MONTH(ЮнНед1+35)=6),ЮнНед1+35,""))</f>
        <v/>
      </c>
      <c r="S27" s="23"/>
      <c r="U27" s="10"/>
      <c r="V27" s="26"/>
      <c r="W27" s="26"/>
    </row>
    <row r="28" spans="1:23" ht="15" customHeight="1" x14ac:dyDescent="0.2">
      <c r="C28" s="25" t="str">
        <f>IF(DAY(МайНед1)=1,IF(AND(YEAR(МайНед1+29)=КалендарнаГодина,MONTH(МайНед1+29)=5),МайНед1+29,""),IF(AND(YEAR(МайНед1+36)=КалендарнаГодина,MONTH(МайНед1+36)=5),МайНед1+36,""))</f>
        <v/>
      </c>
      <c r="D28" s="25" t="str">
        <f>IF(DAY(МайНед1)=1,IF(AND(YEAR(МайНед1+30)=КалендарнаГодина,MONTH(МайНед1+30)=5),МайНед1+30,""),IF(AND(YEAR(МайНед1+37)=КалендарнаГодина,MONTH(МайНед1+37)=5),МайНед1+37,""))</f>
        <v/>
      </c>
      <c r="E28" s="25" t="str">
        <f>IF(DAY(МайНед1)=1,IF(AND(YEAR(МайНед1+31)=КалендарнаГодина,MONTH(МайНед1+31)=5),МайНед1+31,""),IF(AND(YEAR(МайНед1+38)=КалендарнаГодина,MONTH(МайНед1+38)=5),МайНед1+38,""))</f>
        <v/>
      </c>
      <c r="F28" s="25" t="str">
        <f>IF(DAY(МайНед1)=1,IF(AND(YEAR(МайНед1+32)=КалендарнаГодина,MONTH(МайНед1+32)=5),МайНед1+32,""),IF(AND(YEAR(МайНед1+39)=КалендарнаГодина,MONTH(МайНед1+39)=5),МайНед1+39,""))</f>
        <v/>
      </c>
      <c r="G28" s="25" t="str">
        <f>IF(DAY(МайНед1)=1,IF(AND(YEAR(МайНед1+33)=КалендарнаГодина,MONTH(МайНед1+33)=5),МайНед1+33,""),IF(AND(YEAR(МайНед1+40)=КалендарнаГодина,MONTH(МайНед1+40)=5),МайНед1+40,""))</f>
        <v/>
      </c>
      <c r="H28" s="25" t="str">
        <f>IF(DAY(МайНед1)=1,IF(AND(YEAR(МайНед1+34)=КалендарнаГодина,MONTH(МайНед1+34)=5),МайНед1+34,""),IF(AND(YEAR(МайНед1+41)=КалендарнаГодина,MONTH(МайНед1+41)=5),МайНед1+41,""))</f>
        <v/>
      </c>
      <c r="I28" s="25" t="str">
        <f>IF(DAY(МайНед1)=1,IF(AND(YEAR(МайНед1+35)=КалендарнаГодина,MONTH(МайНед1+35)=5),МайНед1+35,""),IF(AND(YEAR(МайНед1+42)=КалендарнаГодина,MONTH(МайНед1+42)=5),МайНед1+42,""))</f>
        <v/>
      </c>
      <c r="J28" s="21"/>
      <c r="K28" s="25" t="str">
        <f>IF(DAY(ЮнНед1)=1,IF(AND(YEAR(ЮнНед1+29)=КалендарнаГодина,MONTH(ЮнНед1+29)=6),ЮнНед1+29,""),IF(AND(YEAR(ЮнНед1+36)=КалендарнаГодина,MONTH(ЮнНед1+36)=6),ЮнНед1+36,""))</f>
        <v/>
      </c>
      <c r="L28" s="25" t="str">
        <f>IF(DAY(ЮнНед1)=1,IF(AND(YEAR(ЮнНед1+30)=КалендарнаГодина,MONTH(ЮнНед1+30)=6),ЮнНед1+30,""),IF(AND(YEAR(ЮнНед1+37)=КалендарнаГодина,MONTH(ЮнНед1+37)=6),ЮнНед1+37,""))</f>
        <v/>
      </c>
      <c r="M28" s="25" t="str">
        <f>IF(DAY(ЮнНед1)=1,IF(AND(YEAR(ЮнНед1+31)=КалендарнаГодина,MONTH(ЮнНед1+31)=6),ЮнНед1+31,""),IF(AND(YEAR(ЮнНед1+38)=КалендарнаГодина,MONTH(ЮнНед1+38)=6),ЮнНед1+38,""))</f>
        <v/>
      </c>
      <c r="N28" s="25" t="str">
        <f>IF(DAY(ЮнНед1)=1,IF(AND(YEAR(ЮнНед1+32)=КалендарнаГодина,MONTH(ЮнНед1+32)=6),ЮнНед1+32,""),IF(AND(YEAR(ЮнНед1+39)=КалендарнаГодина,MONTH(ЮнНед1+39)=6),ЮнНед1+39,""))</f>
        <v/>
      </c>
      <c r="O28" s="25" t="str">
        <f>IF(DAY(ЮнНед1)=1,IF(AND(YEAR(ЮнНед1+33)=КалендарнаГодина,MONTH(ЮнНед1+33)=6),ЮнНед1+33,""),IF(AND(YEAR(ЮнНед1+40)=КалендарнаГодина,MONTH(ЮнНед1+40)=6),ЮнНед1+40,""))</f>
        <v/>
      </c>
      <c r="P28" s="25" t="str">
        <f>IF(DAY(ЮнНед1)=1,IF(AND(YEAR(ЮнНед1+34)=КалендарнаГодина,MONTH(ЮнНед1+34)=6),ЮнНед1+34,""),IF(AND(YEAR(ЮнНед1+41)=КалендарнаГодина,MONTH(ЮнНед1+41)=6),ЮнНед1+41,""))</f>
        <v/>
      </c>
      <c r="Q28" s="25" t="str">
        <f>IF(DAY(ЮнНед1)=1,IF(AND(YEAR(ЮнНед1+35)=КалендарнаГодина,MONTH(ЮнНед1+35)=6),ЮнНед1+35,""),IF(AND(YEAR(ЮнНед1+42)=КалендарнаГодина,MONTH(ЮнНед1+42)=6),ЮнНед1+42,""))</f>
        <v/>
      </c>
      <c r="S28" s="23"/>
      <c r="U28" s="3"/>
      <c r="V28" s="26"/>
      <c r="W28" s="26"/>
    </row>
    <row r="29" spans="1:23" ht="15" customHeight="1" x14ac:dyDescent="0.2">
      <c r="J29" s="21"/>
      <c r="S29" s="23"/>
      <c r="U29" s="2"/>
      <c r="V29" s="26"/>
      <c r="W29" s="26"/>
    </row>
    <row r="30" spans="1:23" ht="15" customHeight="1" x14ac:dyDescent="0.2">
      <c r="A30" s="18" t="s">
        <v>14</v>
      </c>
      <c r="C30" s="27" t="s">
        <v>29</v>
      </c>
      <c r="D30" s="27"/>
      <c r="E30" s="27"/>
      <c r="F30" s="27"/>
      <c r="G30" s="27"/>
      <c r="H30" s="27"/>
      <c r="I30" s="27"/>
      <c r="J30" s="21"/>
      <c r="K30" s="27" t="s">
        <v>41</v>
      </c>
      <c r="L30" s="27"/>
      <c r="M30" s="27"/>
      <c r="N30" s="27"/>
      <c r="O30" s="27"/>
      <c r="P30" s="27"/>
      <c r="Q30" s="27"/>
      <c r="S30" s="23"/>
      <c r="U30" s="10"/>
      <c r="V30" s="26"/>
      <c r="W30" s="26"/>
    </row>
    <row r="31" spans="1:23" ht="15" customHeight="1" x14ac:dyDescent="0.2">
      <c r="A31" s="18" t="s">
        <v>15</v>
      </c>
      <c r="C31" s="11" t="s">
        <v>26</v>
      </c>
      <c r="D31" s="11" t="s">
        <v>32</v>
      </c>
      <c r="E31" s="11" t="s">
        <v>33</v>
      </c>
      <c r="F31" s="11" t="s">
        <v>34</v>
      </c>
      <c r="G31" s="11" t="s">
        <v>35</v>
      </c>
      <c r="H31" s="11" t="s">
        <v>36</v>
      </c>
      <c r="I31" s="11" t="s">
        <v>37</v>
      </c>
      <c r="J31" s="21"/>
      <c r="K31" s="11" t="s">
        <v>26</v>
      </c>
      <c r="L31" s="11" t="s">
        <v>32</v>
      </c>
      <c r="M31" s="11" t="s">
        <v>33</v>
      </c>
      <c r="N31" s="11" t="s">
        <v>34</v>
      </c>
      <c r="O31" s="11" t="s">
        <v>35</v>
      </c>
      <c r="P31" s="11" t="s">
        <v>36</v>
      </c>
      <c r="Q31" s="11" t="s">
        <v>37</v>
      </c>
      <c r="S31" s="23"/>
      <c r="U31" s="3"/>
      <c r="V31" s="26"/>
      <c r="W31" s="26"/>
    </row>
    <row r="32" spans="1:23" ht="15" customHeight="1" x14ac:dyDescent="0.2">
      <c r="A32" s="18"/>
      <c r="C32" s="25" t="str">
        <f>IF(DAY(ЮлНед1)=1,"",IF(AND(YEAR(ЮлНед1+1)=КалендарнаГодина,MONTH(ЮлНед1+1)=7),ЮлНед1+1,""))</f>
        <v/>
      </c>
      <c r="D32" s="25" t="str">
        <f>IF(DAY(ЮлНед1)=1,"",IF(AND(YEAR(ЮлНед1+2)=КалендарнаГодина,MONTH(ЮлНед1+2)=7),ЮлНед1+2,""))</f>
        <v/>
      </c>
      <c r="E32" s="25">
        <f>IF(DAY(ЮлНед1)=1,"",IF(AND(YEAR(ЮлНед1+3)=КалендарнаГодина,MONTH(ЮлНед1+3)=7),ЮлНед1+3,""))</f>
        <v>44013</v>
      </c>
      <c r="F32" s="25">
        <f>IF(DAY(ЮлНед1)=1,"",IF(AND(YEAR(ЮлНед1+4)=КалендарнаГодина,MONTH(ЮлНед1+4)=7),ЮлНед1+4,""))</f>
        <v>44014</v>
      </c>
      <c r="G32" s="25">
        <f>IF(DAY(ЮлНед1)=1,"",IF(AND(YEAR(ЮлНед1+5)=КалендарнаГодина,MONTH(ЮлНед1+5)=7),ЮлНед1+5,""))</f>
        <v>44015</v>
      </c>
      <c r="H32" s="25">
        <f>IF(DAY(ЮлНед1)=1,"",IF(AND(YEAR(ЮлНед1+6)=КалендарнаГодина,MONTH(ЮлНед1+6)=7),ЮлНед1+6,""))</f>
        <v>44016</v>
      </c>
      <c r="I32" s="25">
        <f>IF(DAY(ЮлНед1)=1,IF(AND(YEAR(ЮлНед1)=КалендарнаГодина,MONTH(ЮлНед1)=7),ЮлНед1,""),IF(AND(YEAR(ЮлНед1+7)=КалендарнаГодина,MONTH(ЮлНед1+7)=7),ЮлНед1+7,""))</f>
        <v>44017</v>
      </c>
      <c r="K32" s="25" t="str">
        <f>IF(DAY(АвгНед1)=1,"",IF(AND(YEAR(АвгНед1+1)=КалендарнаГодина,MONTH(АвгНед1+1)=8),АвгНед1+1,""))</f>
        <v/>
      </c>
      <c r="L32" s="25" t="str">
        <f>IF(DAY(АвгНед1)=1,"",IF(AND(YEAR(АвгНед1+2)=КалендарнаГодина,MONTH(АвгНед1+2)=8),АвгНед1+2,""))</f>
        <v/>
      </c>
      <c r="M32" s="25" t="str">
        <f>IF(DAY(АвгНед1)=1,"",IF(AND(YEAR(АвгНед1+3)=КалендарнаГодина,MONTH(АвгНед1+3)=8),АвгНед1+3,""))</f>
        <v/>
      </c>
      <c r="N32" s="25" t="str">
        <f>IF(DAY(АвгНед1)=1,"",IF(AND(YEAR(АвгНед1+4)=КалендарнаГодина,MONTH(АвгНед1+4)=8),АвгНед1+4,""))</f>
        <v/>
      </c>
      <c r="O32" s="25" t="str">
        <f>IF(DAY(АвгНед1)=1,"",IF(AND(YEAR(АвгНед1+5)=КалендарнаГодина,MONTH(АвгНед1+5)=8),АвгНед1+5,""))</f>
        <v/>
      </c>
      <c r="P32" s="25">
        <f>IF(DAY(АвгНед1)=1,"",IF(AND(YEAR(АвгНед1+6)=КалендарнаГодина,MONTH(АвгНед1+6)=8),АвгНед1+6,""))</f>
        <v>44044</v>
      </c>
      <c r="Q32" s="25">
        <f>IF(DAY(АвгНед1)=1,IF(AND(YEAR(АвгНед1)=КалендарнаГодина,MONTH(АвгНед1)=8),АвгНед1,""),IF(AND(YEAR(АвгНед1+7)=КалендарнаГодина,MONTH(АвгНед1+7)=8),АвгНед1+7,""))</f>
        <v>44045</v>
      </c>
      <c r="S32" s="23"/>
      <c r="U32" s="2"/>
      <c r="V32" s="26"/>
      <c r="W32" s="26"/>
    </row>
    <row r="33" spans="1:23" ht="15" customHeight="1" x14ac:dyDescent="0.2">
      <c r="A33" s="18"/>
      <c r="C33" s="25">
        <f>IF(DAY(ЮлНед1)=1,IF(AND(YEAR(ЮлНед1+1)=КалендарнаГодина,MONTH(ЮлНед1+1)=7),ЮлНед1+1,""),IF(AND(YEAR(ЮлНед1+8)=КалендарнаГодина,MONTH(ЮлНед1+8)=7),ЮлНед1+8,""))</f>
        <v>44018</v>
      </c>
      <c r="D33" s="25">
        <f>IF(DAY(ЮлНед1)=1,IF(AND(YEAR(ЮлНед1+2)=КалендарнаГодина,MONTH(ЮлНед1+2)=7),ЮлНед1+2,""),IF(AND(YEAR(ЮлНед1+9)=КалендарнаГодина,MONTH(ЮлНед1+9)=7),ЮлНед1+9,""))</f>
        <v>44019</v>
      </c>
      <c r="E33" s="25">
        <f>IF(DAY(ЮлНед1)=1,IF(AND(YEAR(ЮлНед1+3)=КалендарнаГодина,MONTH(ЮлНед1+3)=7),ЮлНед1+3,""),IF(AND(YEAR(ЮлНед1+10)=КалендарнаГодина,MONTH(ЮлНед1+10)=7),ЮлНед1+10,""))</f>
        <v>44020</v>
      </c>
      <c r="F33" s="25">
        <f>IF(DAY(ЮлНед1)=1,IF(AND(YEAR(ЮлНед1+4)=КалендарнаГодина,MONTH(ЮлНед1+4)=7),ЮлНед1+4,""),IF(AND(YEAR(ЮлНед1+11)=КалендарнаГодина,MONTH(ЮлНед1+11)=7),ЮлНед1+11,""))</f>
        <v>44021</v>
      </c>
      <c r="G33" s="25">
        <f>IF(DAY(ЮлНед1)=1,IF(AND(YEAR(ЮлНед1+5)=КалендарнаГодина,MONTH(ЮлНед1+5)=7),ЮлНед1+5,""),IF(AND(YEAR(ЮлНед1+12)=КалендарнаГодина,MONTH(ЮлНед1+12)=7),ЮлНед1+12,""))</f>
        <v>44022</v>
      </c>
      <c r="H33" s="25">
        <f>IF(DAY(ЮлНед1)=1,IF(AND(YEAR(ЮлНед1+6)=КалендарнаГодина,MONTH(ЮлНед1+6)=7),ЮлНед1+6,""),IF(AND(YEAR(ЮлНед1+13)=КалендарнаГодина,MONTH(ЮлНед1+13)=7),ЮлНед1+13,""))</f>
        <v>44023</v>
      </c>
      <c r="I33" s="25">
        <f>IF(DAY(ЮлНед1)=1,IF(AND(YEAR(ЮлНед1+7)=КалендарнаГодина,MONTH(ЮлНед1+7)=7),ЮлНед1+7,""),IF(AND(YEAR(ЮлНед1+14)=КалендарнаГодина,MONTH(ЮлНед1+14)=7),ЮлНед1+14,""))</f>
        <v>44024</v>
      </c>
      <c r="K33" s="25">
        <f>IF(DAY(АвгНед1)=1,IF(AND(YEAR(АвгНед1+1)=КалендарнаГодина,MONTH(АвгНед1+1)=8),АвгНед1+1,""),IF(AND(YEAR(АвгНед1+8)=КалендарнаГодина,MONTH(АвгНед1+8)=8),АвгНед1+8,""))</f>
        <v>44046</v>
      </c>
      <c r="L33" s="25">
        <f>IF(DAY(АвгНед1)=1,IF(AND(YEAR(АвгНед1+2)=КалендарнаГодина,MONTH(АвгНед1+2)=8),АвгНед1+2,""),IF(AND(YEAR(АвгНед1+9)=КалендарнаГодина,MONTH(АвгНед1+9)=8),АвгНед1+9,""))</f>
        <v>44047</v>
      </c>
      <c r="M33" s="25">
        <f>IF(DAY(АвгНед1)=1,IF(AND(YEAR(АвгНед1+3)=КалендарнаГодина,MONTH(АвгНед1+3)=8),АвгНед1+3,""),IF(AND(YEAR(АвгНед1+10)=КалендарнаГодина,MONTH(АвгНед1+10)=8),АвгНед1+10,""))</f>
        <v>44048</v>
      </c>
      <c r="N33" s="25">
        <f>IF(DAY(АвгНед1)=1,IF(AND(YEAR(АвгНед1+4)=КалендарнаГодина,MONTH(АвгНед1+4)=8),АвгНед1+4,""),IF(AND(YEAR(АвгНед1+11)=КалендарнаГодина,MONTH(АвгНед1+11)=8),АвгНед1+11,""))</f>
        <v>44049</v>
      </c>
      <c r="O33" s="25">
        <f>IF(DAY(АвгНед1)=1,IF(AND(YEAR(АвгНед1+5)=КалендарнаГодина,MONTH(АвгНед1+5)=8),АвгНед1+5,""),IF(AND(YEAR(АвгНед1+12)=КалендарнаГодина,MONTH(АвгНед1+12)=8),АвгНед1+12,""))</f>
        <v>44050</v>
      </c>
      <c r="P33" s="25">
        <f>IF(DAY(АвгНед1)=1,IF(AND(YEAR(АвгНед1+6)=КалендарнаГодина,MONTH(АвгНед1+6)=8),АвгНед1+6,""),IF(AND(YEAR(АвгНед1+13)=КалендарнаГодина,MONTH(АвгНед1+13)=8),АвгНед1+13,""))</f>
        <v>44051</v>
      </c>
      <c r="Q33" s="25">
        <f>IF(DAY(АвгНед1)=1,IF(AND(YEAR(АвгНед1+7)=КалендарнаГодина,MONTH(АвгНед1+7)=8),АвгНед1+7,""),IF(AND(YEAR(АвгНед1+14)=КалендарнаГодина,MONTH(АвгНед1+14)=8),АвгНед1+14,""))</f>
        <v>44052</v>
      </c>
      <c r="S33" s="23"/>
      <c r="U33" s="10"/>
      <c r="V33" s="26"/>
      <c r="W33" s="26"/>
    </row>
    <row r="34" spans="1:23" ht="15" customHeight="1" x14ac:dyDescent="0.2">
      <c r="C34" s="25">
        <f>IF(DAY(ЮлНед1)=1,IF(AND(YEAR(ЮлНед1+8)=КалендарнаГодина,MONTH(ЮлНед1+8)=7),ЮлНед1+8,""),IF(AND(YEAR(ЮлНед1+15)=КалендарнаГодина,MONTH(ЮлНед1+15)=7),ЮлНед1+15,""))</f>
        <v>44025</v>
      </c>
      <c r="D34" s="25">
        <f>IF(DAY(ЮлНед1)=1,IF(AND(YEAR(ЮлНед1+9)=КалендарнаГодина,MONTH(ЮлНед1+9)=7),ЮлНед1+9,""),IF(AND(YEAR(ЮлНед1+16)=КалендарнаГодина,MONTH(ЮлНед1+16)=7),ЮлНед1+16,""))</f>
        <v>44026</v>
      </c>
      <c r="E34" s="25">
        <f>IF(DAY(ЮлНед1)=1,IF(AND(YEAR(ЮлНед1+10)=КалендарнаГодина,MONTH(ЮлНед1+10)=7),ЮлНед1+10,""),IF(AND(YEAR(ЮлНед1+17)=КалендарнаГодина,MONTH(ЮлНед1+17)=7),ЮлНед1+17,""))</f>
        <v>44027</v>
      </c>
      <c r="F34" s="25">
        <f>IF(DAY(ЮлНед1)=1,IF(AND(YEAR(ЮлНед1+11)=КалендарнаГодина,MONTH(ЮлНед1+11)=7),ЮлНед1+11,""),IF(AND(YEAR(ЮлНед1+18)=КалендарнаГодина,MONTH(ЮлНед1+18)=7),ЮлНед1+18,""))</f>
        <v>44028</v>
      </c>
      <c r="G34" s="25">
        <f>IF(DAY(ЮлНед1)=1,IF(AND(YEAR(ЮлНед1+12)=КалендарнаГодина,MONTH(ЮлНед1+12)=7),ЮлНед1+12,""),IF(AND(YEAR(ЮлНед1+19)=КалендарнаГодина,MONTH(ЮлНед1+19)=7),ЮлНед1+19,""))</f>
        <v>44029</v>
      </c>
      <c r="H34" s="25">
        <f>IF(DAY(ЮлНед1)=1,IF(AND(YEAR(ЮлНед1+13)=КалендарнаГодина,MONTH(ЮлНед1+13)=7),ЮлНед1+13,""),IF(AND(YEAR(ЮлНед1+20)=КалендарнаГодина,MONTH(ЮлНед1+20)=7),ЮлНед1+20,""))</f>
        <v>44030</v>
      </c>
      <c r="I34" s="25">
        <f>IF(DAY(ЮлНед1)=1,IF(AND(YEAR(ЮлНед1+14)=КалендарнаГодина,MONTH(ЮлНед1+14)=7),ЮлНед1+14,""),IF(AND(YEAR(ЮлНед1+21)=КалендарнаГодина,MONTH(ЮлНед1+21)=7),ЮлНед1+21,""))</f>
        <v>44031</v>
      </c>
      <c r="K34" s="25">
        <f>IF(DAY(АвгНед1)=1,IF(AND(YEAR(АвгНед1+8)=КалендарнаГодина,MONTH(АвгНед1+8)=8),АвгНед1+8,""),IF(AND(YEAR(АвгНед1+15)=КалендарнаГодина,MONTH(АвгНед1+15)=8),АвгНед1+15,""))</f>
        <v>44053</v>
      </c>
      <c r="L34" s="25">
        <f>IF(DAY(АвгНед1)=1,IF(AND(YEAR(АвгНед1+9)=КалендарнаГодина,MONTH(АвгНед1+9)=8),АвгНед1+9,""),IF(AND(YEAR(АвгНед1+16)=КалендарнаГодина,MONTH(АвгНед1+16)=8),АвгНед1+16,""))</f>
        <v>44054</v>
      </c>
      <c r="M34" s="25">
        <f>IF(DAY(АвгНед1)=1,IF(AND(YEAR(АвгНед1+10)=КалендарнаГодина,MONTH(АвгНед1+10)=8),АвгНед1+10,""),IF(AND(YEAR(АвгНед1+17)=КалендарнаГодина,MONTH(АвгНед1+17)=8),АвгНед1+17,""))</f>
        <v>44055</v>
      </c>
      <c r="N34" s="25">
        <f>IF(DAY(АвгНед1)=1,IF(AND(YEAR(АвгНед1+11)=КалендарнаГодина,MONTH(АвгНед1+11)=8),АвгНед1+11,""),IF(AND(YEAR(АвгНед1+18)=КалендарнаГодина,MONTH(АвгНед1+18)=8),АвгНед1+18,""))</f>
        <v>44056</v>
      </c>
      <c r="O34" s="25">
        <f>IF(DAY(АвгНед1)=1,IF(AND(YEAR(АвгНед1+12)=КалендарнаГодина,MONTH(АвгНед1+12)=8),АвгНед1+12,""),IF(AND(YEAR(АвгНед1+19)=КалендарнаГодина,MONTH(АвгНед1+19)=8),АвгНед1+19,""))</f>
        <v>44057</v>
      </c>
      <c r="P34" s="25">
        <f>IF(DAY(АвгНед1)=1,IF(AND(YEAR(АвгНед1+13)=КалендарнаГодина,MONTH(АвгНед1+13)=8),АвгНед1+13,""),IF(AND(YEAR(АвгНед1+20)=КалендарнаГодина,MONTH(АвгНед1+20)=8),АвгНед1+20,""))</f>
        <v>44058</v>
      </c>
      <c r="Q34" s="25">
        <f>IF(DAY(АвгНед1)=1,IF(AND(YEAR(АвгНед1+14)=КалендарнаГодина,MONTH(АвгНед1+14)=8),АвгНед1+14,""),IF(AND(YEAR(АвгНед1+21)=КалендарнаГодина,MONTH(АвгНед1+21)=8),АвгНед1+21,""))</f>
        <v>44059</v>
      </c>
      <c r="S34" s="23"/>
      <c r="U34" s="3"/>
      <c r="V34" s="26"/>
      <c r="W34" s="26"/>
    </row>
    <row r="35" spans="1:23" ht="15" customHeight="1" x14ac:dyDescent="0.2">
      <c r="C35" s="25">
        <f>IF(DAY(ЮлНед1)=1,IF(AND(YEAR(ЮлНед1+15)=КалендарнаГодина,MONTH(ЮлНед1+15)=7),ЮлНед1+15,""),IF(AND(YEAR(ЮлНед1+22)=КалендарнаГодина,MONTH(ЮлНед1+22)=7),ЮлНед1+22,""))</f>
        <v>44032</v>
      </c>
      <c r="D35" s="25">
        <f>IF(DAY(ЮлНед1)=1,IF(AND(YEAR(ЮлНед1+16)=КалендарнаГодина,MONTH(ЮлНед1+16)=7),ЮлНед1+16,""),IF(AND(YEAR(ЮлНед1+23)=КалендарнаГодина,MONTH(ЮлНед1+23)=7),ЮлНед1+23,""))</f>
        <v>44033</v>
      </c>
      <c r="E35" s="25">
        <f>IF(DAY(ЮлНед1)=1,IF(AND(YEAR(ЮлНед1+17)=КалендарнаГодина,MONTH(ЮлНед1+17)=7),ЮлНед1+17,""),IF(AND(YEAR(ЮлНед1+24)=КалендарнаГодина,MONTH(ЮлНед1+24)=7),ЮлНед1+24,""))</f>
        <v>44034</v>
      </c>
      <c r="F35" s="25">
        <f>IF(DAY(ЮлНед1)=1,IF(AND(YEAR(ЮлНед1+18)=КалендарнаГодина,MONTH(ЮлНед1+18)=7),ЮлНед1+18,""),IF(AND(YEAR(ЮлНед1+25)=КалендарнаГодина,MONTH(ЮлНед1+25)=7),ЮлНед1+25,""))</f>
        <v>44035</v>
      </c>
      <c r="G35" s="25">
        <f>IF(DAY(ЮлНед1)=1,IF(AND(YEAR(ЮлНед1+19)=КалендарнаГодина,MONTH(ЮлНед1+19)=7),ЮлНед1+19,""),IF(AND(YEAR(ЮлНед1+26)=КалендарнаГодина,MONTH(ЮлНед1+26)=7),ЮлНед1+26,""))</f>
        <v>44036</v>
      </c>
      <c r="H35" s="25">
        <f>IF(DAY(ЮлНед1)=1,IF(AND(YEAR(ЮлНед1+20)=КалендарнаГодина,MONTH(ЮлНед1+20)=7),ЮлНед1+20,""),IF(AND(YEAR(ЮлНед1+27)=КалендарнаГодина,MONTH(ЮлНед1+27)=7),ЮлНед1+27,""))</f>
        <v>44037</v>
      </c>
      <c r="I35" s="25">
        <f>IF(DAY(ЮлНед1)=1,IF(AND(YEAR(ЮлНед1+21)=КалендарнаГодина,MONTH(ЮлНед1+21)=7),ЮлНед1+21,""),IF(AND(YEAR(ЮлНед1+28)=КалендарнаГодина,MONTH(ЮлНед1+28)=7),ЮлНед1+28,""))</f>
        <v>44038</v>
      </c>
      <c r="K35" s="25">
        <f>IF(DAY(АвгНед1)=1,IF(AND(YEAR(АвгНед1+15)=КалендарнаГодина,MONTH(АвгНед1+15)=8),АвгНед1+15,""),IF(AND(YEAR(АвгНед1+22)=КалендарнаГодина,MONTH(АвгНед1+22)=8),АвгНед1+22,""))</f>
        <v>44060</v>
      </c>
      <c r="L35" s="25">
        <f>IF(DAY(АвгНед1)=1,IF(AND(YEAR(АвгНед1+16)=КалендарнаГодина,MONTH(АвгНед1+16)=8),АвгНед1+16,""),IF(AND(YEAR(АвгНед1+23)=КалендарнаГодина,MONTH(АвгНед1+23)=8),АвгНед1+23,""))</f>
        <v>44061</v>
      </c>
      <c r="M35" s="25">
        <f>IF(DAY(АвгНед1)=1,IF(AND(YEAR(АвгНед1+17)=КалендарнаГодина,MONTH(АвгНед1+17)=8),АвгНед1+17,""),IF(AND(YEAR(АвгНед1+24)=КалендарнаГодина,MONTH(АвгНед1+24)=8),АвгНед1+24,""))</f>
        <v>44062</v>
      </c>
      <c r="N35" s="25">
        <f>IF(DAY(АвгНед1)=1,IF(AND(YEAR(АвгНед1+18)=КалендарнаГодина,MONTH(АвгНед1+18)=8),АвгНед1+18,""),IF(AND(YEAR(АвгНед1+25)=КалендарнаГодина,MONTH(АвгНед1+25)=8),АвгНед1+25,""))</f>
        <v>44063</v>
      </c>
      <c r="O35" s="25">
        <f>IF(DAY(АвгНед1)=1,IF(AND(YEAR(АвгНед1+19)=КалендарнаГодина,MONTH(АвгНед1+19)=8),АвгНед1+19,""),IF(AND(YEAR(АвгНед1+26)=КалендарнаГодина,MONTH(АвгНед1+26)=8),АвгНед1+26,""))</f>
        <v>44064</v>
      </c>
      <c r="P35" s="25">
        <f>IF(DAY(АвгНед1)=1,IF(AND(YEAR(АвгНед1+20)=КалендарнаГодина,MONTH(АвгНед1+20)=8),АвгНед1+20,""),IF(AND(YEAR(АвгНед1+27)=КалендарнаГодина,MONTH(АвгНед1+27)=8),АвгНед1+27,""))</f>
        <v>44065</v>
      </c>
      <c r="Q35" s="25">
        <f>IF(DAY(АвгНед1)=1,IF(AND(YEAR(АвгНед1+21)=КалендарнаГодина,MONTH(АвгНед1+21)=8),АвгНед1+21,""),IF(AND(YEAR(АвгНед1+28)=КалендарнаГодина,MONTH(АвгНед1+28)=8),АвгНед1+28,""))</f>
        <v>44066</v>
      </c>
      <c r="S35" s="23"/>
      <c r="U35" s="2"/>
      <c r="V35" s="26"/>
      <c r="W35" s="26"/>
    </row>
    <row r="36" spans="1:23" ht="15" customHeight="1" x14ac:dyDescent="0.2">
      <c r="C36" s="25">
        <f>IF(DAY(ЮлНед1)=1,IF(AND(YEAR(ЮлНед1+22)=КалендарнаГодина,MONTH(ЮлНед1+22)=7),ЮлНед1+22,""),IF(AND(YEAR(ЮлНед1+29)=КалендарнаГодина,MONTH(ЮлНед1+29)=7),ЮлНед1+29,""))</f>
        <v>44039</v>
      </c>
      <c r="D36" s="25">
        <f>IF(DAY(ЮлНед1)=1,IF(AND(YEAR(ЮлНед1+23)=КалендарнаГодина,MONTH(ЮлНед1+23)=7),ЮлНед1+23,""),IF(AND(YEAR(ЮлНед1+30)=КалендарнаГодина,MONTH(ЮлНед1+30)=7),ЮлНед1+30,""))</f>
        <v>44040</v>
      </c>
      <c r="E36" s="25">
        <f>IF(DAY(ЮлНед1)=1,IF(AND(YEAR(ЮлНед1+24)=КалендарнаГодина,MONTH(ЮлНед1+24)=7),ЮлНед1+24,""),IF(AND(YEAR(ЮлНед1+31)=КалендарнаГодина,MONTH(ЮлНед1+31)=7),ЮлНед1+31,""))</f>
        <v>44041</v>
      </c>
      <c r="F36" s="25">
        <f>IF(DAY(ЮлНед1)=1,IF(AND(YEAR(ЮлНед1+25)=КалендарнаГодина,MONTH(ЮлНед1+25)=7),ЮлНед1+25,""),IF(AND(YEAR(ЮлНед1+32)=КалендарнаГодина,MONTH(ЮлНед1+32)=7),ЮлНед1+32,""))</f>
        <v>44042</v>
      </c>
      <c r="G36" s="25">
        <f>IF(DAY(ЮлНед1)=1,IF(AND(YEAR(ЮлНед1+26)=КалендарнаГодина,MONTH(ЮлНед1+26)=7),ЮлНед1+26,""),IF(AND(YEAR(ЮлНед1+33)=КалендарнаГодина,MONTH(ЮлНед1+33)=7),ЮлНед1+33,""))</f>
        <v>44043</v>
      </c>
      <c r="H36" s="25" t="str">
        <f>IF(DAY(ЮлНед1)=1,IF(AND(YEAR(ЮлНед1+27)=КалендарнаГодина,MONTH(ЮлНед1+27)=7),ЮлНед1+27,""),IF(AND(YEAR(ЮлНед1+34)=КалендарнаГодина,MONTH(ЮлНед1+34)=7),ЮлНед1+34,""))</f>
        <v/>
      </c>
      <c r="I36" s="25" t="str">
        <f>IF(DAY(ЮлНед1)=1,IF(AND(YEAR(ЮлНед1+28)=КалендарнаГодина,MONTH(ЮлНед1+28)=7),ЮлНед1+28,""),IF(AND(YEAR(ЮлНед1+35)=КалендарнаГодина,MONTH(ЮлНед1+35)=7),ЮлНед1+35,""))</f>
        <v/>
      </c>
      <c r="K36" s="25">
        <f>IF(DAY(АвгНед1)=1,IF(AND(YEAR(АвгНед1+22)=КалендарнаГодина,MONTH(АвгНед1+22)=8),АвгНед1+22,""),IF(AND(YEAR(АвгНед1+29)=КалендарнаГодина,MONTH(АвгНед1+29)=8),АвгНед1+29,""))</f>
        <v>44067</v>
      </c>
      <c r="L36" s="25">
        <f>IF(DAY(АвгНед1)=1,IF(AND(YEAR(АвгНед1+23)=КалендарнаГодина,MONTH(АвгНед1+23)=8),АвгНед1+23,""),IF(AND(YEAR(АвгНед1+30)=КалендарнаГодина,MONTH(АвгНед1+30)=8),АвгНед1+30,""))</f>
        <v>44068</v>
      </c>
      <c r="M36" s="25">
        <f>IF(DAY(АвгНед1)=1,IF(AND(YEAR(АвгНед1+24)=КалендарнаГодина,MONTH(АвгНед1+24)=8),АвгНед1+24,""),IF(AND(YEAR(АвгНед1+31)=КалендарнаГодина,MONTH(АвгНед1+31)=8),АвгНед1+31,""))</f>
        <v>44069</v>
      </c>
      <c r="N36" s="25">
        <f>IF(DAY(АвгНед1)=1,IF(AND(YEAR(АвгНед1+25)=КалендарнаГодина,MONTH(АвгНед1+25)=8),АвгНед1+25,""),IF(AND(YEAR(АвгНед1+32)=КалендарнаГодина,MONTH(АвгНед1+32)=8),АвгНед1+32,""))</f>
        <v>44070</v>
      </c>
      <c r="O36" s="25">
        <f>IF(DAY(АвгНед1)=1,IF(AND(YEAR(АвгНед1+26)=КалендарнаГодина,MONTH(АвгНед1+26)=8),АвгНед1+26,""),IF(AND(YEAR(АвгНед1+33)=КалендарнаГодина,MONTH(АвгНед1+33)=8),АвгНед1+33,""))</f>
        <v>44071</v>
      </c>
      <c r="P36" s="25">
        <f>IF(DAY(АвгНед1)=1,IF(AND(YEAR(АвгНед1+27)=КалендарнаГодина,MONTH(АвгНед1+27)=8),АвгНед1+27,""),IF(AND(YEAR(АвгНед1+34)=КалендарнаГодина,MONTH(АвгНед1+34)=8),АвгНед1+34,""))</f>
        <v>44072</v>
      </c>
      <c r="Q36" s="25">
        <f>IF(DAY(АвгНед1)=1,IF(AND(YEAR(АвгНед1+28)=КалендарнаГодина,MONTH(АвгНед1+28)=8),АвгНед1+28,""),IF(AND(YEAR(АвгНед1+35)=КалендарнаГодина,MONTH(АвгНед1+35)=8),АвгНед1+35,""))</f>
        <v>44073</v>
      </c>
      <c r="S36" s="23"/>
      <c r="U36" s="10"/>
      <c r="V36" s="26"/>
      <c r="W36" s="26"/>
    </row>
    <row r="37" spans="1:23" ht="15" customHeight="1" x14ac:dyDescent="0.2">
      <c r="C37" s="25" t="str">
        <f>IF(DAY(ЮлНед1)=1,IF(AND(YEAR(ЮлНед1+29)=КалендарнаГодина,MONTH(ЮлНед1+29)=7),ЮлНед1+29,""),IF(AND(YEAR(ЮлНед1+36)=КалендарнаГодина,MONTH(ЮлНед1+36)=7),ЮлНед1+36,""))</f>
        <v/>
      </c>
      <c r="D37" s="25" t="str">
        <f>IF(DAY(ЮлНед1)=1,IF(AND(YEAR(ЮлНед1+30)=КалендарнаГодина,MONTH(ЮлНед1+30)=7),ЮлНед1+30,""),IF(AND(YEAR(ЮлНед1+37)=КалендарнаГодина,MONTH(ЮлНед1+37)=7),ЮлНед1+37,""))</f>
        <v/>
      </c>
      <c r="E37" s="25" t="str">
        <f>IF(DAY(ЮлНед1)=1,IF(AND(YEAR(ЮлНед1+31)=КалендарнаГодина,MONTH(ЮлНед1+31)=7),ЮлНед1+31,""),IF(AND(YEAR(ЮлНед1+38)=КалендарнаГодина,MONTH(ЮлНед1+38)=7),ЮлНед1+38,""))</f>
        <v/>
      </c>
      <c r="F37" s="25" t="str">
        <f>IF(DAY(ЮлНед1)=1,IF(AND(YEAR(ЮлНед1+32)=КалендарнаГодина,MONTH(ЮлНед1+32)=7),ЮлНед1+32,""),IF(AND(YEAR(ЮлНед1+39)=КалендарнаГодина,MONTH(ЮлНед1+39)=7),ЮлНед1+39,""))</f>
        <v/>
      </c>
      <c r="G37" s="25" t="str">
        <f>IF(DAY(ЮлНед1)=1,IF(AND(YEAR(ЮлНед1+33)=КалендарнаГодина,MONTH(ЮлНед1+33)=7),ЮлНед1+33,""),IF(AND(YEAR(ЮлНед1+40)=КалендарнаГодина,MONTH(ЮлНед1+40)=7),ЮлНед1+40,""))</f>
        <v/>
      </c>
      <c r="H37" s="25" t="str">
        <f>IF(DAY(ЮлНед1)=1,IF(AND(YEAR(ЮлНед1+34)=КалендарнаГодина,MONTH(ЮлНед1+34)=7),ЮлНед1+34,""),IF(AND(YEAR(ЮлНед1+41)=КалендарнаГодина,MONTH(ЮлНед1+41)=7),ЮлНед1+41,""))</f>
        <v/>
      </c>
      <c r="I37" s="25" t="str">
        <f>IF(DAY(ЮлНед1)=1,IF(AND(YEAR(ЮлНед1+35)=КалендарнаГодина,MONTH(ЮлНед1+35)=7),ЮлНед1+35,""),IF(AND(YEAR(ЮлНед1+42)=КалендарнаГодина,MONTH(ЮлНед1+42)=7),ЮлНед1+42,""))</f>
        <v/>
      </c>
      <c r="K37" s="25">
        <f>IF(DAY(АвгНед1)=1,IF(AND(YEAR(АвгНед1+29)=КалендарнаГодина,MONTH(АвгНед1+29)=8),АвгНед1+29,""),IF(AND(YEAR(АвгНед1+36)=КалендарнаГодина,MONTH(АвгНед1+36)=8),АвгНед1+36,""))</f>
        <v>44074</v>
      </c>
      <c r="L37" s="25" t="str">
        <f>IF(DAY(АвгНед1)=1,IF(AND(YEAR(АвгНед1+30)=КалендарнаГодина,MONTH(АвгНед1+30)=8),АвгНед1+30,""),IF(AND(YEAR(АвгНед1+37)=КалендарнаГодина,MONTH(АвгНед1+37)=8),АвгНед1+37,""))</f>
        <v/>
      </c>
      <c r="M37" s="25" t="str">
        <f>IF(DAY(АвгНед1)=1,IF(AND(YEAR(АвгНед1+31)=КалендарнаГодина,MONTH(АвгНед1+31)=8),АвгНед1+31,""),IF(AND(YEAR(АвгНед1+38)=КалендарнаГодина,MONTH(АвгНед1+38)=8),АвгНед1+38,""))</f>
        <v/>
      </c>
      <c r="N37" s="25" t="str">
        <f>IF(DAY(АвгНед1)=1,IF(AND(YEAR(АвгНед1+32)=КалендарнаГодина,MONTH(АвгНед1+32)=8),АвгНед1+32,""),IF(AND(YEAR(АвгНед1+39)=КалендарнаГодина,MONTH(АвгНед1+39)=8),АвгНед1+39,""))</f>
        <v/>
      </c>
      <c r="O37" s="25" t="str">
        <f>IF(DAY(АвгНед1)=1,IF(AND(YEAR(АвгНед1+33)=КалендарнаГодина,MONTH(АвгНед1+33)=8),АвгНед1+33,""),IF(AND(YEAR(АвгНед1+40)=КалендарнаГодина,MONTH(АвгНед1+40)=8),АвгНед1+40,""))</f>
        <v/>
      </c>
      <c r="P37" s="25" t="str">
        <f>IF(DAY(АвгНед1)=1,IF(AND(YEAR(АвгНед1+34)=КалендарнаГодина,MONTH(АвгНед1+34)=8),АвгНед1+34,""),IF(AND(YEAR(АвгНед1+41)=КалендарнаГодина,MONTH(АвгНед1+41)=8),АвгНед1+41,""))</f>
        <v/>
      </c>
      <c r="Q37" s="25" t="str">
        <f>IF(DAY(АвгНед1)=1,IF(AND(YEAR(АвгНед1+35)=КалендарнаГодина,MONTH(АвгНед1+35)=8),АвгНед1+35,""),IF(AND(YEAR(АвгНед1+42)=КалендарнаГодина,MONTH(АвгНед1+42)=8),АвгНед1+42,""))</f>
        <v/>
      </c>
      <c r="S37" s="23"/>
      <c r="U37" s="3"/>
      <c r="V37" s="26"/>
      <c r="W37" s="26"/>
    </row>
    <row r="38" spans="1:23" ht="15" customHeight="1" x14ac:dyDescent="0.2"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S38" s="23"/>
      <c r="U38" s="2"/>
      <c r="V38" s="26"/>
      <c r="W38" s="26"/>
    </row>
    <row r="39" spans="1:23" ht="15" customHeight="1" x14ac:dyDescent="0.2">
      <c r="A39" s="18" t="s">
        <v>16</v>
      </c>
      <c r="C39" s="27" t="s">
        <v>30</v>
      </c>
      <c r="D39" s="27"/>
      <c r="E39" s="27"/>
      <c r="F39" s="27"/>
      <c r="G39" s="27"/>
      <c r="H39" s="27"/>
      <c r="I39" s="27"/>
      <c r="K39" s="27" t="s">
        <v>42</v>
      </c>
      <c r="L39" s="27"/>
      <c r="M39" s="27"/>
      <c r="N39" s="27"/>
      <c r="O39" s="27"/>
      <c r="P39" s="27"/>
      <c r="Q39" s="27"/>
      <c r="S39" s="23"/>
      <c r="U39" s="10"/>
      <c r="V39" s="26"/>
      <c r="W39" s="26"/>
    </row>
    <row r="40" spans="1:23" ht="15" customHeight="1" x14ac:dyDescent="0.2">
      <c r="A40" s="18" t="s">
        <v>17</v>
      </c>
      <c r="C40" s="11" t="s">
        <v>26</v>
      </c>
      <c r="D40" s="11" t="s">
        <v>32</v>
      </c>
      <c r="E40" s="11" t="s">
        <v>33</v>
      </c>
      <c r="F40" s="11" t="s">
        <v>34</v>
      </c>
      <c r="G40" s="11" t="s">
        <v>35</v>
      </c>
      <c r="H40" s="11" t="s">
        <v>36</v>
      </c>
      <c r="I40" s="11" t="s">
        <v>37</v>
      </c>
      <c r="K40" s="11" t="s">
        <v>26</v>
      </c>
      <c r="L40" s="11" t="s">
        <v>32</v>
      </c>
      <c r="M40" s="11" t="s">
        <v>33</v>
      </c>
      <c r="N40" s="11" t="s">
        <v>34</v>
      </c>
      <c r="O40" s="11" t="s">
        <v>35</v>
      </c>
      <c r="P40" s="11" t="s">
        <v>36</v>
      </c>
      <c r="Q40" s="11" t="s">
        <v>37</v>
      </c>
      <c r="S40" s="23"/>
      <c r="U40" s="3"/>
      <c r="V40" s="26"/>
      <c r="W40" s="26"/>
    </row>
    <row r="41" spans="1:23" ht="15" customHeight="1" x14ac:dyDescent="0.2">
      <c r="C41" s="25" t="str">
        <f>IF(DAY(СепНед1)=1,"",IF(AND(YEAR(СепНед1+1)=КалендарнаГодина,MONTH(СепНед1+1)=9),СепНед1+1,""))</f>
        <v/>
      </c>
      <c r="D41" s="25">
        <f>IF(DAY(СепНед1)=1,"",IF(AND(YEAR(СепНед1+2)=КалендарнаГодина,MONTH(СепНед1+2)=9),СепНед1+2,""))</f>
        <v>44075</v>
      </c>
      <c r="E41" s="25">
        <f>IF(DAY(СепНед1)=1,"",IF(AND(YEAR(СепНед1+3)=КалендарнаГодина,MONTH(СепНед1+3)=9),СепНед1+3,""))</f>
        <v>44076</v>
      </c>
      <c r="F41" s="25">
        <f>IF(DAY(СепНед1)=1,"",IF(AND(YEAR(СепНед1+4)=КалендарнаГодина,MONTH(СепНед1+4)=9),СепНед1+4,""))</f>
        <v>44077</v>
      </c>
      <c r="G41" s="25">
        <f>IF(DAY(СепНед1)=1,"",IF(AND(YEAR(СепНед1+5)=КалендарнаГодина,MONTH(СепНед1+5)=9),СепНед1+5,""))</f>
        <v>44078</v>
      </c>
      <c r="H41" s="25">
        <f>IF(DAY(СепНед1)=1,"",IF(AND(YEAR(СепНед1+6)=КалендарнаГодина,MONTH(СепНед1+6)=9),СепНед1+6,""))</f>
        <v>44079</v>
      </c>
      <c r="I41" s="25">
        <f>IF(DAY(СепНед1)=1,IF(AND(YEAR(СепНед1)=КалендарнаГодина,MONTH(СепНед1)=9),СепНед1,""),IF(AND(YEAR(СепНед1+7)=КалендарнаГодина,MONTH(СепНед1+7)=9),СепНед1+7,""))</f>
        <v>44080</v>
      </c>
      <c r="K41" s="25" t="str">
        <f>IF(DAY(ОктНед1)=1,"",IF(AND(YEAR(ОктНед1+1)=КалендарнаГодина,MONTH(ОктНед1+1)=10),ОктНед1+1,""))</f>
        <v/>
      </c>
      <c r="L41" s="25" t="str">
        <f>IF(DAY(ОктНед1)=1,"",IF(AND(YEAR(ОктНед1+2)=КалендарнаГодина,MONTH(ОктНед1+2)=10),ОктНед1+2,""))</f>
        <v/>
      </c>
      <c r="M41" s="25" t="str">
        <f>IF(DAY(ОктНед1)=1,"",IF(AND(YEAR(ОктНед1+3)=КалендарнаГодина,MONTH(ОктНед1+3)=10),ОктНед1+3,""))</f>
        <v/>
      </c>
      <c r="N41" s="25">
        <f>IF(DAY(ОктНед1)=1,"",IF(AND(YEAR(ОктНед1+4)=КалендарнаГодина,MONTH(ОктНед1+4)=10),ОктНед1+4,""))</f>
        <v>44105</v>
      </c>
      <c r="O41" s="25">
        <f>IF(DAY(ОктНед1)=1,"",IF(AND(YEAR(ОктНед1+5)=КалендарнаГодина,MONTH(ОктНед1+5)=10),ОктНед1+5,""))</f>
        <v>44106</v>
      </c>
      <c r="P41" s="25">
        <f>IF(DAY(ОктНед1)=1,"",IF(AND(YEAR(ОктНед1+6)=КалендарнаГодина,MONTH(ОктНед1+6)=10),ОктНед1+6,""))</f>
        <v>44107</v>
      </c>
      <c r="Q41" s="25">
        <f>IF(DAY(ОктНед1)=1,IF(AND(YEAR(ОктНед1)=КалендарнаГодина,MONTH(ОктНед1)=10),ОктНед1,""),IF(AND(YEAR(ОктНед1+7)=КалендарнаГодина,MONTH(ОктНед1+7)=10),ОктНед1+7,""))</f>
        <v>44108</v>
      </c>
      <c r="S41" s="23"/>
      <c r="U41" s="2"/>
      <c r="V41" s="26"/>
      <c r="W41" s="26"/>
    </row>
    <row r="42" spans="1:23" ht="15" customHeight="1" x14ac:dyDescent="0.2">
      <c r="C42" s="25">
        <f>IF(DAY(СепНед1)=1,IF(AND(YEAR(СепНед1+1)=КалендарнаГодина,MONTH(СепНед1+1)=9),СепНед1+1,""),IF(AND(YEAR(СепНед1+8)=КалендарнаГодина,MONTH(СепНед1+8)=9),СепНед1+8,""))</f>
        <v>44081</v>
      </c>
      <c r="D42" s="25">
        <f>IF(DAY(СепНед1)=1,IF(AND(YEAR(СепНед1+2)=КалендарнаГодина,MONTH(СепНед1+2)=9),СепНед1+2,""),IF(AND(YEAR(СепНед1+9)=КалендарнаГодина,MONTH(СепНед1+9)=9),СепНед1+9,""))</f>
        <v>44082</v>
      </c>
      <c r="E42" s="25">
        <f>IF(DAY(СепНед1)=1,IF(AND(YEAR(СепНед1+3)=КалендарнаГодина,MONTH(СепНед1+3)=9),СепНед1+3,""),IF(AND(YEAR(СепНед1+10)=КалендарнаГодина,MONTH(СепНед1+10)=9),СепНед1+10,""))</f>
        <v>44083</v>
      </c>
      <c r="F42" s="25">
        <f>IF(DAY(СепНед1)=1,IF(AND(YEAR(СепНед1+4)=КалендарнаГодина,MONTH(СепНед1+4)=9),СепНед1+4,""),IF(AND(YEAR(СепНед1+11)=КалендарнаГодина,MONTH(СепНед1+11)=9),СепНед1+11,""))</f>
        <v>44084</v>
      </c>
      <c r="G42" s="25">
        <f>IF(DAY(СепНед1)=1,IF(AND(YEAR(СепНед1+5)=КалендарнаГодина,MONTH(СепНед1+5)=9),СепНед1+5,""),IF(AND(YEAR(СепНед1+12)=КалендарнаГодина,MONTH(СепНед1+12)=9),СепНед1+12,""))</f>
        <v>44085</v>
      </c>
      <c r="H42" s="25">
        <f>IF(DAY(СепНед1)=1,IF(AND(YEAR(СепНед1+6)=КалендарнаГодина,MONTH(СепНед1+6)=9),СепНед1+6,""),IF(AND(YEAR(СепНед1+13)=КалендарнаГодина,MONTH(СепНед1+13)=9),СепНед1+13,""))</f>
        <v>44086</v>
      </c>
      <c r="I42" s="25">
        <f>IF(DAY(СепНед1)=1,IF(AND(YEAR(СепНед1+7)=КалендарнаГодина,MONTH(СепНед1+7)=9),СепНед1+7,""),IF(AND(YEAR(СепНед1+14)=КалендарнаГодина,MONTH(СепНед1+14)=9),СепНед1+14,""))</f>
        <v>44087</v>
      </c>
      <c r="K42" s="25">
        <f>IF(DAY(ОктНед1)=1,IF(AND(YEAR(ОктНед1+1)=КалендарнаГодина,MONTH(ОктНед1+1)=10),ОктНед1+1,""),IF(AND(YEAR(ОктНед1+8)=КалендарнаГодина,MONTH(ОктНед1+8)=10),ОктНед1+8,""))</f>
        <v>44109</v>
      </c>
      <c r="L42" s="25">
        <f>IF(DAY(ОктНед1)=1,IF(AND(YEAR(ОктНед1+2)=КалендарнаГодина,MONTH(ОктНед1+2)=10),ОктНед1+2,""),IF(AND(YEAR(ОктНед1+9)=КалендарнаГодина,MONTH(ОктНед1+9)=10),ОктНед1+9,""))</f>
        <v>44110</v>
      </c>
      <c r="M42" s="25">
        <f>IF(DAY(ОктНед1)=1,IF(AND(YEAR(ОктНед1+3)=КалендарнаГодина,MONTH(ОктНед1+3)=10),ОктНед1+3,""),IF(AND(YEAR(ОктНед1+10)=КалендарнаГодина,MONTH(ОктНед1+10)=10),ОктНед1+10,""))</f>
        <v>44111</v>
      </c>
      <c r="N42" s="25">
        <f>IF(DAY(ОктНед1)=1,IF(AND(YEAR(ОктНед1+4)=КалендарнаГодина,MONTH(ОктНед1+4)=10),ОктНед1+4,""),IF(AND(YEAR(ОктНед1+11)=КалендарнаГодина,MONTH(ОктНед1+11)=10),ОктНед1+11,""))</f>
        <v>44112</v>
      </c>
      <c r="O42" s="25">
        <f>IF(DAY(ОктНед1)=1,IF(AND(YEAR(ОктНед1+5)=КалендарнаГодина,MONTH(ОктНед1+5)=10),ОктНед1+5,""),IF(AND(YEAR(ОктНед1+12)=КалендарнаГодина,MONTH(ОктНед1+12)=10),ОктНед1+12,""))</f>
        <v>44113</v>
      </c>
      <c r="P42" s="25">
        <f>IF(DAY(ОктНед1)=1,IF(AND(YEAR(ОктНед1+6)=КалендарнаГодина,MONTH(ОктНед1+6)=10),ОктНед1+6,""),IF(AND(YEAR(ОктНед1+13)=КалендарнаГодина,MONTH(ОктНед1+13)=10),ОктНед1+13,""))</f>
        <v>44114</v>
      </c>
      <c r="Q42" s="25">
        <f>IF(DAY(ОктНед1)=1,IF(AND(YEAR(ОктНед1+7)=КалендарнаГодина,MONTH(ОктНед1+7)=10),ОктНед1+7,""),IF(AND(YEAR(ОктНед1+14)=КалендарнаГодина,MONTH(ОктНед1+14)=10),ОктНед1+14,""))</f>
        <v>44115</v>
      </c>
      <c r="S42" s="23"/>
      <c r="U42" s="10"/>
      <c r="V42" s="26"/>
      <c r="W42" s="26"/>
    </row>
    <row r="43" spans="1:23" ht="15" customHeight="1" x14ac:dyDescent="0.2">
      <c r="C43" s="25">
        <f>IF(DAY(СепНед1)=1,IF(AND(YEAR(СепНед1+8)=КалендарнаГодина,MONTH(СепНед1+8)=9),СепНед1+8,""),IF(AND(YEAR(СепНед1+15)=КалендарнаГодина,MONTH(СепНед1+15)=9),СепНед1+15,""))</f>
        <v>44088</v>
      </c>
      <c r="D43" s="25">
        <f>IF(DAY(СепНед1)=1,IF(AND(YEAR(СепНед1+9)=КалендарнаГодина,MONTH(СепНед1+9)=9),СепНед1+9,""),IF(AND(YEAR(СепНед1+16)=КалендарнаГодина,MONTH(СепНед1+16)=9),СепНед1+16,""))</f>
        <v>44089</v>
      </c>
      <c r="E43" s="25">
        <f>IF(DAY(СепНед1)=1,IF(AND(YEAR(СепНед1+10)=КалендарнаГодина,MONTH(СепНед1+10)=9),СепНед1+10,""),IF(AND(YEAR(СепНед1+17)=КалендарнаГодина,MONTH(СепНед1+17)=9),СепНед1+17,""))</f>
        <v>44090</v>
      </c>
      <c r="F43" s="25">
        <f>IF(DAY(СепНед1)=1,IF(AND(YEAR(СепНед1+11)=КалендарнаГодина,MONTH(СепНед1+11)=9),СепНед1+11,""),IF(AND(YEAR(СепНед1+18)=КалендарнаГодина,MONTH(СепНед1+18)=9),СепНед1+18,""))</f>
        <v>44091</v>
      </c>
      <c r="G43" s="25">
        <f>IF(DAY(СепНед1)=1,IF(AND(YEAR(СепНед1+12)=КалендарнаГодина,MONTH(СепНед1+12)=9),СепНед1+12,""),IF(AND(YEAR(СепНед1+19)=КалендарнаГодина,MONTH(СепНед1+19)=9),СепНед1+19,""))</f>
        <v>44092</v>
      </c>
      <c r="H43" s="25">
        <f>IF(DAY(СепНед1)=1,IF(AND(YEAR(СепНед1+13)=КалендарнаГодина,MONTH(СепНед1+13)=9),СепНед1+13,""),IF(AND(YEAR(СепНед1+20)=КалендарнаГодина,MONTH(СепНед1+20)=9),СепНед1+20,""))</f>
        <v>44093</v>
      </c>
      <c r="I43" s="25">
        <f>IF(DAY(СепНед1)=1,IF(AND(YEAR(СепНед1+14)=КалендарнаГодина,MONTH(СепНед1+14)=9),СепНед1+14,""),IF(AND(YEAR(СепНед1+21)=КалендарнаГодина,MONTH(СепНед1+21)=9),СепНед1+21,""))</f>
        <v>44094</v>
      </c>
      <c r="K43" s="25">
        <f>IF(DAY(ОктНед1)=1,IF(AND(YEAR(ОктНед1+8)=КалендарнаГодина,MONTH(ОктНед1+8)=10),ОктНед1+8,""),IF(AND(YEAR(ОктНед1+15)=КалендарнаГодина,MONTH(ОктНед1+15)=10),ОктНед1+15,""))</f>
        <v>44116</v>
      </c>
      <c r="L43" s="25">
        <f>IF(DAY(ОктНед1)=1,IF(AND(YEAR(ОктНед1+9)=КалендарнаГодина,MONTH(ОктНед1+9)=10),ОктНед1+9,""),IF(AND(YEAR(ОктНед1+16)=КалендарнаГодина,MONTH(ОктНед1+16)=10),ОктНед1+16,""))</f>
        <v>44117</v>
      </c>
      <c r="M43" s="25">
        <f>IF(DAY(ОктНед1)=1,IF(AND(YEAR(ОктНед1+10)=КалендарнаГодина,MONTH(ОктНед1+10)=10),ОктНед1+10,""),IF(AND(YEAR(ОктНед1+17)=КалендарнаГодина,MONTH(ОктНед1+17)=10),ОктНед1+17,""))</f>
        <v>44118</v>
      </c>
      <c r="N43" s="25">
        <f>IF(DAY(ОктНед1)=1,IF(AND(YEAR(ОктНед1+11)=КалендарнаГодина,MONTH(ОктНед1+11)=10),ОктНед1+11,""),IF(AND(YEAR(ОктНед1+18)=КалендарнаГодина,MONTH(ОктНед1+18)=10),ОктНед1+18,""))</f>
        <v>44119</v>
      </c>
      <c r="O43" s="25">
        <f>IF(DAY(ОктНед1)=1,IF(AND(YEAR(ОктНед1+12)=КалендарнаГодина,MONTH(ОктНед1+12)=10),ОктНед1+12,""),IF(AND(YEAR(ОктНед1+19)=КалендарнаГодина,MONTH(ОктНед1+19)=10),ОктНед1+19,""))</f>
        <v>44120</v>
      </c>
      <c r="P43" s="25">
        <f>IF(DAY(ОктНед1)=1,IF(AND(YEAR(ОктНед1+13)=КалендарнаГодина,MONTH(ОктНед1+13)=10),ОктНед1+13,""),IF(AND(YEAR(ОктНед1+20)=КалендарнаГодина,MONTH(ОктНед1+20)=10),ОктНед1+20,""))</f>
        <v>44121</v>
      </c>
      <c r="Q43" s="25">
        <f>IF(DAY(ОктНед1)=1,IF(AND(YEAR(ОктНед1+14)=КалендарнаГодина,MONTH(ОктНед1+14)=10),ОктНед1+14,""),IF(AND(YEAR(ОктНед1+21)=КалендарнаГодина,MONTH(ОктНед1+21)=10),ОктНед1+21,""))</f>
        <v>44122</v>
      </c>
      <c r="S43" s="23"/>
      <c r="U43" s="3"/>
      <c r="V43" s="26"/>
      <c r="W43" s="26"/>
    </row>
    <row r="44" spans="1:23" ht="15" customHeight="1" x14ac:dyDescent="0.2">
      <c r="A44" s="18" t="s">
        <v>18</v>
      </c>
      <c r="C44" s="25">
        <f>IF(DAY(СепНед1)=1,IF(AND(YEAR(СепНед1+15)=КалендарнаГодина,MONTH(СепНед1+15)=9),СепНед1+15,""),IF(AND(YEAR(СепНед1+22)=КалендарнаГодина,MONTH(СепНед1+22)=9),СепНед1+22,""))</f>
        <v>44095</v>
      </c>
      <c r="D44" s="25">
        <f>IF(DAY(СепНед1)=1,IF(AND(YEAR(СепНед1+16)=КалендарнаГодина,MONTH(СепНед1+16)=9),СепНед1+16,""),IF(AND(YEAR(СепНед1+23)=КалендарнаГодина,MONTH(СепНед1+23)=9),СепНед1+23,""))</f>
        <v>44096</v>
      </c>
      <c r="E44" s="25">
        <f>IF(DAY(СепНед1)=1,IF(AND(YEAR(СепНед1+17)=КалендарнаГодина,MONTH(СепНед1+17)=9),СепНед1+17,""),IF(AND(YEAR(СепНед1+24)=КалендарнаГодина,MONTH(СепНед1+24)=9),СепНед1+24,""))</f>
        <v>44097</v>
      </c>
      <c r="F44" s="25">
        <f>IF(DAY(СепНед1)=1,IF(AND(YEAR(СепНед1+18)=КалендарнаГодина,MONTH(СепНед1+18)=9),СепНед1+18,""),IF(AND(YEAR(СепНед1+25)=КалендарнаГодина,MONTH(СепНед1+25)=9),СепНед1+25,""))</f>
        <v>44098</v>
      </c>
      <c r="G44" s="25">
        <f>IF(DAY(СепНед1)=1,IF(AND(YEAR(СепНед1+19)=КалендарнаГодина,MONTH(СепНед1+19)=9),СепНед1+19,""),IF(AND(YEAR(СепНед1+26)=КалендарнаГодина,MONTH(СепНед1+26)=9),СепНед1+26,""))</f>
        <v>44099</v>
      </c>
      <c r="H44" s="25">
        <f>IF(DAY(СепНед1)=1,IF(AND(YEAR(СепНед1+20)=КалендарнаГодина,MONTH(СепНед1+20)=9),СепНед1+20,""),IF(AND(YEAR(СепНед1+27)=КалендарнаГодина,MONTH(СепНед1+27)=9),СепНед1+27,""))</f>
        <v>44100</v>
      </c>
      <c r="I44" s="25">
        <f>IF(DAY(СепНед1)=1,IF(AND(YEAR(СепНед1+21)=КалендарнаГодина,MONTH(СепНед1+21)=9),СепНед1+21,""),IF(AND(YEAR(СепНед1+28)=КалендарнаГодина,MONTH(СепНед1+28)=9),СепНед1+28,""))</f>
        <v>44101</v>
      </c>
      <c r="K44" s="25">
        <f>IF(DAY(ОктНед1)=1,IF(AND(YEAR(ОктНед1+15)=КалендарнаГодина,MONTH(ОктНед1+15)=10),ОктНед1+15,""),IF(AND(YEAR(ОктНед1+22)=КалендарнаГодина,MONTH(ОктНед1+22)=10),ОктНед1+22,""))</f>
        <v>44123</v>
      </c>
      <c r="L44" s="25">
        <f>IF(DAY(ОктНед1)=1,IF(AND(YEAR(ОктНед1+16)=КалендарнаГодина,MONTH(ОктНед1+16)=10),ОктНед1+16,""),IF(AND(YEAR(ОктНед1+23)=КалендарнаГодина,MONTH(ОктНед1+23)=10),ОктНед1+23,""))</f>
        <v>44124</v>
      </c>
      <c r="M44" s="25">
        <f>IF(DAY(ОктНед1)=1,IF(AND(YEAR(ОктНед1+17)=КалендарнаГодина,MONTH(ОктНед1+17)=10),ОктНед1+17,""),IF(AND(YEAR(ОктНед1+24)=КалендарнаГодина,MONTH(ОктНед1+24)=10),ОктНед1+24,""))</f>
        <v>44125</v>
      </c>
      <c r="N44" s="25">
        <f>IF(DAY(ОктНед1)=1,IF(AND(YEAR(ОктНед1+18)=КалендарнаГодина,MONTH(ОктНед1+18)=10),ОктНед1+18,""),IF(AND(YEAR(ОктНед1+25)=КалендарнаГодина,MONTH(ОктНед1+25)=10),ОктНед1+25,""))</f>
        <v>44126</v>
      </c>
      <c r="O44" s="25">
        <f>IF(DAY(ОктНед1)=1,IF(AND(YEAR(ОктНед1+19)=КалендарнаГодина,MONTH(ОктНед1+19)=10),ОктНед1+19,""),IF(AND(YEAR(ОктНед1+26)=КалендарнаГодина,MONTH(ОктНед1+26)=10),ОктНед1+26,""))</f>
        <v>44127</v>
      </c>
      <c r="P44" s="25">
        <f>IF(DAY(ОктНед1)=1,IF(AND(YEAR(ОктНед1+20)=КалендарнаГодина,MONTH(ОктНед1+20)=10),ОктНед1+20,""),IF(AND(YEAR(ОктНед1+27)=КалендарнаГодина,MONTH(ОктНед1+27)=10),ОктНед1+27,""))</f>
        <v>44128</v>
      </c>
      <c r="Q44" s="25">
        <f>IF(DAY(ОктНед1)=1,IF(AND(YEAR(ОктНед1+21)=КалендарнаГодина,MONTH(ОктНед1+21)=10),ОктНед1+21,""),IF(AND(YEAR(ОктНед1+28)=КалендарнаГодина,MONTH(ОктНед1+28)=10),ОктНед1+28,""))</f>
        <v>44129</v>
      </c>
      <c r="S44" s="23"/>
      <c r="U44" s="8" t="s">
        <v>51</v>
      </c>
      <c r="V44" s="26"/>
      <c r="W44" s="26"/>
    </row>
    <row r="45" spans="1:23" ht="15" customHeight="1" x14ac:dyDescent="0.2">
      <c r="A45" s="18" t="s">
        <v>19</v>
      </c>
      <c r="C45" s="25">
        <f>IF(DAY(СепНед1)=1,IF(AND(YEAR(СепНед1+22)=КалендарнаГодина,MONTH(СепНед1+22)=9),СепНед1+22,""),IF(AND(YEAR(СепНед1+29)=КалендарнаГодина,MONTH(СепНед1+29)=9),СепНед1+29,""))</f>
        <v>44102</v>
      </c>
      <c r="D45" s="25">
        <f>IF(DAY(СепНед1)=1,IF(AND(YEAR(СепНед1+23)=КалендарнаГодина,MONTH(СепНед1+23)=9),СепНед1+23,""),IF(AND(YEAR(СепНед1+30)=КалендарнаГодина,MONTH(СепНед1+30)=9),СепНед1+30,""))</f>
        <v>44103</v>
      </c>
      <c r="E45" s="25">
        <f>IF(DAY(СепНед1)=1,IF(AND(YEAR(СепНед1+24)=КалендарнаГодина,MONTH(СепНед1+24)=9),СепНед1+24,""),IF(AND(YEAR(СепНед1+31)=КалендарнаГодина,MONTH(СепНед1+31)=9),СепНед1+31,""))</f>
        <v>44104</v>
      </c>
      <c r="F45" s="25" t="str">
        <f>IF(DAY(СепНед1)=1,IF(AND(YEAR(СепНед1+25)=КалендарнаГодина,MONTH(СепНед1+25)=9),СепНед1+25,""),IF(AND(YEAR(СепНед1+32)=КалендарнаГодина,MONTH(СепНед1+32)=9),СепНед1+32,""))</f>
        <v/>
      </c>
      <c r="G45" s="25" t="str">
        <f>IF(DAY(СепНед1)=1,IF(AND(YEAR(СепНед1+26)=КалендарнаГодина,MONTH(СепНед1+26)=9),СепНед1+26,""),IF(AND(YEAR(СепНед1+33)=КалендарнаГодина,MONTH(СепНед1+33)=9),СепНед1+33,""))</f>
        <v/>
      </c>
      <c r="H45" s="25" t="str">
        <f>IF(DAY(СепНед1)=1,IF(AND(YEAR(СепНед1+27)=КалендарнаГодина,MONTH(СепНед1+27)=9),СепНед1+27,""),IF(AND(YEAR(СепНед1+34)=КалендарнаГодина,MONTH(СепНед1+34)=9),СепНед1+34,""))</f>
        <v/>
      </c>
      <c r="I45" s="25" t="str">
        <f>IF(DAY(СепНед1)=1,IF(AND(YEAR(СепНед1+28)=КалендарнаГодина,MONTH(СепНед1+28)=9),СепНед1+28,""),IF(AND(YEAR(СепНед1+35)=КалендарнаГодина,MONTH(СепНед1+35)=9),СепНед1+35,""))</f>
        <v/>
      </c>
      <c r="K45" s="25">
        <f>IF(DAY(ОктНед1)=1,IF(AND(YEAR(ОктНед1+22)=КалендарнаГодина,MONTH(ОктНед1+22)=10),ОктНед1+22,""),IF(AND(YEAR(ОктНед1+29)=КалендарнаГодина,MONTH(ОктНед1+29)=10),ОктНед1+29,""))</f>
        <v>44130</v>
      </c>
      <c r="L45" s="25">
        <f>IF(DAY(ОктНед1)=1,IF(AND(YEAR(ОктНед1+23)=КалендарнаГодина,MONTH(ОктНед1+23)=10),ОктНед1+23,""),IF(AND(YEAR(ОктНед1+30)=КалендарнаГодина,MONTH(ОктНед1+30)=10),ОктНед1+30,""))</f>
        <v>44131</v>
      </c>
      <c r="M45" s="25">
        <f>IF(DAY(ОктНед1)=1,IF(AND(YEAR(ОктНед1+24)=КалендарнаГодина,MONTH(ОктНед1+24)=10),ОктНед1+24,""),IF(AND(YEAR(ОктНед1+31)=КалендарнаГодина,MONTH(ОктНед1+31)=10),ОктНед1+31,""))</f>
        <v>44132</v>
      </c>
      <c r="N45" s="25">
        <f>IF(DAY(ОктНед1)=1,IF(AND(YEAR(ОктНед1+25)=КалендарнаГодина,MONTH(ОктНед1+25)=10),ОктНед1+25,""),IF(AND(YEAR(ОктНед1+32)=КалендарнаГодина,MONTH(ОктНед1+32)=10),ОктНед1+32,""))</f>
        <v>44133</v>
      </c>
      <c r="O45" s="25">
        <f>IF(DAY(ОктНед1)=1,IF(AND(YEAR(ОктНед1+26)=КалендарнаГодина,MONTH(ОктНед1+26)=10),ОктНед1+26,""),IF(AND(YEAR(ОктНед1+33)=КалендарнаГодина,MONTH(ОктНед1+33)=10),ОктНед1+33,""))</f>
        <v>44134</v>
      </c>
      <c r="P45" s="25">
        <f>IF(DAY(ОктНед1)=1,IF(AND(YEAR(ОктНед1+27)=КалендарнаГодина,MONTH(ОктНед1+27)=10),ОктНед1+27,""),IF(AND(YEAR(ОктНед1+34)=КалендарнаГодина,MONTH(ОктНед1+34)=10),ОктНед1+34,""))</f>
        <v>44135</v>
      </c>
      <c r="Q45" s="25" t="str">
        <f>IF(DAY(ОктНед1)=1,IF(AND(YEAR(ОктНед1+28)=КалендарнаГодина,MONTH(ОктНед1+28)=10),ОктНед1+28,""),IF(AND(YEAR(ОктНед1+35)=КалендарнаГодина,MONTH(ОктНед1+35)=10),ОктНед1+35,""))</f>
        <v/>
      </c>
      <c r="S45" s="23"/>
      <c r="U45" s="9" t="s">
        <v>52</v>
      </c>
      <c r="V45" s="26"/>
      <c r="W45" s="26"/>
    </row>
    <row r="46" spans="1:23" ht="15" customHeight="1" x14ac:dyDescent="0.2">
      <c r="A46" s="18"/>
      <c r="C46" s="25" t="str">
        <f>IF(DAY(СепНед1)=1,IF(AND(YEAR(СепНед1+29)=КалендарнаГодина,MONTH(СепНед1+29)=9),СепНед1+29,""),IF(AND(YEAR(СепНед1+36)=КалендарнаГодина,MONTH(СепНед1+36)=9),СепНед1+36,""))</f>
        <v/>
      </c>
      <c r="D46" s="25" t="str">
        <f>IF(DAY(СепНед1)=1,IF(AND(YEAR(СепНед1+30)=КалендарнаГодина,MONTH(СепНед1+30)=9),СепНед1+30,""),IF(AND(YEAR(СепНед1+37)=КалендарнаГодина,MONTH(СепНед1+37)=9),СепНед1+37,""))</f>
        <v/>
      </c>
      <c r="E46" s="25" t="str">
        <f>IF(DAY(СепНед1)=1,IF(AND(YEAR(СепНед1+31)=КалендарнаГодина,MONTH(СепНед1+31)=9),СепНед1+31,""),IF(AND(YEAR(СепНед1+38)=КалендарнаГодина,MONTH(СепНед1+38)=9),СепНед1+38,""))</f>
        <v/>
      </c>
      <c r="F46" s="25" t="str">
        <f>IF(DAY(СепНед1)=1,IF(AND(YEAR(СепНед1+32)=КалендарнаГодина,MONTH(СепНед1+32)=9),СепНед1+32,""),IF(AND(YEAR(СепНед1+39)=КалендарнаГодина,MONTH(СепНед1+39)=9),СепНед1+39,""))</f>
        <v/>
      </c>
      <c r="G46" s="25" t="str">
        <f>IF(DAY(СепНед1)=1,IF(AND(YEAR(СепНед1+33)=КалендарнаГодина,MONTH(СепНед1+33)=9),СепНед1+33,""),IF(AND(YEAR(СепНед1+40)=КалендарнаГодина,MONTH(СепНед1+40)=9),СепНед1+40,""))</f>
        <v/>
      </c>
      <c r="H46" s="25" t="str">
        <f>IF(DAY(СепНед1)=1,IF(AND(YEAR(СепНед1+34)=КалендарнаГодина,MONTH(СепНед1+34)=9),СепНед1+34,""),IF(AND(YEAR(СепНед1+41)=КалендарнаГодина,MONTH(СепНед1+41)=9),СепНед1+41,""))</f>
        <v/>
      </c>
      <c r="I46" s="25" t="str">
        <f>IF(DAY(СепНед1)=1,IF(AND(YEAR(СепНед1+35)=КалендарнаГодина,MONTH(СепНед1+35)=9),СепНед1+35,""),IF(AND(YEAR(СепНед1+42)=КалендарнаГодина,MONTH(СепНед1+42)=9),СепНед1+42,""))</f>
        <v/>
      </c>
      <c r="K46" s="25" t="str">
        <f>IF(DAY(ОктНед1)=1,IF(AND(YEAR(ОктНед1+29)=КалендарнаГодина,MONTH(ОктНед1+29)=10),ОктНед1+29,""),IF(AND(YEAR(ОктНед1+36)=КалендарнаГодина,MONTH(ОктНед1+36)=10),ОктНед1+36,""))</f>
        <v/>
      </c>
      <c r="L46" s="25" t="str">
        <f>IF(DAY(ОктНед1)=1,IF(AND(YEAR(ОктНед1+30)=КалендарнаГодина,MONTH(ОктНед1+30)=10),ОктНед1+30,""),IF(AND(YEAR(ОктНед1+37)=КалендарнаГодина,MONTH(ОктНед1+37)=10),ОктНед1+37,""))</f>
        <v/>
      </c>
      <c r="M46" s="25" t="str">
        <f>IF(DAY(ОктНед1)=1,IF(AND(YEAR(ОктНед1+31)=КалендарнаГодина,MONTH(ОктНед1+31)=10),ОктНед1+31,""),IF(AND(YEAR(ОктНед1+38)=КалендарнаГодина,MONTH(ОктНед1+38)=10),ОктНед1+38,""))</f>
        <v/>
      </c>
      <c r="N46" s="25" t="str">
        <f>IF(DAY(ОктНед1)=1,IF(AND(YEAR(ОктНед1+32)=КалендарнаГодина,MONTH(ОктНед1+32)=10),ОктНед1+32,""),IF(AND(YEAR(ОктНед1+39)=КалендарнаГодина,MONTH(ОктНед1+39)=10),ОктНед1+39,""))</f>
        <v/>
      </c>
      <c r="O46" s="25" t="str">
        <f>IF(DAY(ОктНед1)=1,IF(AND(YEAR(ОктНед1+33)=КалендарнаГодина,MONTH(ОктНед1+33)=10),ОктНед1+33,""),IF(AND(YEAR(ОктНед1+40)=КалендарнаГодина,MONTH(ОктНед1+40)=10),ОктНед1+40,""))</f>
        <v/>
      </c>
      <c r="P46" s="25" t="str">
        <f>IF(DAY(ОктНед1)=1,IF(AND(YEAR(ОктНед1+34)=КалендарнаГодина,MONTH(ОктНед1+34)=10),ОктНед1+34,""),IF(AND(YEAR(ОктНед1+41)=КалендарнаГодина,MONTH(ОктНед1+41)=10),ОктНед1+41,""))</f>
        <v/>
      </c>
      <c r="Q46" s="25" t="str">
        <f>IF(DAY(ОктНед1)=1,IF(AND(YEAR(ОктНед1+35)=КалендарнаГодина,MONTH(ОктНед1+35)=10),ОктНед1+35,""),IF(AND(YEAR(ОктНед1+42)=КалендарнаГодина,MONTH(ОктНед1+42)=10),ОктНед1+42,""))</f>
        <v/>
      </c>
      <c r="S46" s="23"/>
      <c r="U46" s="9"/>
      <c r="V46" s="26"/>
      <c r="W46" s="26"/>
    </row>
    <row r="47" spans="1:23" ht="15" customHeight="1" x14ac:dyDescent="0.2">
      <c r="A47" s="18" t="s">
        <v>20</v>
      </c>
      <c r="S47" s="23"/>
      <c r="U47" s="9" t="s">
        <v>53</v>
      </c>
      <c r="V47" s="26"/>
      <c r="W47" s="26"/>
    </row>
    <row r="48" spans="1:23" ht="15" customHeight="1" x14ac:dyDescent="0.2">
      <c r="A48" s="18" t="s">
        <v>21</v>
      </c>
      <c r="C48" s="27" t="s">
        <v>31</v>
      </c>
      <c r="D48" s="27"/>
      <c r="E48" s="27"/>
      <c r="F48" s="27"/>
      <c r="G48" s="27"/>
      <c r="H48" s="27"/>
      <c r="I48" s="27"/>
      <c r="K48" s="27" t="s">
        <v>43</v>
      </c>
      <c r="L48" s="27"/>
      <c r="M48" s="27"/>
      <c r="N48" s="27"/>
      <c r="O48" s="27"/>
      <c r="P48" s="27"/>
      <c r="Q48" s="27"/>
      <c r="S48" s="23"/>
      <c r="U48" s="9" t="s">
        <v>54</v>
      </c>
      <c r="V48" s="26"/>
      <c r="W48" s="26"/>
    </row>
    <row r="49" spans="1:21" ht="15" customHeight="1" x14ac:dyDescent="0.2">
      <c r="A49" s="18" t="s">
        <v>22</v>
      </c>
      <c r="C49" s="11" t="s">
        <v>26</v>
      </c>
      <c r="D49" s="11" t="s">
        <v>32</v>
      </c>
      <c r="E49" s="11" t="s">
        <v>33</v>
      </c>
      <c r="F49" s="11" t="s">
        <v>34</v>
      </c>
      <c r="G49" s="11" t="s">
        <v>35</v>
      </c>
      <c r="H49" s="11" t="s">
        <v>36</v>
      </c>
      <c r="I49" s="11" t="s">
        <v>37</v>
      </c>
      <c r="J49" s="22"/>
      <c r="K49" s="11" t="s">
        <v>26</v>
      </c>
      <c r="L49" s="11" t="s">
        <v>32</v>
      </c>
      <c r="M49" s="11" t="s">
        <v>33</v>
      </c>
      <c r="N49" s="11" t="s">
        <v>34</v>
      </c>
      <c r="O49" s="11" t="s">
        <v>35</v>
      </c>
      <c r="P49" s="11" t="s">
        <v>36</v>
      </c>
      <c r="Q49" s="11" t="s">
        <v>37</v>
      </c>
      <c r="S49" s="23"/>
      <c r="U49" s="9" t="s">
        <v>55</v>
      </c>
    </row>
    <row r="50" spans="1:21" ht="15" customHeight="1" x14ac:dyDescent="0.2">
      <c r="A50" s="18"/>
      <c r="C50" s="25" t="str">
        <f>IF(DAY(НоеНед1)=1,"",IF(AND(YEAR(НоеНед1+1)=КалендарнаГодина,MONTH(НоеНед1+1)=11),НоеНед1+1,""))</f>
        <v/>
      </c>
      <c r="D50" s="25" t="str">
        <f>IF(DAY(НоеНед1)=1,"",IF(AND(YEAR(НоеНед1+2)=КалендарнаГодина,MONTH(НоеНед1+2)=11),НоеНед1+2,""))</f>
        <v/>
      </c>
      <c r="E50" s="25" t="str">
        <f>IF(DAY(НоеНед1)=1,"",IF(AND(YEAR(НоеНед1+3)=КалендарнаГодина,MONTH(НоеНед1+3)=11),НоеНед1+3,""))</f>
        <v/>
      </c>
      <c r="F50" s="25" t="str">
        <f>IF(DAY(НоеНед1)=1,"",IF(AND(YEAR(НоеНед1+4)=КалендарнаГодина,MONTH(НоеНед1+4)=11),НоеНед1+4,""))</f>
        <v/>
      </c>
      <c r="G50" s="25" t="str">
        <f>IF(DAY(НоеНед1)=1,"",IF(AND(YEAR(НоеНед1+5)=КалендарнаГодина,MONTH(НоеНед1+5)=11),НоеНед1+5,""))</f>
        <v/>
      </c>
      <c r="H50" s="25" t="str">
        <f>IF(DAY(НоеНед1)=1,"",IF(AND(YEAR(НоеНед1+6)=КалендарнаГодина,MONTH(НоеНед1+6)=11),НоеНед1+6,""))</f>
        <v/>
      </c>
      <c r="I50" s="25">
        <f>IF(DAY(НоеНед1)=1,IF(AND(YEAR(НоеНед1)=КалендарнаГодина,MONTH(НоеНед1)=11),НоеНед1,""),IF(AND(YEAR(НоеНед1+7)=КалендарнаГодина,MONTH(НоеНед1+7)=11),НоеНед1+7,""))</f>
        <v>44136</v>
      </c>
      <c r="K50" s="25" t="str">
        <f>IF(DAY(ДекНед1)=1,"",IF(AND(YEAR(ДекНед1+1)=КалендарнаГодина,MONTH(ДекНед1+1)=12),ДекНед1+1,""))</f>
        <v/>
      </c>
      <c r="L50" s="25">
        <f>IF(DAY(ДекНед1)=1,"",IF(AND(YEAR(ДекНед1+2)=КалендарнаГодина,MONTH(ДекНед1+2)=12),ДекНед1+2,""))</f>
        <v>44166</v>
      </c>
      <c r="M50" s="25">
        <f>IF(DAY(ДекНед1)=1,"",IF(AND(YEAR(ДекНед1+3)=КалендарнаГодина,MONTH(ДекНед1+3)=12),ДекНед1+3,""))</f>
        <v>44167</v>
      </c>
      <c r="N50" s="25">
        <f>IF(DAY(ДекНед1)=1,"",IF(AND(YEAR(ДекНед1+4)=КалендарнаГодина,MONTH(ДекНед1+4)=12),ДекНед1+4,""))</f>
        <v>44168</v>
      </c>
      <c r="O50" s="25">
        <f>IF(DAY(ДекНед1)=1,"",IF(AND(YEAR(ДекНед1+5)=КалендарнаГодина,MONTH(ДекНед1+5)=12),ДекНед1+5,""))</f>
        <v>44169</v>
      </c>
      <c r="P50" s="25">
        <f>IF(DAY(ДекНед1)=1,"",IF(AND(YEAR(ДекНед1+6)=КалендарнаГодина,MONTH(ДекНед1+6)=12),ДекНед1+6,""))</f>
        <v>44170</v>
      </c>
      <c r="Q50" s="25">
        <f>IF(DAY(ДекНед1)=1,IF(AND(YEAR(ДекНед1)=КалендарнаГодина,MONTH(ДекНед1)=12),ДекНед1,""),IF(AND(YEAR(ДекНед1+7)=КалендарнаГодина,MONTH(ДекНед1+7)=12),ДекНед1+7,""))</f>
        <v>44171</v>
      </c>
      <c r="S50" s="23"/>
      <c r="U50" s="1"/>
    </row>
    <row r="51" spans="1:21" ht="15" customHeight="1" x14ac:dyDescent="0.2">
      <c r="A51" s="18" t="s">
        <v>23</v>
      </c>
      <c r="C51" s="25">
        <f>IF(DAY(НоеНед1)=1,IF(AND(YEAR(НоеНед1+1)=КалендарнаГодина,MONTH(НоеНед1+1)=11),НоеНед1+1,""),IF(AND(YEAR(НоеНед1+8)=КалендарнаГодина,MONTH(НоеНед1+8)=11),НоеНед1+8,""))</f>
        <v>44137</v>
      </c>
      <c r="D51" s="25">
        <f>IF(DAY(НоеНед1)=1,IF(AND(YEAR(НоеНед1+2)=КалендарнаГодина,MONTH(НоеНед1+2)=11),НоеНед1+2,""),IF(AND(YEAR(НоеНед1+9)=КалендарнаГодина,MONTH(НоеНед1+9)=11),НоеНед1+9,""))</f>
        <v>44138</v>
      </c>
      <c r="E51" s="25">
        <f>IF(DAY(НоеНед1)=1,IF(AND(YEAR(НоеНед1+3)=КалендарнаГодина,MONTH(НоеНед1+3)=11),НоеНед1+3,""),IF(AND(YEAR(НоеНед1+10)=КалендарнаГодина,MONTH(НоеНед1+10)=11),НоеНед1+10,""))</f>
        <v>44139</v>
      </c>
      <c r="F51" s="25">
        <f>IF(DAY(НоеНед1)=1,IF(AND(YEAR(НоеНед1+4)=КалендарнаГодина,MONTH(НоеНед1+4)=11),НоеНед1+4,""),IF(AND(YEAR(НоеНед1+11)=КалендарнаГодина,MONTH(НоеНед1+11)=11),НоеНед1+11,""))</f>
        <v>44140</v>
      </c>
      <c r="G51" s="25">
        <f>IF(DAY(НоеНед1)=1,IF(AND(YEAR(НоеНед1+5)=КалендарнаГодина,MONTH(НоеНед1+5)=11),НоеНед1+5,""),IF(AND(YEAR(НоеНед1+12)=КалендарнаГодина,MONTH(НоеНед1+12)=11),НоеНед1+12,""))</f>
        <v>44141</v>
      </c>
      <c r="H51" s="25">
        <f>IF(DAY(НоеНед1)=1,IF(AND(YEAR(НоеНед1+6)=КалендарнаГодина,MONTH(НоеНед1+6)=11),НоеНед1+6,""),IF(AND(YEAR(НоеНед1+13)=КалендарнаГодина,MONTH(НоеНед1+13)=11),НоеНед1+13,""))</f>
        <v>44142</v>
      </c>
      <c r="I51" s="25">
        <f>IF(DAY(НоеНед1)=1,IF(AND(YEAR(НоеНед1+7)=КалендарнаГодина,MONTH(НоеНед1+7)=11),НоеНед1+7,""),IF(AND(YEAR(НоеНед1+14)=КалендарнаГодина,MONTH(НоеНед1+14)=11),НоеНед1+14,""))</f>
        <v>44143</v>
      </c>
      <c r="K51" s="25">
        <f>IF(DAY(ДекНед1)=1,IF(AND(YEAR(ДекНед1+1)=КалендарнаГодина,MONTH(ДекНед1+1)=12),ДекНед1+1,""),IF(AND(YEAR(ДекНед1+8)=КалендарнаГодина,MONTH(ДекНед1+8)=12),ДекНед1+8,""))</f>
        <v>44172</v>
      </c>
      <c r="L51" s="25">
        <f>IF(DAY(ДекНед1)=1,IF(AND(YEAR(ДекНед1+2)=КалендарнаГодина,MONTH(ДекНед1+2)=12),ДекНед1+2,""),IF(AND(YEAR(ДекНед1+9)=КалендарнаГодина,MONTH(ДекНед1+9)=12),ДекНед1+9,""))</f>
        <v>44173</v>
      </c>
      <c r="M51" s="25">
        <f>IF(DAY(ДекНед1)=1,IF(AND(YEAR(ДекНед1+3)=КалендарнаГодина,MONTH(ДекНед1+3)=12),ДекНед1+3,""),IF(AND(YEAR(ДекНед1+10)=КалендарнаГодина,MONTH(ДекНед1+10)=12),ДекНед1+10,""))</f>
        <v>44174</v>
      </c>
      <c r="N51" s="25">
        <f>IF(DAY(ДекНед1)=1,IF(AND(YEAR(ДекНед1+4)=КалендарнаГодина,MONTH(ДекНед1+4)=12),ДекНед1+4,""),IF(AND(YEAR(ДекНед1+11)=КалендарнаГодина,MONTH(ДекНед1+11)=12),ДекНед1+11,""))</f>
        <v>44175</v>
      </c>
      <c r="O51" s="25">
        <f>IF(DAY(ДекНед1)=1,IF(AND(YEAR(ДекНед1+5)=КалендарнаГодина,MONTH(ДекНед1+5)=12),ДекНед1+5,""),IF(AND(YEAR(ДекНед1+12)=КалендарнаГодина,MONTH(ДекНед1+12)=12),ДекНед1+12,""))</f>
        <v>44176</v>
      </c>
      <c r="P51" s="25">
        <f>IF(DAY(ДекНед1)=1,IF(AND(YEAR(ДекНед1+6)=КалендарнаГодина,MONTH(ДекНед1+6)=12),ДекНед1+6,""),IF(AND(YEAR(ДекНед1+13)=КалендарнаГодина,MONTH(ДекНед1+13)=12),ДекНед1+13,""))</f>
        <v>44177</v>
      </c>
      <c r="Q51" s="25">
        <f>IF(DAY(ДекНед1)=1,IF(AND(YEAR(ДекНед1+7)=КалендарнаГодина,MONTH(ДекНед1+7)=12),ДекНед1+7,""),IF(AND(YEAR(ДекНед1+14)=КалендарнаГодина,MONTH(ДекНед1+14)=12),ДекНед1+14,""))</f>
        <v>44178</v>
      </c>
      <c r="S51" s="23"/>
      <c r="U51" s="29" t="s">
        <v>56</v>
      </c>
    </row>
    <row r="52" spans="1:21" ht="15" customHeight="1" x14ac:dyDescent="0.2">
      <c r="C52" s="25">
        <f>IF(DAY(НоеНед1)=1,IF(AND(YEAR(НоеНед1+8)=КалендарнаГодина,MONTH(НоеНед1+8)=11),НоеНед1+8,""),IF(AND(YEAR(НоеНед1+15)=КалендарнаГодина,MONTH(НоеНед1+15)=11),НоеНед1+15,""))</f>
        <v>44144</v>
      </c>
      <c r="D52" s="25">
        <f>IF(DAY(НоеНед1)=1,IF(AND(YEAR(НоеНед1+9)=КалендарнаГодина,MONTH(НоеНед1+9)=11),НоеНед1+9,""),IF(AND(YEAR(НоеНед1+16)=КалендарнаГодина,MONTH(НоеНед1+16)=11),НоеНед1+16,""))</f>
        <v>44145</v>
      </c>
      <c r="E52" s="25">
        <f>IF(DAY(НоеНед1)=1,IF(AND(YEAR(НоеНед1+10)=КалендарнаГодина,MONTH(НоеНед1+10)=11),НоеНед1+10,""),IF(AND(YEAR(НоеНед1+17)=КалендарнаГодина,MONTH(НоеНед1+17)=11),НоеНед1+17,""))</f>
        <v>44146</v>
      </c>
      <c r="F52" s="25">
        <f>IF(DAY(НоеНед1)=1,IF(AND(YEAR(НоеНед1+11)=КалендарнаГодина,MONTH(НоеНед1+11)=11),НоеНед1+11,""),IF(AND(YEAR(НоеНед1+18)=КалендарнаГодина,MONTH(НоеНед1+18)=11),НоеНед1+18,""))</f>
        <v>44147</v>
      </c>
      <c r="G52" s="25">
        <f>IF(DAY(НоеНед1)=1,IF(AND(YEAR(НоеНед1+12)=КалендарнаГодина,MONTH(НоеНед1+12)=11),НоеНед1+12,""),IF(AND(YEAR(НоеНед1+19)=КалендарнаГодина,MONTH(НоеНед1+19)=11),НоеНед1+19,""))</f>
        <v>44148</v>
      </c>
      <c r="H52" s="25">
        <f>IF(DAY(НоеНед1)=1,IF(AND(YEAR(НоеНед1+13)=КалендарнаГодина,MONTH(НоеНед1+13)=11),НоеНед1+13,""),IF(AND(YEAR(НоеНед1+20)=КалендарнаГодина,MONTH(НоеНед1+20)=11),НоеНед1+20,""))</f>
        <v>44149</v>
      </c>
      <c r="I52" s="25">
        <f>IF(DAY(НоеНед1)=1,IF(AND(YEAR(НоеНед1+14)=КалендарнаГодина,MONTH(НоеНед1+14)=11),НоеНед1+14,""),IF(AND(YEAR(НоеНед1+21)=КалендарнаГодина,MONTH(НоеНед1+21)=11),НоеНед1+21,""))</f>
        <v>44150</v>
      </c>
      <c r="K52" s="25">
        <f>IF(DAY(ДекНед1)=1,IF(AND(YEAR(ДекНед1+8)=КалендарнаГодина,MONTH(ДекНед1+8)=12),ДекНед1+8,""),IF(AND(YEAR(ДекНед1+15)=КалендарнаГодина,MONTH(ДекНед1+15)=12),ДекНед1+15,""))</f>
        <v>44179</v>
      </c>
      <c r="L52" s="25">
        <f>IF(DAY(ДекНед1)=1,IF(AND(YEAR(ДекНед1+9)=КалендарнаГодина,MONTH(ДекНед1+9)=12),ДекНед1+9,""),IF(AND(YEAR(ДекНед1+16)=КалендарнаГодина,MONTH(ДекНед1+16)=12),ДекНед1+16,""))</f>
        <v>44180</v>
      </c>
      <c r="M52" s="25">
        <f>IF(DAY(ДекНед1)=1,IF(AND(YEAR(ДекНед1+10)=КалендарнаГодина,MONTH(ДекНед1+10)=12),ДекНед1+10,""),IF(AND(YEAR(ДекНед1+17)=КалендарнаГодина,MONTH(ДекНед1+17)=12),ДекНед1+17,""))</f>
        <v>44181</v>
      </c>
      <c r="N52" s="25">
        <f>IF(DAY(ДекНед1)=1,IF(AND(YEAR(ДекНед1+11)=КалендарнаГодина,MONTH(ДекНед1+11)=12),ДекНед1+11,""),IF(AND(YEAR(ДекНед1+18)=КалендарнаГодина,MONTH(ДекНед1+18)=12),ДекНед1+18,""))</f>
        <v>44182</v>
      </c>
      <c r="O52" s="25">
        <f>IF(DAY(ДекНед1)=1,IF(AND(YEAR(ДекНед1+12)=КалендарнаГодина,MONTH(ДекНед1+12)=12),ДекНед1+12,""),IF(AND(YEAR(ДекНед1+19)=КалендарнаГодина,MONTH(ДекНед1+19)=12),ДекНед1+19,""))</f>
        <v>44183</v>
      </c>
      <c r="P52" s="25">
        <f>IF(DAY(ДекНед1)=1,IF(AND(YEAR(ДекНед1+13)=КалендарнаГодина,MONTH(ДекНед1+13)=12),ДекНед1+13,""),IF(AND(YEAR(ДекНед1+20)=КалендарнаГодина,MONTH(ДекНед1+20)=12),ДекНед1+20,""))</f>
        <v>44184</v>
      </c>
      <c r="Q52" s="25">
        <f>IF(DAY(ДекНед1)=1,IF(AND(YEAR(ДекНед1+14)=КалендарнаГодина,MONTH(ДекНед1+14)=12),ДекНед1+14,""),IF(AND(YEAR(ДекНед1+21)=КалендарнаГодина,MONTH(ДекНед1+21)=12),ДекНед1+21,""))</f>
        <v>44185</v>
      </c>
      <c r="S52" s="23"/>
      <c r="U52" s="29"/>
    </row>
    <row r="53" spans="1:21" ht="15" customHeight="1" x14ac:dyDescent="0.2">
      <c r="C53" s="25">
        <f>IF(DAY(НоеНед1)=1,IF(AND(YEAR(НоеНед1+15)=КалендарнаГодина,MONTH(НоеНед1+15)=11),НоеНед1+15,""),IF(AND(YEAR(НоеНед1+22)=КалендарнаГодина,MONTH(НоеНед1+22)=11),НоеНед1+22,""))</f>
        <v>44151</v>
      </c>
      <c r="D53" s="25">
        <f>IF(DAY(НоеНед1)=1,IF(AND(YEAR(НоеНед1+16)=КалендарнаГодина,MONTH(НоеНед1+16)=11),НоеНед1+16,""),IF(AND(YEAR(НоеНед1+23)=КалендарнаГодина,MONTH(НоеНед1+23)=11),НоеНед1+23,""))</f>
        <v>44152</v>
      </c>
      <c r="E53" s="25">
        <f>IF(DAY(НоеНед1)=1,IF(AND(YEAR(НоеНед1+17)=КалендарнаГодина,MONTH(НоеНед1+17)=11),НоеНед1+17,""),IF(AND(YEAR(НоеНед1+24)=КалендарнаГодина,MONTH(НоеНед1+24)=11),НоеНед1+24,""))</f>
        <v>44153</v>
      </c>
      <c r="F53" s="25">
        <f>IF(DAY(НоеНед1)=1,IF(AND(YEAR(НоеНед1+18)=КалендарнаГодина,MONTH(НоеНед1+18)=11),НоеНед1+18,""),IF(AND(YEAR(НоеНед1+25)=КалендарнаГодина,MONTH(НоеНед1+25)=11),НоеНед1+25,""))</f>
        <v>44154</v>
      </c>
      <c r="G53" s="25">
        <f>IF(DAY(НоеНед1)=1,IF(AND(YEAR(НоеНед1+19)=КалендарнаГодина,MONTH(НоеНед1+19)=11),НоеНед1+19,""),IF(AND(YEAR(НоеНед1+26)=КалендарнаГодина,MONTH(НоеНед1+26)=11),НоеНед1+26,""))</f>
        <v>44155</v>
      </c>
      <c r="H53" s="25">
        <f>IF(DAY(НоеНед1)=1,IF(AND(YEAR(НоеНед1+20)=КалендарнаГодина,MONTH(НоеНед1+20)=11),НоеНед1+20,""),IF(AND(YEAR(НоеНед1+27)=КалендарнаГодина,MONTH(НоеНед1+27)=11),НоеНед1+27,""))</f>
        <v>44156</v>
      </c>
      <c r="I53" s="25">
        <f>IF(DAY(НоеНед1)=1,IF(AND(YEAR(НоеНед1+21)=КалендарнаГодина,MONTH(НоеНед1+21)=11),НоеНед1+21,""),IF(AND(YEAR(НоеНед1+28)=КалендарнаГодина,MONTH(НоеНед1+28)=11),НоеНед1+28,""))</f>
        <v>44157</v>
      </c>
      <c r="K53" s="25">
        <f>IF(DAY(ДекНед1)=1,IF(AND(YEAR(ДекНед1+15)=КалендарнаГодина,MONTH(ДекНед1+15)=12),ДекНед1+15,""),IF(AND(YEAR(ДекНед1+22)=КалендарнаГодина,MONTH(ДекНед1+22)=12),ДекНед1+22,""))</f>
        <v>44186</v>
      </c>
      <c r="L53" s="25">
        <f>IF(DAY(ДекНед1)=1,IF(AND(YEAR(ДекНед1+16)=КалендарнаГодина,MONTH(ДекНед1+16)=12),ДекНед1+16,""),IF(AND(YEAR(ДекНед1+23)=КалендарнаГодина,MONTH(ДекНед1+23)=12),ДекНед1+23,""))</f>
        <v>44187</v>
      </c>
      <c r="M53" s="25">
        <f>IF(DAY(ДекНед1)=1,IF(AND(YEAR(ДекНед1+17)=КалендарнаГодина,MONTH(ДекНед1+17)=12),ДекНед1+17,""),IF(AND(YEAR(ДекНед1+24)=КалендарнаГодина,MONTH(ДекНед1+24)=12),ДекНед1+24,""))</f>
        <v>44188</v>
      </c>
      <c r="N53" s="25">
        <f>IF(DAY(ДекНед1)=1,IF(AND(YEAR(ДекНед1+18)=КалендарнаГодина,MONTH(ДекНед1+18)=12),ДекНед1+18,""),IF(AND(YEAR(ДекНед1+25)=КалендарнаГодина,MONTH(ДекНед1+25)=12),ДекНед1+25,""))</f>
        <v>44189</v>
      </c>
      <c r="O53" s="25">
        <f>IF(DAY(ДекНед1)=1,IF(AND(YEAR(ДекНед1+19)=КалендарнаГодина,MONTH(ДекНед1+19)=12),ДекНед1+19,""),IF(AND(YEAR(ДекНед1+26)=КалендарнаГодина,MONTH(ДекНед1+26)=12),ДекНед1+26,""))</f>
        <v>44190</v>
      </c>
      <c r="P53" s="25">
        <f>IF(DAY(ДекНед1)=1,IF(AND(YEAR(ДекНед1+20)=КалендарнаГодина,MONTH(ДекНед1+20)=12),ДекНед1+20,""),IF(AND(YEAR(ДекНед1+27)=КалендарнаГодина,MONTH(ДекНед1+27)=12),ДекНед1+27,""))</f>
        <v>44191</v>
      </c>
      <c r="Q53" s="25">
        <f>IF(DAY(ДекНед1)=1,IF(AND(YEAR(ДекНед1+21)=КалендарнаГодина,MONTH(ДекНед1+21)=12),ДекНед1+21,""),IF(AND(YEAR(ДекНед1+28)=КалендарнаГодина,MONTH(ДекНед1+28)=12),ДекНед1+28,""))</f>
        <v>44192</v>
      </c>
      <c r="S53" s="23"/>
      <c r="U53" s="29"/>
    </row>
    <row r="54" spans="1:21" ht="15" customHeight="1" x14ac:dyDescent="0.2">
      <c r="C54" s="25">
        <f>IF(DAY(НоеНед1)=1,IF(AND(YEAR(НоеНед1+22)=КалендарнаГодина,MONTH(НоеНед1+22)=11),НоеНед1+22,""),IF(AND(YEAR(НоеНед1+29)=КалендарнаГодина,MONTH(НоеНед1+29)=11),НоеНед1+29,""))</f>
        <v>44158</v>
      </c>
      <c r="D54" s="25">
        <f>IF(DAY(НоеНед1)=1,IF(AND(YEAR(НоеНед1+23)=КалендарнаГодина,MONTH(НоеНед1+23)=11),НоеНед1+23,""),IF(AND(YEAR(НоеНед1+30)=КалендарнаГодина,MONTH(НоеНед1+30)=11),НоеНед1+30,""))</f>
        <v>44159</v>
      </c>
      <c r="E54" s="25">
        <f>IF(DAY(НоеНед1)=1,IF(AND(YEAR(НоеНед1+24)=КалендарнаГодина,MONTH(НоеНед1+24)=11),НоеНед1+24,""),IF(AND(YEAR(НоеНед1+31)=КалендарнаГодина,MONTH(НоеНед1+31)=11),НоеНед1+31,""))</f>
        <v>44160</v>
      </c>
      <c r="F54" s="25">
        <f>IF(DAY(НоеНед1)=1,IF(AND(YEAR(НоеНед1+25)=КалендарнаГодина,MONTH(НоеНед1+25)=11),НоеНед1+25,""),IF(AND(YEAR(НоеНед1+32)=КалендарнаГодина,MONTH(НоеНед1+32)=11),НоеНед1+32,""))</f>
        <v>44161</v>
      </c>
      <c r="G54" s="25">
        <f>IF(DAY(НоеНед1)=1,IF(AND(YEAR(НоеНед1+26)=КалендарнаГодина,MONTH(НоеНед1+26)=11),НоеНед1+26,""),IF(AND(YEAR(НоеНед1+33)=КалендарнаГодина,MONTH(НоеНед1+33)=11),НоеНед1+33,""))</f>
        <v>44162</v>
      </c>
      <c r="H54" s="25">
        <f>IF(DAY(НоеНед1)=1,IF(AND(YEAR(НоеНед1+27)=КалендарнаГодина,MONTH(НоеНед1+27)=11),НоеНед1+27,""),IF(AND(YEAR(НоеНед1+34)=КалендарнаГодина,MONTH(НоеНед1+34)=11),НоеНед1+34,""))</f>
        <v>44163</v>
      </c>
      <c r="I54" s="25">
        <f>IF(DAY(НоеНед1)=1,IF(AND(YEAR(НоеНед1+28)=КалендарнаГодина,MONTH(НоеНед1+28)=11),НоеНед1+28,""),IF(AND(YEAR(НоеНед1+35)=КалендарнаГодина,MONTH(НоеНед1+35)=11),НоеНед1+35,""))</f>
        <v>44164</v>
      </c>
      <c r="K54" s="25">
        <f>IF(DAY(ДекНед1)=1,IF(AND(YEAR(ДекНед1+22)=КалендарнаГодина,MONTH(ДекНед1+22)=12),ДекНед1+22,""),IF(AND(YEAR(ДекНед1+29)=КалендарнаГодина,MONTH(ДекНед1+29)=12),ДекНед1+29,""))</f>
        <v>44193</v>
      </c>
      <c r="L54" s="25">
        <f>IF(DAY(ДекНед1)=1,IF(AND(YEAR(ДекНед1+23)=КалендарнаГодина,MONTH(ДекНед1+23)=12),ДекНед1+23,""),IF(AND(YEAR(ДекНед1+30)=КалендарнаГодина,MONTH(ДекНед1+30)=12),ДекНед1+30,""))</f>
        <v>44194</v>
      </c>
      <c r="M54" s="25">
        <f>IF(DAY(ДекНед1)=1,IF(AND(YEAR(ДекНед1+24)=КалендарнаГодина,MONTH(ДекНед1+24)=12),ДекНед1+24,""),IF(AND(YEAR(ДекНед1+31)=КалендарнаГодина,MONTH(ДекНед1+31)=12),ДекНед1+31,""))</f>
        <v>44195</v>
      </c>
      <c r="N54" s="25">
        <f>IF(DAY(ДекНед1)=1,IF(AND(YEAR(ДекНед1+25)=КалендарнаГодина,MONTH(ДекНед1+25)=12),ДекНед1+25,""),IF(AND(YEAR(ДекНед1+32)=КалендарнаГодина,MONTH(ДекНед1+32)=12),ДекНед1+32,""))</f>
        <v>44196</v>
      </c>
      <c r="O54" s="25" t="str">
        <f>IF(DAY(ДекНед1)=1,IF(AND(YEAR(ДекНед1+26)=КалендарнаГодина,MONTH(ДекНед1+26)=12),ДекНед1+26,""),IF(AND(YEAR(ДекНед1+33)=КалендарнаГодина,MONTH(ДекНед1+33)=12),ДекНед1+33,""))</f>
        <v/>
      </c>
      <c r="P54" s="25" t="str">
        <f>IF(DAY(ДекНед1)=1,IF(AND(YEAR(ДекНед1+27)=КалендарнаГодина,MONTH(ДекНед1+27)=12),ДекНед1+27,""),IF(AND(YEAR(ДекНед1+34)=КалендарнаГодина,MONTH(ДекНед1+34)=12),ДекНед1+34,""))</f>
        <v/>
      </c>
      <c r="Q54" s="25" t="str">
        <f>IF(DAY(ДекНед1)=1,IF(AND(YEAR(ДекНед1+28)=КалендарнаГодина,MONTH(ДекНед1+28)=12),ДекНед1+28,""),IF(AND(YEAR(ДекНед1+35)=КалендарнаГодина,MONTH(ДекНед1+35)=12),ДекНед1+35,""))</f>
        <v/>
      </c>
      <c r="S54" s="23"/>
      <c r="U54" s="29"/>
    </row>
    <row r="55" spans="1:21" ht="15" customHeight="1" x14ac:dyDescent="0.2">
      <c r="C55" s="25">
        <f>IF(DAY(НоеНед1)=1,IF(AND(YEAR(НоеНед1+29)=КалендарнаГодина,MONTH(НоеНед1+29)=11),НоеНед1+29,""),IF(AND(YEAR(НоеНед1+36)=КалендарнаГодина,MONTH(НоеНед1+36)=11),НоеНед1+36,""))</f>
        <v>44165</v>
      </c>
      <c r="D55" s="25" t="str">
        <f>IF(DAY(НоеНед1)=1,IF(AND(YEAR(НоеНед1+30)=КалендарнаГодина,MONTH(НоеНед1+30)=11),НоеНед1+30,""),IF(AND(YEAR(НоеНед1+37)=КалендарнаГодина,MONTH(НоеНед1+37)=11),НоеНед1+37,""))</f>
        <v/>
      </c>
      <c r="E55" s="25" t="str">
        <f>IF(DAY(НоеНед1)=1,IF(AND(YEAR(НоеНед1+31)=КалендарнаГодина,MONTH(НоеНед1+31)=11),НоеНед1+31,""),IF(AND(YEAR(НоеНед1+38)=КалендарнаГодина,MONTH(НоеНед1+38)=11),НоеНед1+38,""))</f>
        <v/>
      </c>
      <c r="F55" s="25" t="str">
        <f>IF(DAY(НоеНед1)=1,IF(AND(YEAR(НоеНед1+32)=КалендарнаГодина,MONTH(НоеНед1+32)=11),НоеНед1+32,""),IF(AND(YEAR(НоеНед1+39)=КалендарнаГодина,MONTH(НоеНед1+39)=11),НоеНед1+39,""))</f>
        <v/>
      </c>
      <c r="G55" s="25" t="str">
        <f>IF(DAY(НоеНед1)=1,IF(AND(YEAR(НоеНед1+33)=КалендарнаГодина,MONTH(НоеНед1+33)=11),НоеНед1+33,""),IF(AND(YEAR(НоеНед1+40)=КалендарнаГодина,MONTH(НоеНед1+40)=11),НоеНед1+40,""))</f>
        <v/>
      </c>
      <c r="H55" s="25" t="str">
        <f>IF(DAY(НоеНед1)=1,IF(AND(YEAR(НоеНед1+34)=КалендарнаГодина,MONTH(НоеНед1+34)=11),НоеНед1+34,""),IF(AND(YEAR(НоеНед1+41)=КалендарнаГодина,MONTH(НоеНед1+41)=11),НоеНед1+41,""))</f>
        <v/>
      </c>
      <c r="I55" s="25" t="str">
        <f>IF(DAY(НоеНед1)=1,IF(AND(YEAR(НоеНед1+35)=КалендарнаГодина,MONTH(НоеНед1+35)=11),НоеНед1+35,""),IF(AND(YEAR(НоеНед1+42)=КалендарнаГодина,MONTH(НоеНед1+42)=11),НоеНед1+42,""))</f>
        <v/>
      </c>
      <c r="K55" s="25" t="str">
        <f>IF(DAY(ДекНед1)=1,IF(AND(YEAR(ДекНед1+29)=КалендарнаГодина,MONTH(ДекНед1+29)=12),ДекНед1+29,""),IF(AND(YEAR(ДекНед1+36)=КалендарнаГодина,MONTH(ДекНед1+36)=12),ДекНед1+36,""))</f>
        <v/>
      </c>
      <c r="L55" s="25" t="str">
        <f>IF(DAY(ДекНед1)=1,IF(AND(YEAR(ДекНед1+30)=КалендарнаГодина,MONTH(ДекНед1+30)=12),ДекНед1+30,""),IF(AND(YEAR(ДекНед1+37)=КалендарнаГодина,MONTH(ДекНед1+37)=12),ДекНед1+37,""))</f>
        <v/>
      </c>
      <c r="M55" s="25" t="str">
        <f>IF(DAY(ДекНед1)=1,IF(AND(YEAR(ДекНед1+31)=КалендарнаГодина,MONTH(ДекНед1+31)=12),ДекНед1+31,""),IF(AND(YEAR(ДекНед1+38)=КалендарнаГодина,MONTH(ДекНед1+38)=12),ДекНед1+38,""))</f>
        <v/>
      </c>
      <c r="N55" s="25" t="str">
        <f>IF(DAY(ДекНед1)=1,IF(AND(YEAR(ДекНед1+32)=КалендарнаГодина,MONTH(ДекНед1+32)=12),ДекНед1+32,""),IF(AND(YEAR(ДекНед1+39)=КалендарнаГодина,MONTH(ДекНед1+39)=12),ДекНед1+39,""))</f>
        <v/>
      </c>
      <c r="O55" s="25" t="str">
        <f>IF(DAY(ДекНед1)=1,IF(AND(YEAR(ДекНед1+33)=КалендарнаГодина,MONTH(ДекНед1+33)=12),ДекНед1+33,""),IF(AND(YEAR(ДекНед1+40)=КалендарнаГодина,MONTH(ДекНед1+40)=12),ДекНед1+40,""))</f>
        <v/>
      </c>
      <c r="P55" s="25" t="str">
        <f>IF(DAY(ДекНед1)=1,IF(AND(YEAR(ДекНед1+34)=КалендарнаГодина,MONTH(ДекНед1+34)=12),ДекНед1+34,""),IF(AND(YEAR(ДекНед1+41)=КалендарнаГодина,MONTH(ДекНед1+41)=12),ДекНед1+41,""))</f>
        <v/>
      </c>
      <c r="Q55" s="25" t="str">
        <f>IF(DAY(ДекНед1)=1,IF(AND(YEAR(ДекНед1+35)=КалендарнаГодина,MONTH(ДекНед1+35)=12),ДекНед1+35,""),IF(AND(YEAR(ДекНед1+42)=КалендарнаГодина,MONTH(ДекНед1+42)=12),ДекНед1+42,""))</f>
        <v/>
      </c>
      <c r="S55" s="23"/>
      <c r="U55" s="29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C1:F1"/>
    <mergeCell ref="C3:I3"/>
    <mergeCell ref="K3:Q3"/>
    <mergeCell ref="U51:U55"/>
    <mergeCell ref="C39:I39"/>
    <mergeCell ref="K39:Q39"/>
    <mergeCell ref="C48:I48"/>
    <mergeCell ref="K48:Q48"/>
    <mergeCell ref="B2:N2"/>
    <mergeCell ref="V3:W48"/>
    <mergeCell ref="C12:I12"/>
    <mergeCell ref="K12:Q12"/>
    <mergeCell ref="C21:I21"/>
    <mergeCell ref="K21:Q21"/>
    <mergeCell ref="C30:I30"/>
    <mergeCell ref="K30:Q30"/>
  </mergeCells>
  <phoneticPr fontId="5" type="noConversion"/>
  <dataValidations count="1">
    <dataValidation allowBlank="1" showInputMessage="1" showErrorMessage="1" errorTitle="Невалидна година" error="Въведете година от 1900 г. до 9999 г. или използвайте плъзгача, за да намерите година." sqref="C1:F1" xr:uid="{00000000-0002-0000-0100-000000000000}"/>
  </dataValidations>
  <printOptions horizontalCentered="1" verticalCentered="1"/>
  <pageMargins left="0.5" right="0.5" top="0.5" bottom="0.5" header="0.3" footer="0.3"/>
  <pageSetup paperSize="9" scale="83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Брояч">
              <controlPr defaultSize="0" print="0" autoPict="0" altText="Използвайте бутона на брояча, за да промените календарната година, или въведете годината в клетка C1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Начало</vt:lpstr>
      <vt:lpstr>Годишен Календар</vt:lpstr>
      <vt:lpstr>КалендарнаГодина</vt:lpstr>
      <vt:lpstr>'Годишен Календар'!Област_печат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2020-02-17T09:23:07Z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