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17"/>
  <workbookPr filterPrivacy="1"/>
  <xr:revisionPtr revIDLastSave="0" documentId="13_ncr:1_{B2E2BC14-5784-4DFA-A2AF-98CDE410B5B0}" xr6:coauthVersionLast="43" xr6:coauthVersionMax="43" xr10:uidLastSave="{00000000-0000-0000-0000-000000000000}"/>
  <bookViews>
    <workbookView xWindow="-120" yWindow="-120" windowWidth="28830" windowHeight="14325" xr2:uid="{00000000-000D-0000-FFFF-FFFF00000000}"/>
  </bookViews>
  <sheets>
    <sheet name="Protok gotovine" sheetId="1" r:id="rId1"/>
    <sheet name="Grafikon protoka gotovine" sheetId="2" r:id="rId2"/>
  </sheets>
  <definedNames>
    <definedName name="Cash_beginning">'Protok gotovine'!$C$7</definedName>
    <definedName name="Cash_minimum">'Protok gotovine'!$C$4</definedName>
    <definedName name="Company_name">'Protok gotovine'!$B$2</definedName>
    <definedName name="_xlnm.Print_Titles" localSheetId="0">'Protok gotovine'!$6:$6</definedName>
    <definedName name="Start_date">'Protok gotovine'!$C$3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57" i="1" l="1"/>
  <c r="P58" i="1"/>
  <c r="P59" i="1"/>
  <c r="P60" i="1"/>
  <c r="P61" i="1"/>
  <c r="P48" i="1"/>
  <c r="P49" i="1"/>
  <c r="P50" i="1"/>
  <c r="P51" i="1"/>
  <c r="P11" i="1"/>
  <c r="P12" i="1"/>
  <c r="P13" i="1"/>
  <c r="P14" i="1"/>
  <c r="P15" i="1"/>
  <c r="F16" i="1" l="1"/>
  <c r="D16" i="1"/>
  <c r="O4" i="1" l="1"/>
  <c r="N4" i="1"/>
  <c r="M4" i="1"/>
  <c r="L4" i="1"/>
  <c r="K4" i="1"/>
  <c r="J4" i="1"/>
  <c r="I4" i="1"/>
  <c r="H4" i="1"/>
  <c r="G4" i="1"/>
  <c r="F4" i="1"/>
  <c r="E4" i="1"/>
  <c r="D4" i="1"/>
  <c r="C3" i="1" l="1"/>
  <c r="P56" i="1" l="1"/>
  <c r="C17" i="1" l="1"/>
  <c r="C53" i="1" s="1"/>
  <c r="D7" i="1" l="1"/>
  <c r="D17" i="1" s="1"/>
  <c r="E16" i="1" l="1"/>
  <c r="D37" i="2" l="1"/>
  <c r="P10" i="1" l="1"/>
  <c r="P47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20" i="1"/>
  <c r="G16" i="1"/>
  <c r="H16" i="1"/>
  <c r="I16" i="1"/>
  <c r="J16" i="1"/>
  <c r="K16" i="1"/>
  <c r="L16" i="1"/>
  <c r="M16" i="1"/>
  <c r="N16" i="1"/>
  <c r="O16" i="1"/>
  <c r="D45" i="1" l="1"/>
  <c r="D52" i="1" s="1"/>
  <c r="F45" i="1"/>
  <c r="F52" i="1" s="1"/>
  <c r="K45" i="1"/>
  <c r="K52" i="1" s="1"/>
  <c r="E45" i="1"/>
  <c r="E52" i="1" s="1"/>
  <c r="J45" i="1"/>
  <c r="J52" i="1" s="1"/>
  <c r="N45" i="1"/>
  <c r="N52" i="1" s="1"/>
  <c r="I45" i="1"/>
  <c r="I52" i="1" s="1"/>
  <c r="O45" i="1"/>
  <c r="O52" i="1" s="1"/>
  <c r="H45" i="1"/>
  <c r="H52" i="1" s="1"/>
  <c r="L45" i="1"/>
  <c r="L52" i="1" s="1"/>
  <c r="M45" i="1"/>
  <c r="M52" i="1" s="1"/>
  <c r="G45" i="1"/>
  <c r="G52" i="1" s="1"/>
  <c r="P16" i="1"/>
  <c r="P52" i="1" l="1"/>
  <c r="D53" i="1"/>
  <c r="E7" i="1" s="1"/>
  <c r="E17" i="1" s="1"/>
  <c r="E53" i="1" s="1"/>
  <c r="F7" i="1" s="1"/>
  <c r="F17" i="1" s="1"/>
  <c r="F53" i="1" s="1"/>
  <c r="G7" i="1" s="1"/>
  <c r="G17" i="1" s="1"/>
  <c r="G53" i="1" s="1"/>
  <c r="H7" i="1" s="1"/>
  <c r="H17" i="1" s="1"/>
  <c r="H53" i="1" s="1"/>
  <c r="I7" i="1" s="1"/>
  <c r="I17" i="1" s="1"/>
  <c r="I53" i="1" s="1"/>
  <c r="J7" i="1" s="1"/>
  <c r="J17" i="1" s="1"/>
  <c r="J53" i="1" s="1"/>
  <c r="K7" i="1" s="1"/>
  <c r="K17" i="1" s="1"/>
  <c r="K53" i="1" s="1"/>
  <c r="L7" i="1" s="1"/>
  <c r="L17" i="1" s="1"/>
  <c r="L53" i="1" s="1"/>
  <c r="M7" i="1" s="1"/>
  <c r="M17" i="1" s="1"/>
  <c r="M53" i="1" s="1"/>
  <c r="N7" i="1" s="1"/>
  <c r="N17" i="1" s="1"/>
  <c r="N53" i="1" s="1"/>
  <c r="O7" i="1" s="1"/>
  <c r="O17" i="1" s="1"/>
  <c r="O53" i="1" s="1"/>
  <c r="P45" i="1"/>
</calcChain>
</file>

<file path=xl/sharedStrings.xml><?xml version="1.0" encoding="utf-8"?>
<sst xmlns="http://schemas.openxmlformats.org/spreadsheetml/2006/main" count="128" uniqueCount="69">
  <si>
    <t>Projekcija protoka novca malog preduzeća</t>
  </si>
  <si>
    <t>Ime preduzeća</t>
  </si>
  <si>
    <t>Datum početka</t>
  </si>
  <si>
    <t>Minimalno upozorenje o gotovinskom saldu</t>
  </si>
  <si>
    <t>Novac na raspolaganju (na početku meseca)</t>
  </si>
  <si>
    <t>PRIZNANICE</t>
  </si>
  <si>
    <t>Prodaja novca</t>
  </si>
  <si>
    <t>Povraćaji od prodaje i naknade</t>
  </si>
  <si>
    <t>Naplate na račune potraživanja</t>
  </si>
  <si>
    <t>Kamata, ostali prihodi</t>
  </si>
  <si>
    <t>Sredstva od kredita</t>
  </si>
  <si>
    <t>Doprinosi vlasnika</t>
  </si>
  <si>
    <t>PRIZNANICE ZA UKUPAN IZNOS GOTOVINE</t>
  </si>
  <si>
    <t>Ukupan iznos dostupnog novca</t>
  </si>
  <si>
    <t>ISPLAĆEN NOVAC</t>
  </si>
  <si>
    <t>Reklamiranje</t>
  </si>
  <si>
    <t>Provizije i naknade</t>
  </si>
  <si>
    <t>Ugovor o radu</t>
  </si>
  <si>
    <t>Programi za naknade zaposlenima</t>
  </si>
  <si>
    <t>Osiguranja (osim zdravstvenog)</t>
  </si>
  <si>
    <t>Troškovi kamate</t>
  </si>
  <si>
    <t>Materijali i pribori (izražen u TPR)</t>
  </si>
  <si>
    <t>Obroci i zabava</t>
  </si>
  <si>
    <t>Kamata na hipoteku</t>
  </si>
  <si>
    <t>Kancelarijski troškovi</t>
  </si>
  <si>
    <t>Ostali troškovi kamate</t>
  </si>
  <si>
    <t>Penzioni plan i plan raspodele profita</t>
  </si>
  <si>
    <t>Kupovina za ponovnu prodaju</t>
  </si>
  <si>
    <t>Zakup ili iznajmljivanje</t>
  </si>
  <si>
    <t>Zakup ili iznajmljivanje: vozila i opreme</t>
  </si>
  <si>
    <t>Popravke i održavanje</t>
  </si>
  <si>
    <t>Zalihe (nisu izražene u TPR)</t>
  </si>
  <si>
    <t>Porezi i licence</t>
  </si>
  <si>
    <t>Putovanje</t>
  </si>
  <si>
    <t>Komunalne usluge</t>
  </si>
  <si>
    <t>Plata (manje emp. kredita)</t>
  </si>
  <si>
    <t>Ostali troškovi</t>
  </si>
  <si>
    <t>Razno</t>
  </si>
  <si>
    <t>MEĐUVREDNOST</t>
  </si>
  <si>
    <t>IZNOS GLAVNICE KREDITA</t>
  </si>
  <si>
    <t>Kapitalne kupovine</t>
  </si>
  <si>
    <t>Ostali troškovi pokretanja preduzeća</t>
  </si>
  <si>
    <t>Da biste rezervisali i/ili deponovali</t>
  </si>
  <si>
    <t>Povlačenje vlasnika</t>
  </si>
  <si>
    <t>UKUPAN ISPLAĆEN NOVAC</t>
  </si>
  <si>
    <t>Novac na raspolaganju (kraj meseca)</t>
  </si>
  <si>
    <t>DRUGI OPERATIVNI PODACI</t>
  </si>
  <si>
    <t>Obim prodaje (u dolarima)</t>
  </si>
  <si>
    <t>Saldo potraživanja po računima</t>
  </si>
  <si>
    <t>Saldo dugova</t>
  </si>
  <si>
    <t>Raspoložive zalihe</t>
  </si>
  <si>
    <t>Saldo dugovanja na računima</t>
  </si>
  <si>
    <t>Amortizacija</t>
  </si>
  <si>
    <t>Početak</t>
  </si>
  <si>
    <t xml:space="preserve"> </t>
  </si>
  <si>
    <t>Kombinovani grafikon koji prikazuje Upozorenje o minimumu novca na raspolaganju i Projekciju protoka gotovine nalazi se u ovoj ćeliji.</t>
  </si>
  <si>
    <t>jan.18</t>
  </si>
  <si>
    <t>feb.18</t>
  </si>
  <si>
    <t>mar.18</t>
  </si>
  <si>
    <t>apr.18</t>
  </si>
  <si>
    <t>maj.18</t>
  </si>
  <si>
    <t>jun.18</t>
  </si>
  <si>
    <t>jul.18</t>
  </si>
  <si>
    <t>avg.18</t>
  </si>
  <si>
    <t>sep.18</t>
  </si>
  <si>
    <t>okt.18</t>
  </si>
  <si>
    <t>nov.18</t>
  </si>
  <si>
    <t>dec.18</t>
  </si>
  <si>
    <t>Zbir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</si>
</sst>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RSD&quot;_-;\-* #,##0\ &quot;RSD&quot;_-;_-* &quot;-&quot;\ &quot;RSD&quot;_-;_-@_-"/>
    <numFmt numFmtId="164" formatCode="_(* #,##0_);_(* \(#,##0\);_(* &quot;-&quot;_);_(@_)"/>
    <numFmt numFmtId="165" formatCode="_(* #,##0.00_);_(* \(#,##0.00\);_(* &quot;-&quot;??_);_(@_)"/>
    <numFmt numFmtId="166" formatCode="#,##0\ &quot;RSD&quot;"/>
  </numFmts>
  <fonts count="31" x14ac:knownFonts="1">
    <font>
      <sz val="8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  <scheme val="minor"/>
    </font>
    <font>
      <sz val="10"/>
      <color indexed="8"/>
      <name val="Arial"/>
      <family val="2"/>
      <scheme val="minor"/>
    </font>
    <font>
      <b/>
      <sz val="10"/>
      <name val="Arial"/>
      <family val="2"/>
      <scheme val="minor"/>
    </font>
    <font>
      <b/>
      <sz val="8"/>
      <name val="Arial"/>
      <family val="2"/>
      <scheme val="minor"/>
    </font>
    <font>
      <sz val="10"/>
      <name val="Arial"/>
      <family val="2"/>
      <scheme val="minor"/>
    </font>
    <font>
      <sz val="8"/>
      <color theme="0"/>
      <name val="Arial"/>
      <family val="2"/>
      <scheme val="minor"/>
    </font>
    <font>
      <b/>
      <sz val="14"/>
      <color theme="1" tint="0.249977111117893"/>
      <name val="Arial"/>
      <family val="2"/>
      <scheme val="major"/>
    </font>
    <font>
      <b/>
      <sz val="8"/>
      <color theme="0"/>
      <name val="Arial"/>
      <family val="2"/>
      <scheme val="minor"/>
    </font>
    <font>
      <b/>
      <sz val="8"/>
      <color theme="0" tint="-0.249977111117893"/>
      <name val="Arial"/>
      <family val="2"/>
      <scheme val="minor"/>
    </font>
    <font>
      <sz val="8"/>
      <color theme="0" tint="-0.249977111117893"/>
      <name val="Arial"/>
      <family val="2"/>
      <scheme val="minor"/>
    </font>
    <font>
      <b/>
      <sz val="8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8">
    <fill>
      <patternFill patternType="none"/>
    </fill>
    <fill>
      <patternFill patternType="gray125"/>
    </fill>
    <fill>
      <patternFill patternType="lightUp"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42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17" fillId="0" borderId="24" applyNumberFormat="0" applyFill="0" applyAlignment="0" applyProtection="0"/>
    <xf numFmtId="0" fontId="18" fillId="0" borderId="2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26" applyNumberFormat="0" applyAlignment="0" applyProtection="0"/>
    <xf numFmtId="0" fontId="23" fillId="11" borderId="27" applyNumberFormat="0" applyAlignment="0" applyProtection="0"/>
    <xf numFmtId="0" fontId="24" fillId="11" borderId="26" applyNumberFormat="0" applyAlignment="0" applyProtection="0"/>
    <xf numFmtId="0" fontId="25" fillId="0" borderId="28" applyNumberFormat="0" applyFill="0" applyAlignment="0" applyProtection="0"/>
    <xf numFmtId="0" fontId="26" fillId="12" borderId="29" applyNumberFormat="0" applyAlignment="0" applyProtection="0"/>
    <xf numFmtId="0" fontId="27" fillId="0" borderId="0" applyNumberFormat="0" applyFill="0" applyBorder="0" applyAlignment="0" applyProtection="0"/>
    <xf numFmtId="0" fontId="3" fillId="13" borderId="30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31" applyNumberFormat="0" applyFill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76">
    <xf numFmtId="0" fontId="0" fillId="0" borderId="0" xfId="0">
      <alignment wrapText="1"/>
    </xf>
    <xf numFmtId="0" fontId="4" fillId="0" borderId="0" xfId="0" applyFont="1" applyAlignment="1"/>
    <xf numFmtId="0" fontId="5" fillId="0" borderId="0" xfId="0" applyFont="1" applyFill="1" applyProtection="1">
      <alignment wrapText="1"/>
    </xf>
    <xf numFmtId="3" fontId="4" fillId="0" borderId="9" xfId="0" applyNumberFormat="1" applyFont="1" applyBorder="1" applyProtection="1">
      <alignment wrapText="1"/>
      <protection locked="0"/>
    </xf>
    <xf numFmtId="0" fontId="6" fillId="0" borderId="0" xfId="0" applyFont="1" applyBorder="1" applyAlignment="1"/>
    <xf numFmtId="0" fontId="4" fillId="0" borderId="0" xfId="0" applyFont="1" applyBorder="1" applyAlignment="1"/>
    <xf numFmtId="0" fontId="7" fillId="0" borderId="0" xfId="0" applyFont="1" applyBorder="1" applyAlignment="1">
      <alignment wrapText="1"/>
    </xf>
    <xf numFmtId="0" fontId="4" fillId="0" borderId="0" xfId="0" applyFont="1" applyBorder="1">
      <alignment wrapText="1"/>
    </xf>
    <xf numFmtId="0" fontId="7" fillId="0" borderId="3" xfId="0" applyFont="1" applyBorder="1" applyAlignment="1">
      <alignment wrapText="1"/>
    </xf>
    <xf numFmtId="3" fontId="4" fillId="2" borderId="10" xfId="0" applyNumberFormat="1" applyFont="1" applyFill="1" applyBorder="1">
      <alignment wrapText="1"/>
    </xf>
    <xf numFmtId="0" fontId="4" fillId="0" borderId="0" xfId="0" applyFont="1">
      <alignment wrapText="1"/>
    </xf>
    <xf numFmtId="3" fontId="4" fillId="0" borderId="1" xfId="0" applyNumberFormat="1" applyFont="1" applyBorder="1" applyProtection="1">
      <alignment wrapText="1"/>
      <protection locked="0"/>
    </xf>
    <xf numFmtId="0" fontId="7" fillId="0" borderId="7" xfId="0" applyFont="1" applyBorder="1" applyAlignment="1">
      <alignment wrapText="1"/>
    </xf>
    <xf numFmtId="0" fontId="4" fillId="0" borderId="7" xfId="0" applyFont="1" applyBorder="1">
      <alignment wrapText="1"/>
    </xf>
    <xf numFmtId="0" fontId="4" fillId="0" borderId="0" xfId="0" applyFont="1" applyAlignment="1">
      <alignment wrapText="1"/>
    </xf>
    <xf numFmtId="0" fontId="8" fillId="0" borderId="0" xfId="0" applyFont="1" applyFill="1" applyProtection="1">
      <alignment wrapText="1"/>
    </xf>
    <xf numFmtId="3" fontId="9" fillId="0" borderId="0" xfId="0" applyNumberFormat="1" applyFont="1" applyAlignment="1"/>
    <xf numFmtId="3" fontId="4" fillId="3" borderId="10" xfId="0" applyNumberFormat="1" applyFont="1" applyFill="1" applyBorder="1">
      <alignment wrapText="1"/>
    </xf>
    <xf numFmtId="3" fontId="4" fillId="3" borderId="3" xfId="0" applyNumberFormat="1" applyFont="1" applyFill="1" applyBorder="1">
      <alignment wrapText="1"/>
    </xf>
    <xf numFmtId="3" fontId="4" fillId="0" borderId="0" xfId="0" applyNumberFormat="1" applyFont="1">
      <alignment wrapText="1"/>
    </xf>
    <xf numFmtId="0" fontId="11" fillId="4" borderId="2" xfId="0" applyFont="1" applyFill="1" applyBorder="1" applyAlignment="1">
      <alignment wrapText="1"/>
    </xf>
    <xf numFmtId="3" fontId="4" fillId="3" borderId="8" xfId="0" applyNumberFormat="1" applyFont="1" applyFill="1" applyBorder="1">
      <alignment wrapText="1"/>
    </xf>
    <xf numFmtId="0" fontId="9" fillId="4" borderId="2" xfId="0" applyNumberFormat="1" applyFont="1" applyFill="1" applyBorder="1">
      <alignment wrapText="1"/>
    </xf>
    <xf numFmtId="3" fontId="4" fillId="2" borderId="11" xfId="0" applyNumberFormat="1" applyFont="1" applyFill="1" applyBorder="1">
      <alignment wrapText="1"/>
    </xf>
    <xf numFmtId="3" fontId="4" fillId="0" borderId="12" xfId="0" applyNumberFormat="1" applyFont="1" applyBorder="1" applyProtection="1">
      <alignment wrapText="1"/>
      <protection locked="0"/>
    </xf>
    <xf numFmtId="0" fontId="4" fillId="0" borderId="13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3" fontId="4" fillId="5" borderId="8" xfId="0" applyNumberFormat="1" applyFont="1" applyFill="1" applyBorder="1" applyProtection="1">
      <alignment wrapText="1"/>
    </xf>
    <xf numFmtId="0" fontId="11" fillId="4" borderId="2" xfId="0" applyFont="1" applyFill="1" applyBorder="1" applyAlignment="1"/>
    <xf numFmtId="0" fontId="9" fillId="4" borderId="2" xfId="0" applyFont="1" applyFill="1" applyBorder="1">
      <alignment wrapText="1"/>
    </xf>
    <xf numFmtId="0" fontId="4" fillId="0" borderId="14" xfId="0" applyFont="1" applyBorder="1" applyAlignment="1">
      <alignment wrapText="1"/>
    </xf>
    <xf numFmtId="0" fontId="4" fillId="0" borderId="15" xfId="0" applyFont="1" applyBorder="1" applyAlignment="1">
      <alignment wrapText="1"/>
    </xf>
    <xf numFmtId="3" fontId="4" fillId="0" borderId="16" xfId="0" applyNumberFormat="1" applyFont="1" applyBorder="1" applyProtection="1">
      <alignment wrapText="1"/>
      <protection locked="0"/>
    </xf>
    <xf numFmtId="0" fontId="11" fillId="4" borderId="6" xfId="0" applyFont="1" applyFill="1" applyBorder="1" applyAlignment="1">
      <alignment horizontal="center" wrapText="1"/>
    </xf>
    <xf numFmtId="0" fontId="4" fillId="5" borderId="16" xfId="0" applyNumberFormat="1" applyFont="1" applyFill="1" applyBorder="1">
      <alignment wrapText="1"/>
    </xf>
    <xf numFmtId="0" fontId="4" fillId="5" borderId="9" xfId="0" applyNumberFormat="1" applyFont="1" applyFill="1" applyBorder="1">
      <alignment wrapText="1"/>
    </xf>
    <xf numFmtId="0" fontId="4" fillId="2" borderId="10" xfId="0" applyFont="1" applyFill="1" applyBorder="1">
      <alignment wrapText="1"/>
    </xf>
    <xf numFmtId="3" fontId="4" fillId="3" borderId="11" xfId="0" applyNumberFormat="1" applyFont="1" applyFill="1" applyBorder="1">
      <alignment wrapText="1"/>
    </xf>
    <xf numFmtId="3" fontId="4" fillId="0" borderId="10" xfId="0" applyNumberFormat="1" applyFont="1" applyBorder="1" applyProtection="1">
      <alignment wrapText="1"/>
      <protection locked="0"/>
    </xf>
    <xf numFmtId="3" fontId="4" fillId="2" borderId="17" xfId="0" applyNumberFormat="1" applyFont="1" applyFill="1" applyBorder="1">
      <alignment wrapText="1"/>
    </xf>
    <xf numFmtId="3" fontId="4" fillId="0" borderId="17" xfId="0" applyNumberFormat="1" applyFont="1" applyBorder="1">
      <alignment wrapText="1"/>
    </xf>
    <xf numFmtId="3" fontId="4" fillId="3" borderId="17" xfId="0" applyNumberFormat="1" applyFont="1" applyFill="1" applyBorder="1">
      <alignment wrapText="1"/>
    </xf>
    <xf numFmtId="0" fontId="4" fillId="0" borderId="18" xfId="0" applyFont="1" applyBorder="1" applyAlignment="1">
      <alignment wrapText="1"/>
    </xf>
    <xf numFmtId="0" fontId="12" fillId="2" borderId="11" xfId="0" applyNumberFormat="1" applyFont="1" applyFill="1" applyBorder="1">
      <alignment wrapText="1"/>
    </xf>
    <xf numFmtId="3" fontId="4" fillId="0" borderId="11" xfId="0" applyNumberFormat="1" applyFont="1" applyBorder="1">
      <alignment wrapText="1"/>
    </xf>
    <xf numFmtId="0" fontId="7" fillId="6" borderId="12" xfId="0" applyFont="1" applyFill="1" applyBorder="1" applyProtection="1">
      <alignment wrapText="1"/>
    </xf>
    <xf numFmtId="3" fontId="13" fillId="2" borderId="10" xfId="0" applyNumberFormat="1" applyFont="1" applyFill="1" applyBorder="1">
      <alignment wrapText="1"/>
    </xf>
    <xf numFmtId="0" fontId="7" fillId="6" borderId="12" xfId="0" applyFont="1" applyFill="1" applyBorder="1" applyAlignment="1">
      <alignment wrapText="1"/>
    </xf>
    <xf numFmtId="3" fontId="13" fillId="2" borderId="11" xfId="0" applyNumberFormat="1" applyFont="1" applyFill="1" applyBorder="1">
      <alignment wrapText="1"/>
    </xf>
    <xf numFmtId="0" fontId="14" fillId="6" borderId="0" xfId="0" applyNumberFormat="1" applyFont="1" applyFill="1" applyBorder="1" applyAlignment="1">
      <alignment wrapText="1"/>
    </xf>
    <xf numFmtId="0" fontId="7" fillId="6" borderId="8" xfId="0" applyFont="1" applyFill="1" applyBorder="1" applyAlignment="1">
      <alignment wrapText="1"/>
    </xf>
    <xf numFmtId="3" fontId="4" fillId="2" borderId="19" xfId="0" applyNumberFormat="1" applyFont="1" applyFill="1" applyBorder="1">
      <alignment wrapText="1"/>
    </xf>
    <xf numFmtId="0" fontId="9" fillId="4" borderId="2" xfId="0" applyNumberFormat="1" applyFont="1" applyFill="1" applyBorder="1" applyAlignment="1">
      <alignment horizontal="center" wrapText="1"/>
    </xf>
    <xf numFmtId="0" fontId="11" fillId="4" borderId="11" xfId="0" applyNumberFormat="1" applyFont="1" applyFill="1" applyBorder="1" applyAlignment="1">
      <alignment horizontal="center" wrapText="1"/>
    </xf>
    <xf numFmtId="0" fontId="9" fillId="4" borderId="2" xfId="0" applyFont="1" applyFill="1" applyBorder="1" applyAlignment="1">
      <alignment horizontal="center" wrapText="1"/>
    </xf>
    <xf numFmtId="0" fontId="11" fillId="4" borderId="8" xfId="0" applyNumberFormat="1" applyFont="1" applyFill="1" applyBorder="1" applyAlignment="1">
      <alignment horizontal="center" wrapText="1"/>
    </xf>
    <xf numFmtId="0" fontId="4" fillId="0" borderId="0" xfId="0" applyNumberFormat="1" applyFont="1" applyBorder="1">
      <alignment wrapText="1"/>
    </xf>
    <xf numFmtId="0" fontId="7" fillId="0" borderId="4" xfId="0" applyNumberFormat="1" applyFont="1" applyBorder="1" applyAlignment="1">
      <alignment wrapText="1"/>
    </xf>
    <xf numFmtId="0" fontId="4" fillId="0" borderId="7" xfId="0" applyNumberFormat="1" applyFont="1" applyBorder="1">
      <alignment wrapText="1"/>
    </xf>
    <xf numFmtId="0" fontId="4" fillId="0" borderId="4" xfId="0" applyNumberFormat="1" applyFont="1" applyBorder="1">
      <alignment wrapText="1"/>
    </xf>
    <xf numFmtId="0" fontId="4" fillId="0" borderId="0" xfId="0" applyNumberFormat="1" applyFont="1">
      <alignment wrapText="1"/>
    </xf>
    <xf numFmtId="0" fontId="4" fillId="0" borderId="5" xfId="0" applyFont="1" applyFill="1" applyBorder="1" applyAlignment="1" applyProtection="1">
      <alignment wrapText="1"/>
    </xf>
    <xf numFmtId="0" fontId="4" fillId="0" borderId="13" xfId="0" applyNumberFormat="1" applyFont="1" applyFill="1" applyBorder="1" applyAlignment="1">
      <alignment wrapText="1"/>
    </xf>
    <xf numFmtId="0" fontId="4" fillId="0" borderId="5" xfId="0" applyNumberFormat="1" applyFont="1" applyFill="1" applyBorder="1" applyAlignment="1">
      <alignment wrapText="1"/>
    </xf>
    <xf numFmtId="3" fontId="4" fillId="3" borderId="20" xfId="0" applyNumberFormat="1" applyFont="1" applyFill="1" applyBorder="1">
      <alignment wrapText="1"/>
    </xf>
    <xf numFmtId="0" fontId="7" fillId="6" borderId="22" xfId="0" applyFont="1" applyFill="1" applyBorder="1" applyAlignment="1">
      <alignment wrapText="1"/>
    </xf>
    <xf numFmtId="3" fontId="4" fillId="3" borderId="21" xfId="0" applyNumberFormat="1" applyFont="1" applyFill="1" applyBorder="1">
      <alignment wrapText="1"/>
    </xf>
    <xf numFmtId="166" fontId="6" fillId="0" borderId="0" xfId="1" applyNumberFormat="1" applyFont="1"/>
    <xf numFmtId="0" fontId="10" fillId="0" borderId="0" xfId="0" applyFont="1" applyFill="1" applyBorder="1" applyAlignment="1" applyProtection="1">
      <alignment horizontal="center" wrapText="1"/>
    </xf>
    <xf numFmtId="0" fontId="8" fillId="0" borderId="0" xfId="0" applyFont="1" applyFill="1" applyProtection="1">
      <alignment wrapText="1"/>
    </xf>
    <xf numFmtId="0" fontId="4" fillId="0" borderId="0" xfId="0" applyFont="1" applyAlignment="1">
      <alignment horizontal="center"/>
    </xf>
    <xf numFmtId="17" fontId="4" fillId="0" borderId="1" xfId="0" applyNumberFormat="1" applyFont="1" applyBorder="1" applyAlignment="1" applyProtection="1">
      <alignment horizontal="right" wrapText="1"/>
      <protection locked="0"/>
    </xf>
    <xf numFmtId="17" fontId="11" fillId="4" borderId="9" xfId="0" applyNumberFormat="1" applyFont="1" applyFill="1" applyBorder="1" applyAlignment="1">
      <alignment horizontal="center" wrapText="1"/>
    </xf>
    <xf numFmtId="17" fontId="9" fillId="4" borderId="2" xfId="0" applyNumberFormat="1" applyFont="1" applyFill="1" applyBorder="1" applyAlignment="1">
      <alignment horizontal="center" wrapText="1"/>
    </xf>
    <xf numFmtId="17" fontId="11" fillId="4" borderId="11" xfId="0" applyNumberFormat="1" applyFont="1" applyFill="1" applyBorder="1" applyAlignment="1">
      <alignment horizontal="center" wrapText="1"/>
    </xf>
  </cellXfs>
  <cellStyles count="47">
    <cellStyle name="20% Akcenat1" xfId="24" builtinId="30" customBuiltin="1"/>
    <cellStyle name="20% Akcenat2" xfId="28" builtinId="34" customBuiltin="1"/>
    <cellStyle name="20% Akcenat3" xfId="32" builtinId="38" customBuiltin="1"/>
    <cellStyle name="20% Akcenat4" xfId="36" builtinId="42" customBuiltin="1"/>
    <cellStyle name="20% Akcenat5" xfId="40" builtinId="46" customBuiltin="1"/>
    <cellStyle name="20% Akcenat6" xfId="44" builtinId="50" customBuiltin="1"/>
    <cellStyle name="40% Akcenat1" xfId="25" builtinId="31" customBuiltin="1"/>
    <cellStyle name="40% Akcenat2" xfId="29" builtinId="35" customBuiltin="1"/>
    <cellStyle name="40% Akcenat3" xfId="33" builtinId="39" customBuiltin="1"/>
    <cellStyle name="40% Akcenat4" xfId="37" builtinId="43" customBuiltin="1"/>
    <cellStyle name="40% Akcenat5" xfId="41" builtinId="47" customBuiltin="1"/>
    <cellStyle name="40% Akcenat6" xfId="45" builtinId="51" customBuiltin="1"/>
    <cellStyle name="60% Akcenat1" xfId="26" builtinId="32" customBuiltin="1"/>
    <cellStyle name="60% Akcenat2" xfId="30" builtinId="36" customBuiltin="1"/>
    <cellStyle name="60% Akcenat3" xfId="34" builtinId="40" customBuiltin="1"/>
    <cellStyle name="60% Akcenat4" xfId="38" builtinId="44" customBuiltin="1"/>
    <cellStyle name="60% Akcenat5" xfId="42" builtinId="48" customBuiltin="1"/>
    <cellStyle name="60% Akcenat6" xfId="46" builtinId="52" customBuiltin="1"/>
    <cellStyle name="Akcenat1" xfId="23" builtinId="29" customBuiltin="1"/>
    <cellStyle name="Akcenat2" xfId="27" builtinId="33" customBuiltin="1"/>
    <cellStyle name="Akcenat3" xfId="31" builtinId="37" customBuiltin="1"/>
    <cellStyle name="Akcenat4" xfId="35" builtinId="41" customBuiltin="1"/>
    <cellStyle name="Akcenat5" xfId="39" builtinId="45" customBuiltin="1"/>
    <cellStyle name="Akcenat6" xfId="43" builtinId="49" customBuiltin="1"/>
    <cellStyle name="Beleška" xfId="20" builtinId="10" customBuiltin="1"/>
    <cellStyle name="Ćelija za proveru" xfId="18" builtinId="23" customBuiltin="1"/>
    <cellStyle name="Dobro" xfId="11" builtinId="26" customBuiltin="1"/>
    <cellStyle name="Izlaz" xfId="15" builtinId="21" customBuiltin="1"/>
    <cellStyle name="Izračunavanje" xfId="16" builtinId="22" customBuiltin="1"/>
    <cellStyle name="Loše" xfId="12" builtinId="27" customBuiltin="1"/>
    <cellStyle name="Naslov" xfId="6" builtinId="15" customBuiltin="1"/>
    <cellStyle name="Naslov 1" xfId="7" builtinId="16" customBuiltin="1"/>
    <cellStyle name="Naslov 2" xfId="8" builtinId="17" customBuiltin="1"/>
    <cellStyle name="Naslov 3" xfId="9" builtinId="18" customBuiltin="1"/>
    <cellStyle name="Naslov 4" xfId="10" builtinId="19" customBuiltin="1"/>
    <cellStyle name="Neutralno" xfId="13" builtinId="28" customBuiltin="1"/>
    <cellStyle name="Normalan" xfId="0" builtinId="0" customBuiltin="1"/>
    <cellStyle name="Povezana ćelija" xfId="17" builtinId="24" customBuiltin="1"/>
    <cellStyle name="Procenat" xfId="5" builtinId="5" customBuiltin="1"/>
    <cellStyle name="Tekst objašnjenja" xfId="21" builtinId="53" customBuiltin="1"/>
    <cellStyle name="Tekst upozorenja" xfId="19" builtinId="11" customBuiltin="1"/>
    <cellStyle name="Ukupno" xfId="22" builtinId="25" customBuiltin="1"/>
    <cellStyle name="Unos" xfId="14" builtinId="20" customBuiltin="1"/>
    <cellStyle name="Valuta" xfId="1" builtinId="4" customBuiltin="1"/>
    <cellStyle name="Valuta [0]" xfId="4" builtinId="7" customBuiltin="1"/>
    <cellStyle name="Zarez" xfId="2" builtinId="3" customBuiltin="1"/>
    <cellStyle name="Zarez [0]" xfId="3" builtinId="6" customBuiltin="1"/>
  </cellStyles>
  <dxfs count="143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249977111117893"/>
        <name val="Arial"/>
        <scheme val="minor"/>
      </font>
      <numFmt numFmtId="3" formatCode="#,##0"/>
      <fill>
        <patternFill patternType="lightUp">
          <fgColor indexed="64"/>
          <bgColor indexed="22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lightUp">
          <fgColor indexed="64"/>
          <bgColor indexed="22"/>
        </patternFill>
      </fill>
      <border diagonalUp="0" diagonalDown="0" outline="0">
        <left/>
        <right/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/>
        <top style="thin">
          <color indexed="64"/>
        </top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minor"/>
      </font>
      <numFmt numFmtId="22" formatCode="mmm/yy"/>
      <fill>
        <patternFill patternType="solid">
          <fgColor indexed="64"/>
          <bgColor theme="1" tint="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0.249977111117893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minor"/>
      </font>
      <fill>
        <patternFill patternType="solid">
          <fgColor indexed="64"/>
          <bgColor theme="1" tint="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fill>
        <patternFill patternType="lightUp">
          <fgColor indexed="64"/>
          <bgColor indexed="2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lightUp">
          <fgColor indexed="64"/>
          <bgColor indexed="2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minor"/>
      </font>
      <numFmt numFmtId="3" formatCode="#,##0"/>
      <fill>
        <patternFill patternType="solid">
          <fgColor indexed="64"/>
          <bgColor theme="1" tint="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lightUp">
          <fgColor indexed="64"/>
          <bgColor indexed="22"/>
        </patternFill>
      </fill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fill>
        <patternFill patternType="solid">
          <fgColor indexed="64"/>
          <bgColor theme="0" tint="-4.9989318521683403E-2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minor"/>
      </font>
      <numFmt numFmtId="22" formatCode="mmm/yy"/>
      <fill>
        <patternFill patternType="solid">
          <fgColor indexed="64"/>
          <bgColor theme="1" tint="0.499984740745262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>
        <left style="thin">
          <color indexed="64"/>
        </left>
        <right/>
        <top/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 tint="-0.249977111117893"/>
        <name val="Arial"/>
        <scheme val="minor"/>
      </font>
      <numFmt numFmtId="3" formatCode="#,##0"/>
      <fill>
        <patternFill patternType="lightUp">
          <fgColor indexed="64"/>
          <bgColor indexed="2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numFmt numFmtId="3" formatCode="#,##0"/>
      <fill>
        <patternFill patternType="lightUp">
          <fgColor indexed="64"/>
          <bgColor indexed="22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 style="thin">
          <color indexed="64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minor"/>
      </font>
      <protection locked="0" hidden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0"/>
        <name val="Arial"/>
        <scheme val="minor"/>
      </font>
      <numFmt numFmtId="3" formatCode="#,##0"/>
      <fill>
        <patternFill patternType="solid">
          <fgColor indexed="64"/>
          <bgColor theme="1" tint="0.499984740745262"/>
        </patternFill>
      </fill>
    </dxf>
    <dxf>
      <font>
        <condense val="0"/>
        <extend val="0"/>
        <color indexed="10"/>
      </font>
    </dxf>
    <dxf>
      <font>
        <b/>
        <i val="0"/>
      </font>
    </dxf>
    <dxf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theme="1" tint="0.499984740745262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Gotovina" pivot="0" count="4" xr9:uid="{00000000-0011-0000-FFFF-FFFF00000000}">
      <tableStyleElement type="wholeTable" dxfId="142"/>
      <tableStyleElement type="headerRow" dxfId="141"/>
      <tableStyleElement type="totalRow" dxfId="140"/>
      <tableStyleElement type="firstTotalCell" dxfId="13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DDDD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CCF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r-Latn-RS"/>
  <c:roundedCorners val="1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>
                <a:latin typeface="+mn-lt"/>
                <a:ea typeface="黑体"/>
                <a:cs typeface="黑体"/>
              </a:defRPr>
            </a:pPr>
            <a:r>
              <a:rPr lang="en-US">
                <a:latin typeface="+mn-lt"/>
              </a:rPr>
              <a:t>Projekcija protoka gotovine
Ime preduzeća</a:t>
            </a:r>
          </a:p>
        </c:rich>
      </c:tx>
      <c:layout>
        <c:manualLayout>
          <c:xMode val="edge"/>
          <c:yMode val="edge"/>
          <c:x val="0.3268973390521307"/>
          <c:y val="2.922755741127348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122020811520303E-2"/>
          <c:y val="0.20876826722338204"/>
          <c:w val="0.68496002937629952"/>
          <c:h val="0.6179540709812108"/>
        </c:manualLayout>
      </c:layout>
      <c:barChart>
        <c:barDir val="col"/>
        <c:grouping val="clustered"/>
        <c:varyColors val="0"/>
        <c:ser>
          <c:idx val="0"/>
          <c:order val="0"/>
          <c:tx>
            <c:v>Projekcija protoka gotovine</c:v>
          </c:tx>
          <c:invertIfNegative val="0"/>
          <c:cat>
            <c:strRef>
              <c:f>'Protok gotovine'!$C$6:$O$6</c:f>
              <c:strCache>
                <c:ptCount val="13"/>
                <c:pt idx="0">
                  <c:v>Početak</c:v>
                </c:pt>
                <c:pt idx="1">
                  <c:v>jan.18</c:v>
                </c:pt>
                <c:pt idx="2">
                  <c:v>feb.18</c:v>
                </c:pt>
                <c:pt idx="3">
                  <c:v>mar.18</c:v>
                </c:pt>
                <c:pt idx="4">
                  <c:v>apr.18</c:v>
                </c:pt>
                <c:pt idx="5">
                  <c:v>maj.18</c:v>
                </c:pt>
                <c:pt idx="6">
                  <c:v>jun.18</c:v>
                </c:pt>
                <c:pt idx="7">
                  <c:v>jul.18</c:v>
                </c:pt>
                <c:pt idx="8">
                  <c:v>avg.18</c:v>
                </c:pt>
                <c:pt idx="9">
                  <c:v>sep.18</c:v>
                </c:pt>
                <c:pt idx="10">
                  <c:v>okt.18</c:v>
                </c:pt>
                <c:pt idx="11">
                  <c:v>nov.18</c:v>
                </c:pt>
                <c:pt idx="12">
                  <c:v>dec.18</c:v>
                </c:pt>
              </c:strCache>
            </c:strRef>
          </c:cat>
          <c:val>
            <c:numRef>
              <c:f>'Protok gotovine'!$C$53:$O$53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0E-4586-9BA1-20653FE14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9172224"/>
        <c:axId val="165924864"/>
      </c:barChart>
      <c:lineChart>
        <c:grouping val="standard"/>
        <c:varyColors val="0"/>
        <c:ser>
          <c:idx val="1"/>
          <c:order val="1"/>
          <c:tx>
            <c:v>Upozorenje o minimalnoj isplati gotovine</c:v>
          </c:tx>
          <c:cat>
            <c:strRef>
              <c:f>'Protok gotovine'!$C$6:$O$6</c:f>
              <c:strCache>
                <c:ptCount val="13"/>
                <c:pt idx="0">
                  <c:v>Početak</c:v>
                </c:pt>
                <c:pt idx="1">
                  <c:v>jan.18</c:v>
                </c:pt>
                <c:pt idx="2">
                  <c:v>feb.18</c:v>
                </c:pt>
                <c:pt idx="3">
                  <c:v>mar.18</c:v>
                </c:pt>
                <c:pt idx="4">
                  <c:v>apr.18</c:v>
                </c:pt>
                <c:pt idx="5">
                  <c:v>maj.18</c:v>
                </c:pt>
                <c:pt idx="6">
                  <c:v>jun.18</c:v>
                </c:pt>
                <c:pt idx="7">
                  <c:v>jul.18</c:v>
                </c:pt>
                <c:pt idx="8">
                  <c:v>avg.18</c:v>
                </c:pt>
                <c:pt idx="9">
                  <c:v>sep.18</c:v>
                </c:pt>
                <c:pt idx="10">
                  <c:v>okt.18</c:v>
                </c:pt>
                <c:pt idx="11">
                  <c:v>nov.18</c:v>
                </c:pt>
                <c:pt idx="12">
                  <c:v>dec.18</c:v>
                </c:pt>
              </c:strCache>
            </c:strRef>
          </c:cat>
          <c:val>
            <c:numRef>
              <c:f>'Protok gotovine'!$C$4:$O$4</c:f>
              <c:numCache>
                <c:formatCode>#,##0</c:formatCode>
                <c:ptCount val="13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0E-4586-9BA1-20653FE14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172224"/>
        <c:axId val="165924864"/>
      </c:lineChart>
      <c:catAx>
        <c:axId val="149172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Period</a:t>
                </a:r>
              </a:p>
            </c:rich>
          </c:tx>
          <c:layout>
            <c:manualLayout>
              <c:xMode val="edge"/>
              <c:yMode val="edge"/>
              <c:x val="0.38109798775153103"/>
              <c:y val="0.9331941544885177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>
                <a:solidFill>
                  <a:sysClr val="windowText" lastClr="000000"/>
                </a:solidFill>
              </a:defRPr>
            </a:pPr>
            <a:endParaRPr lang="sr-Latn-RS"/>
          </a:p>
        </c:txPr>
        <c:crossAx val="1659248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59248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Novac na raspolaganju</a:t>
                </a:r>
              </a:p>
            </c:rich>
          </c:tx>
          <c:layout>
            <c:manualLayout>
              <c:xMode val="edge"/>
              <c:yMode val="edge"/>
              <c:x val="1.0162611711814535E-2"/>
              <c:y val="0.39874739039665974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sr-Latn-RS"/>
          </a:p>
        </c:txPr>
        <c:crossAx val="1491722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845605712499333"/>
          <c:y val="0.45511482254697289"/>
          <c:w val="0.21341484594810523"/>
          <c:h val="0.21224773834377172"/>
        </c:manualLayout>
      </c:layout>
      <c:overlay val="0"/>
      <c:txPr>
        <a:bodyPr/>
        <a:lstStyle/>
        <a:p>
          <a:pPr>
            <a:defRPr>
              <a:solidFill>
                <a:sysClr val="windowText" lastClr="000000"/>
              </a:solidFill>
              <a:latin typeface="+mn-lt"/>
              <a:ea typeface="黑体"/>
              <a:cs typeface="黑体"/>
            </a:defRPr>
          </a:pPr>
          <a:endParaRPr lang="sr-Latn-RS"/>
        </a:p>
      </c:txPr>
    </c:legend>
    <c:plotVisOnly val="1"/>
    <c:dispBlanksAs val="gap"/>
    <c:showDLblsOverMax val="0"/>
  </c:chart>
  <c:printSettings>
    <c:headerFooter alignWithMargins="0"/>
    <c:pageMargins b="1" l="0.75000000000000011" r="0.750000000000000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104775</xdr:rowOff>
    </xdr:from>
    <xdr:to>
      <xdr:col>14</xdr:col>
      <xdr:colOff>76200</xdr:colOff>
      <xdr:row>33</xdr:row>
      <xdr:rowOff>95250</xdr:rowOff>
    </xdr:to>
    <xdr:graphicFrame macro="">
      <xdr:nvGraphicFramePr>
        <xdr:cNvPr id="4098" name="Grafikon 2" descr="Kombinovani grafikon koji prikazuje Upozorenje o minimumu gotovine na ruke i Projekciju protoka gotovine">
          <a:extLst>
            <a:ext uri="{FF2B5EF4-FFF2-40B4-BE49-F238E27FC236}">
              <a16:creationId xmlns:a16="http://schemas.microsoft.com/office/drawing/2014/main" id="{00000000-0008-0000-0100-000002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ashReceipts" displayName="CashReceipts" ref="B9:P16" totalsRowCount="1" headerRowDxfId="137" dataDxfId="135" headerRowBorderDxfId="136" tableBorderDxfId="134">
  <autoFilter ref="B9:P15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000-000001000000}" name="PRIZNANICE" totalsRowLabel="PRIZNANICE ZA UKUPAN IZNOS GOTOVINE" dataDxfId="133" totalsRowDxfId="132"/>
    <tableColumn id="2" xr3:uid="{00000000-0010-0000-0000-000002000000}" name=" " dataDxfId="131" totalsRowDxfId="130"/>
    <tableColumn id="3" xr3:uid="{00000000-0010-0000-0000-000003000000}" name="jan.18" totalsRowFunction="custom" dataDxfId="129" totalsRowDxfId="128">
      <totalsRowFormula>SUM(D10,D12:D15,(D11*-1))</totalsRowFormula>
    </tableColumn>
    <tableColumn id="4" xr3:uid="{00000000-0010-0000-0000-000004000000}" name="feb.18" totalsRowFunction="custom" dataDxfId="127" totalsRowDxfId="126">
      <totalsRowFormula>SUM(E10,E12:E15,(E11*-1))</totalsRowFormula>
    </tableColumn>
    <tableColumn id="5" xr3:uid="{00000000-0010-0000-0000-000005000000}" name="mar.18" totalsRowFunction="custom" dataDxfId="125" totalsRowDxfId="124">
      <totalsRowFormula>SUM(F10,F12:F15,(F11*-1))</totalsRowFormula>
    </tableColumn>
    <tableColumn id="6" xr3:uid="{00000000-0010-0000-0000-000006000000}" name="apr.18" totalsRowFunction="custom" dataDxfId="123" totalsRowDxfId="122">
      <totalsRowFormula>SUM(G10,G12:G15,(G11*-1))</totalsRowFormula>
    </tableColumn>
    <tableColumn id="7" xr3:uid="{00000000-0010-0000-0000-000007000000}" name="maj.18" totalsRowFunction="custom" dataDxfId="121" totalsRowDxfId="120">
      <totalsRowFormula>SUM(H10,H12:H15,(H11*-1))</totalsRowFormula>
    </tableColumn>
    <tableColumn id="8" xr3:uid="{00000000-0010-0000-0000-000008000000}" name="jun.18" totalsRowFunction="custom" dataDxfId="119" totalsRowDxfId="118">
      <totalsRowFormula>SUM(I10,I12:I15,(I11*-1))</totalsRowFormula>
    </tableColumn>
    <tableColumn id="9" xr3:uid="{00000000-0010-0000-0000-000009000000}" name="jul.18" totalsRowFunction="custom" dataDxfId="117" totalsRowDxfId="116">
      <totalsRowFormula>SUM(J10,J12:J15,(J11*-1))</totalsRowFormula>
    </tableColumn>
    <tableColumn id="10" xr3:uid="{00000000-0010-0000-0000-00000A000000}" name="avg.18" totalsRowFunction="custom" dataDxfId="115" totalsRowDxfId="114">
      <totalsRowFormula>SUM(K10,K12:K15,(K11*-1))</totalsRowFormula>
    </tableColumn>
    <tableColumn id="11" xr3:uid="{00000000-0010-0000-0000-00000B000000}" name="sep.18" totalsRowFunction="custom" dataDxfId="113" totalsRowDxfId="112">
      <totalsRowFormula>SUM(L10,L12:L15,(L11*-1))</totalsRowFormula>
    </tableColumn>
    <tableColumn id="12" xr3:uid="{00000000-0010-0000-0000-00000C000000}" name="okt.18" totalsRowFunction="custom" dataDxfId="111" totalsRowDxfId="110">
      <totalsRowFormula>SUM(M10,M12:M15,(M11*-1))</totalsRowFormula>
    </tableColumn>
    <tableColumn id="13" xr3:uid="{00000000-0010-0000-0000-00000D000000}" name="nov.18" totalsRowFunction="custom" dataDxfId="109" totalsRowDxfId="108">
      <totalsRowFormula>SUM(N10,N12:N15,(N11*-1))</totalsRowFormula>
    </tableColumn>
    <tableColumn id="14" xr3:uid="{00000000-0010-0000-0000-00000E000000}" name="dec.18" totalsRowFunction="custom" dataDxfId="107" totalsRowDxfId="106">
      <totalsRowFormula>SUM(O10,O12:O15,(O11*-1))</totalsRowFormula>
    </tableColumn>
    <tableColumn id="15" xr3:uid="{00000000-0010-0000-0000-00000F000000}" name="Zbir" totalsRowFunction="sum" dataDxfId="105" totalsRowDxfId="104">
      <calculatedColumnFormula>SUM(D10:O10)</calculatedColumnFormula>
    </tableColumn>
  </tableColumns>
  <tableStyleInfo name="Gotovina" showFirstColumn="0" showLastColumn="0" showRowStripes="0" showColumnStripes="0"/>
  <extLst>
    <ext xmlns:x14="http://schemas.microsoft.com/office/spreadsheetml/2009/9/main" uri="{504A1905-F514-4f6f-8877-14C23A59335A}">
      <x14:table altTextSummary="Unesite ili izmenite stavke priznanica za gotovinu i vrednosti svakog meseca u ovoj tabeli. Ukupne priznanice za gotovinu i Ukupna dostupna gotovina se automatski izračunavaju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1000000}" name="CashOnHand" displayName="CashOnHand" ref="C6:P7" totalsRowShown="0" headerRowDxfId="103" dataDxfId="101" headerRowBorderDxfId="102" tableBorderDxfId="100">
  <autoFilter ref="C6:P7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</autoFilter>
  <tableColumns count="14">
    <tableColumn id="1" xr3:uid="{00000000-0010-0000-0100-000001000000}" name="Početak" dataDxfId="99"/>
    <tableColumn id="2" xr3:uid="{00000000-0010-0000-0100-000002000000}" name="jan.18" dataDxfId="98">
      <calculatedColumnFormula>C53</calculatedColumnFormula>
    </tableColumn>
    <tableColumn id="3" xr3:uid="{00000000-0010-0000-0100-000003000000}" name="feb.18" dataDxfId="97">
      <calculatedColumnFormula>D53</calculatedColumnFormula>
    </tableColumn>
    <tableColumn id="4" xr3:uid="{00000000-0010-0000-0100-000004000000}" name="mar.18" dataDxfId="96">
      <calculatedColumnFormula>E53</calculatedColumnFormula>
    </tableColumn>
    <tableColumn id="5" xr3:uid="{00000000-0010-0000-0100-000005000000}" name="apr.18" dataDxfId="95">
      <calculatedColumnFormula>F53</calculatedColumnFormula>
    </tableColumn>
    <tableColumn id="6" xr3:uid="{00000000-0010-0000-0100-000006000000}" name="maj.18" dataDxfId="94">
      <calculatedColumnFormula>G53</calculatedColumnFormula>
    </tableColumn>
    <tableColumn id="7" xr3:uid="{00000000-0010-0000-0100-000007000000}" name="jun.18" dataDxfId="93">
      <calculatedColumnFormula>H53</calculatedColumnFormula>
    </tableColumn>
    <tableColumn id="8" xr3:uid="{00000000-0010-0000-0100-000008000000}" name="jul.18" dataDxfId="92">
      <calculatedColumnFormula>I53</calculatedColumnFormula>
    </tableColumn>
    <tableColumn id="9" xr3:uid="{00000000-0010-0000-0100-000009000000}" name="avg.18" dataDxfId="91">
      <calculatedColumnFormula>J53</calculatedColumnFormula>
    </tableColumn>
    <tableColumn id="10" xr3:uid="{00000000-0010-0000-0100-00000A000000}" name="sep.18" dataDxfId="90">
      <calculatedColumnFormula>K53</calculatedColumnFormula>
    </tableColumn>
    <tableColumn id="11" xr3:uid="{00000000-0010-0000-0100-00000B000000}" name="okt.18" dataDxfId="89">
      <calculatedColumnFormula>L53</calculatedColumnFormula>
    </tableColumn>
    <tableColumn id="12" xr3:uid="{00000000-0010-0000-0100-00000C000000}" name="nov.18" dataDxfId="88">
      <calculatedColumnFormula>M53</calculatedColumnFormula>
    </tableColumn>
    <tableColumn id="13" xr3:uid="{00000000-0010-0000-0100-00000D000000}" name="dec.18" dataDxfId="87">
      <calculatedColumnFormula>N53</calculatedColumnFormula>
    </tableColumn>
    <tableColumn id="14" xr3:uid="{00000000-0010-0000-0100-00000E000000}" name="Zbir" dataDxfId="86"/>
  </tableColumns>
  <tableStyleInfo name="Gotovina" showFirstColumn="0" showLastColumn="0" showRowStripes="1" showColumnStripes="0"/>
  <extLst>
    <ext xmlns:x14="http://schemas.microsoft.com/office/spreadsheetml/2009/9/main" uri="{504A1905-F514-4f6f-8877-14C23A59335A}">
      <x14:table altTextSummary="Unesite stavku Gotovina na ruke u ovu tabelu. Gotovina na ruke se automatski izračunava za svaki mesec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roškovi" displayName="Troškovi" ref="B19:P45" totalsRowCount="1" headerRowDxfId="85" dataDxfId="83" headerRowBorderDxfId="84" tableBorderDxfId="82">
  <autoFilter ref="B19:P44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200-000001000000}" name="ISPLAĆEN NOVAC" totalsRowLabel="MEĐUVREDNOST" dataDxfId="81" totalsRowDxfId="80"/>
    <tableColumn id="2" xr3:uid="{00000000-0010-0000-0200-000002000000}" name=" " dataDxfId="79" totalsRowDxfId="78"/>
    <tableColumn id="3" xr3:uid="{00000000-0010-0000-0200-000003000000}" name="jan.18" totalsRowFunction="sum" dataDxfId="77" totalsRowDxfId="76"/>
    <tableColumn id="4" xr3:uid="{00000000-0010-0000-0200-000004000000}" name="feb.18" totalsRowFunction="sum" dataDxfId="75" totalsRowDxfId="74"/>
    <tableColumn id="5" xr3:uid="{00000000-0010-0000-0200-000005000000}" name="mar.18" totalsRowFunction="sum" dataDxfId="73" totalsRowDxfId="72"/>
    <tableColumn id="6" xr3:uid="{00000000-0010-0000-0200-000006000000}" name="apr.18" totalsRowFunction="sum" dataDxfId="71" totalsRowDxfId="70"/>
    <tableColumn id="7" xr3:uid="{00000000-0010-0000-0200-000007000000}" name="maj.18" totalsRowFunction="sum" dataDxfId="69" totalsRowDxfId="68"/>
    <tableColumn id="8" xr3:uid="{00000000-0010-0000-0200-000008000000}" name="jun.18" totalsRowFunction="sum" dataDxfId="67" totalsRowDxfId="66"/>
    <tableColumn id="9" xr3:uid="{00000000-0010-0000-0200-000009000000}" name="jul.18" totalsRowFunction="sum" dataDxfId="65" totalsRowDxfId="64"/>
    <tableColumn id="10" xr3:uid="{00000000-0010-0000-0200-00000A000000}" name="avg.18" totalsRowFunction="sum" dataDxfId="63" totalsRowDxfId="62"/>
    <tableColumn id="11" xr3:uid="{00000000-0010-0000-0200-00000B000000}" name="sep.18" totalsRowFunction="sum" dataDxfId="61" totalsRowDxfId="60"/>
    <tableColumn id="12" xr3:uid="{00000000-0010-0000-0200-00000C000000}" name="okt.18" totalsRowFunction="sum" dataDxfId="59" totalsRowDxfId="58"/>
    <tableColumn id="13" xr3:uid="{00000000-0010-0000-0200-00000D000000}" name="nov.18" totalsRowFunction="sum" dataDxfId="57" totalsRowDxfId="56"/>
    <tableColumn id="14" xr3:uid="{00000000-0010-0000-0200-00000E000000}" name="dec.18" totalsRowFunction="sum" dataDxfId="55" totalsRowDxfId="54"/>
    <tableColumn id="15" xr3:uid="{00000000-0010-0000-0200-00000F000000}" name="Zbir" totalsRowFunction="sum" dataDxfId="53" totalsRowDxfId="52">
      <calculatedColumnFormula>SUM(D20:O20)</calculatedColumnFormula>
    </tableColumn>
  </tableColumns>
  <tableStyleInfo name="Gotovina" showFirstColumn="1" showLastColumn="0" showRowStripes="0" showColumnStripes="0"/>
  <extLst>
    <ext xmlns:x14="http://schemas.microsoft.com/office/spreadsheetml/2009/9/main" uri="{504A1905-F514-4f6f-8877-14C23A59335A}">
      <x14:table altTextSummary="Unesite ili izmenite stavke Isplaćena gotovina i vrednosti svakog meseca u ovoj tabeli. Podzbir se automatski izračunava na kraju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3000000}" name="OtherOperationalData" displayName="OtherOperationalData" ref="B55:P61" totalsRowShown="0" headerRowDxfId="51" dataDxfId="49" headerRowBorderDxfId="50" tableBorderDxfId="48">
  <autoFilter ref="B55:P61" xr:uid="{00000000-0009-0000-0100-000007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300-000001000000}" name="DRUGI OPERATIVNI PODACI" dataDxfId="47"/>
    <tableColumn id="2" xr3:uid="{00000000-0010-0000-0300-000002000000}" name=" " dataDxfId="46"/>
    <tableColumn id="3" xr3:uid="{00000000-0010-0000-0300-000003000000}" name="jan.18" dataDxfId="45"/>
    <tableColumn id="4" xr3:uid="{00000000-0010-0000-0300-000004000000}" name="feb.18" dataDxfId="44"/>
    <tableColumn id="5" xr3:uid="{00000000-0010-0000-0300-000005000000}" name="mar.18" dataDxfId="43"/>
    <tableColumn id="6" xr3:uid="{00000000-0010-0000-0300-000006000000}" name="apr.18" dataDxfId="42"/>
    <tableColumn id="7" xr3:uid="{00000000-0010-0000-0300-000007000000}" name="maj.18" dataDxfId="41"/>
    <tableColumn id="8" xr3:uid="{00000000-0010-0000-0300-000008000000}" name="jun.18" dataDxfId="40"/>
    <tableColumn id="9" xr3:uid="{00000000-0010-0000-0300-000009000000}" name="jul.18" dataDxfId="39"/>
    <tableColumn id="10" xr3:uid="{00000000-0010-0000-0300-00000A000000}" name="avg.18" dataDxfId="38"/>
    <tableColumn id="11" xr3:uid="{00000000-0010-0000-0300-00000B000000}" name="sep.18" dataDxfId="37"/>
    <tableColumn id="12" xr3:uid="{00000000-0010-0000-0300-00000C000000}" name="okt.18" dataDxfId="36"/>
    <tableColumn id="13" xr3:uid="{00000000-0010-0000-0300-00000D000000}" name="nov.18" dataDxfId="35"/>
    <tableColumn id="14" xr3:uid="{00000000-0010-0000-0300-00000E000000}" name="dec.18" dataDxfId="34"/>
    <tableColumn id="15" xr3:uid="{00000000-0010-0000-0300-00000F000000}" name="Zbir" dataDxfId="33">
      <calculatedColumnFormula>SUM(OtherOperationalData[[#This Row],[jan.18]:[dec.18]])</calculatedColumnFormula>
    </tableColumn>
  </tableColumns>
  <tableStyleInfo name="Gotovina" showFirstColumn="1" showLastColumn="0" showRowStripes="0" showColumnStripes="0"/>
  <extLst>
    <ext xmlns:x14="http://schemas.microsoft.com/office/spreadsheetml/2009/9/main" uri="{504A1905-F514-4f6f-8877-14C23A59335A}">
      <x14:table altTextSummary="Unesite ili izmenite stavke Drugi operativni podaci i vrednosti svakog meseca u ovoj tabeli. Podzbir se automatski izračunava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4000000}" name="CashPaidOut" displayName="CashPaidOut" ref="B46:P52" totalsRowCount="1" headerRowDxfId="32" dataDxfId="31" tableBorderDxfId="30">
  <autoFilter ref="B46:P51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400-000001000000}" name="ISPLAĆEN NOVAC" totalsRowLabel="UKUPAN ISPLAĆEN NOVAC" dataDxfId="29" totalsRowDxfId="28"/>
    <tableColumn id="2" xr3:uid="{00000000-0010-0000-0400-000002000000}" name=" " dataDxfId="27" totalsRowDxfId="26"/>
    <tableColumn id="3" xr3:uid="{00000000-0010-0000-0400-000003000000}" name="jan.18" totalsRowFunction="custom" dataDxfId="25" totalsRowDxfId="24">
      <totalsRowFormula>Troškovi[[#Totals],[jan.18]]+SUBTOTAL(109,CashPaidOut[jan.18])</totalsRowFormula>
    </tableColumn>
    <tableColumn id="4" xr3:uid="{00000000-0010-0000-0400-000004000000}" name="feb.18" totalsRowFunction="custom" dataDxfId="23" totalsRowDxfId="22">
      <totalsRowFormula>Troškovi[[#Totals],[feb.18]]+SUBTOTAL(109,CashPaidOut[feb.18])</totalsRowFormula>
    </tableColumn>
    <tableColumn id="5" xr3:uid="{00000000-0010-0000-0400-000005000000}" name="mar.18" totalsRowFunction="custom" dataDxfId="21" totalsRowDxfId="20">
      <totalsRowFormula>Troškovi[[#Totals],[mar.18]]+SUBTOTAL(109,CashPaidOut[mar.18])</totalsRowFormula>
    </tableColumn>
    <tableColumn id="6" xr3:uid="{00000000-0010-0000-0400-000006000000}" name="apr.18" totalsRowFunction="custom" dataDxfId="19" totalsRowDxfId="18">
      <totalsRowFormula>Troškovi[[#Totals],[apr.18]]+SUBTOTAL(109,CashPaidOut[apr.18])</totalsRowFormula>
    </tableColumn>
    <tableColumn id="7" xr3:uid="{00000000-0010-0000-0400-000007000000}" name="maj.18" totalsRowFunction="custom" dataDxfId="17" totalsRowDxfId="16">
      <totalsRowFormula>Troškovi[[#Totals],[maj.18]]+SUBTOTAL(109,CashPaidOut[maj.18])</totalsRowFormula>
    </tableColumn>
    <tableColumn id="8" xr3:uid="{00000000-0010-0000-0400-000008000000}" name="jun.18" totalsRowFunction="custom" dataDxfId="15" totalsRowDxfId="14">
      <totalsRowFormula>Troškovi[[#Totals],[jun.18]]+SUBTOTAL(109,CashPaidOut[jun.18])</totalsRowFormula>
    </tableColumn>
    <tableColumn id="9" xr3:uid="{00000000-0010-0000-0400-000009000000}" name="jul.18" totalsRowFunction="custom" dataDxfId="13" totalsRowDxfId="12">
      <totalsRowFormula>Troškovi[[#Totals],[jul.18]]+SUBTOTAL(109,CashPaidOut[jul.18])</totalsRowFormula>
    </tableColumn>
    <tableColumn id="10" xr3:uid="{00000000-0010-0000-0400-00000A000000}" name="avg.18" totalsRowFunction="custom" dataDxfId="11" totalsRowDxfId="10">
      <totalsRowFormula>Troškovi[[#Totals],[avg.18]]+SUBTOTAL(109,CashPaidOut[avg.18])</totalsRowFormula>
    </tableColumn>
    <tableColumn id="11" xr3:uid="{00000000-0010-0000-0400-00000B000000}" name="sep.18" totalsRowFunction="custom" dataDxfId="9" totalsRowDxfId="8">
      <totalsRowFormula>Troškovi[[#Totals],[sep.18]]+SUBTOTAL(109,CashPaidOut[sep.18])</totalsRowFormula>
    </tableColumn>
    <tableColumn id="12" xr3:uid="{00000000-0010-0000-0400-00000C000000}" name="okt.18" totalsRowFunction="custom" dataDxfId="7" totalsRowDxfId="6">
      <totalsRowFormula>Troškovi[[#Totals],[okt.18]]+SUBTOTAL(109,CashPaidOut[okt.18])</totalsRowFormula>
    </tableColumn>
    <tableColumn id="13" xr3:uid="{00000000-0010-0000-0400-00000D000000}" name="nov.18" totalsRowFunction="custom" dataDxfId="5" totalsRowDxfId="4">
      <totalsRowFormula>Troškovi[[#Totals],[nov.18]]+SUBTOTAL(109,CashPaidOut[nov.18])</totalsRowFormula>
    </tableColumn>
    <tableColumn id="14" xr3:uid="{00000000-0010-0000-0400-00000E000000}" name="dec.18" totalsRowFunction="custom" dataDxfId="3" totalsRowDxfId="2">
      <totalsRowFormula>Troškovi[[#Totals],[dec.18]]+SUBTOTAL(109,CashPaidOut[dec.18])</totalsRowFormula>
    </tableColumn>
    <tableColumn id="15" xr3:uid="{00000000-0010-0000-0400-00000F000000}" name="Zbir" totalsRowFunction="custom" dataDxfId="1" totalsRowDxfId="0">
      <calculatedColumnFormula>SUM(D47:O47)</calculatedColumnFormula>
      <totalsRowFormula>SUM(D52:O52)</totalsRowFormula>
    </tableColumn>
  </tableColumns>
  <tableStyleInfo name="Gotovina" showFirstColumn="1" showLastColumn="0" showRowStripes="0" showColumnStripes="0"/>
  <extLst>
    <ext xmlns:x14="http://schemas.microsoft.com/office/spreadsheetml/2009/9/main" uri="{504A1905-F514-4f6f-8877-14C23A59335A}">
      <x14:table altTextSummary="Unesite ili izmenite stavke Isplaćena gotovina i vrednosti svakog meseca u ovoj tabeli. Ukupna isplaćena gotovina i Gotovina na ruke se automatski izračunava na kraju meseca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B1:Q61"/>
  <sheetViews>
    <sheetView showGridLines="0" tabSelected="1" zoomScaleNormal="100" workbookViewId="0"/>
  </sheetViews>
  <sheetFormatPr defaultColWidth="9.33203125" defaultRowHeight="11.25" x14ac:dyDescent="0.2"/>
  <cols>
    <col min="1" max="1" width="2.83203125" style="10" customWidth="1"/>
    <col min="2" max="2" width="32.6640625" style="14" customWidth="1"/>
    <col min="3" max="3" width="14.5" style="10" customWidth="1"/>
    <col min="4" max="10" width="11.83203125" style="10" customWidth="1"/>
    <col min="11" max="16" width="12.83203125" style="10" customWidth="1"/>
    <col min="17" max="17" width="2.83203125" style="10" customWidth="1"/>
    <col min="18" max="16384" width="9.33203125" style="10"/>
  </cols>
  <sheetData>
    <row r="1" spans="2:17" s="1" customFormat="1" ht="22.5" customHeight="1" x14ac:dyDescent="0.25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</row>
    <row r="2" spans="2:17" s="1" customFormat="1" ht="18" x14ac:dyDescent="0.25">
      <c r="B2" s="69" t="s">
        <v>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2:17" s="1" customFormat="1" ht="12.75" x14ac:dyDescent="0.2">
      <c r="B3" s="15" t="s">
        <v>2</v>
      </c>
      <c r="C3" s="72">
        <f ca="1">TODAY()</f>
        <v>43579</v>
      </c>
    </row>
    <row r="4" spans="2:17" s="1" customFormat="1" ht="25.5" x14ac:dyDescent="0.2">
      <c r="B4" s="15" t="s">
        <v>3</v>
      </c>
      <c r="C4" s="3"/>
      <c r="D4" s="16">
        <f t="shared" ref="D4" si="0">Cash_minimum</f>
        <v>0</v>
      </c>
      <c r="E4" s="16">
        <f t="shared" ref="E4:O4" si="1">Cash_minimum</f>
        <v>0</v>
      </c>
      <c r="F4" s="16">
        <f t="shared" si="1"/>
        <v>0</v>
      </c>
      <c r="G4" s="16">
        <f t="shared" si="1"/>
        <v>0</v>
      </c>
      <c r="H4" s="16">
        <f t="shared" si="1"/>
        <v>0</v>
      </c>
      <c r="I4" s="16">
        <f t="shared" si="1"/>
        <v>0</v>
      </c>
      <c r="J4" s="16">
        <f t="shared" si="1"/>
        <v>0</v>
      </c>
      <c r="K4" s="16">
        <f t="shared" si="1"/>
        <v>0</v>
      </c>
      <c r="L4" s="16">
        <f t="shared" si="1"/>
        <v>0</v>
      </c>
      <c r="M4" s="16">
        <f t="shared" si="1"/>
        <v>0</v>
      </c>
      <c r="N4" s="16">
        <f t="shared" si="1"/>
        <v>0</v>
      </c>
      <c r="O4" s="16">
        <f t="shared" si="1"/>
        <v>0</v>
      </c>
    </row>
    <row r="5" spans="2:17" s="1" customFormat="1" ht="12.75" x14ac:dyDescent="0.2">
      <c r="B5" s="15"/>
      <c r="H5" s="4"/>
      <c r="J5" s="5"/>
      <c r="K5" s="5"/>
      <c r="L5" s="5"/>
    </row>
    <row r="6" spans="2:17" s="7" customFormat="1" x14ac:dyDescent="0.2">
      <c r="B6" s="6"/>
      <c r="C6" s="34" t="s">
        <v>53</v>
      </c>
      <c r="D6" s="73" t="s">
        <v>56</v>
      </c>
      <c r="E6" s="73" t="s">
        <v>57</v>
      </c>
      <c r="F6" s="73" t="s">
        <v>58</v>
      </c>
      <c r="G6" s="73" t="s">
        <v>59</v>
      </c>
      <c r="H6" s="73" t="s">
        <v>60</v>
      </c>
      <c r="I6" s="73" t="s">
        <v>61</v>
      </c>
      <c r="J6" s="73" t="s">
        <v>62</v>
      </c>
      <c r="K6" s="73" t="s">
        <v>63</v>
      </c>
      <c r="L6" s="73" t="s">
        <v>64</v>
      </c>
      <c r="M6" s="73" t="s">
        <v>65</v>
      </c>
      <c r="N6" s="73" t="s">
        <v>66</v>
      </c>
      <c r="O6" s="73" t="s">
        <v>67</v>
      </c>
      <c r="P6" s="56" t="s">
        <v>68</v>
      </c>
    </row>
    <row r="7" spans="2:17" ht="22.5" x14ac:dyDescent="0.2">
      <c r="B7" s="8" t="s">
        <v>4</v>
      </c>
      <c r="C7" s="24"/>
      <c r="D7" s="17">
        <f t="shared" ref="D7:O7" si="2">C53</f>
        <v>0</v>
      </c>
      <c r="E7" s="17">
        <f t="shared" si="2"/>
        <v>0</v>
      </c>
      <c r="F7" s="17">
        <f t="shared" si="2"/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  <c r="J7" s="17">
        <f t="shared" si="2"/>
        <v>0</v>
      </c>
      <c r="K7" s="17">
        <f t="shared" si="2"/>
        <v>0</v>
      </c>
      <c r="L7" s="17">
        <f t="shared" si="2"/>
        <v>0</v>
      </c>
      <c r="M7" s="17">
        <f t="shared" si="2"/>
        <v>0</v>
      </c>
      <c r="N7" s="17">
        <f t="shared" si="2"/>
        <v>0</v>
      </c>
      <c r="O7" s="17">
        <f t="shared" si="2"/>
        <v>0</v>
      </c>
      <c r="P7" s="23"/>
    </row>
    <row r="8" spans="2:17" x14ac:dyDescent="0.2">
      <c r="B8" s="12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7"/>
    </row>
    <row r="9" spans="2:17" x14ac:dyDescent="0.2">
      <c r="B9" s="20" t="s">
        <v>5</v>
      </c>
      <c r="C9" s="22" t="s">
        <v>54</v>
      </c>
      <c r="D9" s="74" t="s">
        <v>56</v>
      </c>
      <c r="E9" s="74" t="s">
        <v>57</v>
      </c>
      <c r="F9" s="74" t="s">
        <v>58</v>
      </c>
      <c r="G9" s="74" t="s">
        <v>59</v>
      </c>
      <c r="H9" s="74" t="s">
        <v>60</v>
      </c>
      <c r="I9" s="74" t="s">
        <v>61</v>
      </c>
      <c r="J9" s="74" t="s">
        <v>62</v>
      </c>
      <c r="K9" s="74" t="s">
        <v>63</v>
      </c>
      <c r="L9" s="74" t="s">
        <v>64</v>
      </c>
      <c r="M9" s="74" t="s">
        <v>65</v>
      </c>
      <c r="N9" s="74" t="s">
        <v>66</v>
      </c>
      <c r="O9" s="74" t="s">
        <v>67</v>
      </c>
      <c r="P9" s="53" t="s">
        <v>68</v>
      </c>
    </row>
    <row r="10" spans="2:17" x14ac:dyDescent="0.2">
      <c r="B10" s="62" t="s">
        <v>6</v>
      </c>
      <c r="C10" s="9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21">
        <f t="shared" ref="P10:P15" si="3">SUM(D10:O10)</f>
        <v>0</v>
      </c>
    </row>
    <row r="11" spans="2:17" x14ac:dyDescent="0.2">
      <c r="B11" s="62" t="s">
        <v>7</v>
      </c>
      <c r="C11" s="9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21">
        <f t="shared" si="3"/>
        <v>0</v>
      </c>
    </row>
    <row r="12" spans="2:17" x14ac:dyDescent="0.2">
      <c r="B12" s="62" t="s">
        <v>8</v>
      </c>
      <c r="C12" s="9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21">
        <f t="shared" si="3"/>
        <v>0</v>
      </c>
    </row>
    <row r="13" spans="2:17" x14ac:dyDescent="0.2">
      <c r="B13" s="62" t="s">
        <v>9</v>
      </c>
      <c r="C13" s="9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21">
        <f t="shared" si="3"/>
        <v>0</v>
      </c>
    </row>
    <row r="14" spans="2:17" x14ac:dyDescent="0.2">
      <c r="B14" s="62" t="s">
        <v>10</v>
      </c>
      <c r="C14" s="9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21">
        <f t="shared" si="3"/>
        <v>0</v>
      </c>
    </row>
    <row r="15" spans="2:17" x14ac:dyDescent="0.2">
      <c r="B15" s="62" t="s">
        <v>11</v>
      </c>
      <c r="C15" s="9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21">
        <f t="shared" si="3"/>
        <v>0</v>
      </c>
    </row>
    <row r="16" spans="2:17" ht="22.5" x14ac:dyDescent="0.2">
      <c r="B16" s="46" t="s">
        <v>12</v>
      </c>
      <c r="C16" s="47"/>
      <c r="D16" s="39">
        <f t="shared" ref="D16:O16" si="4">SUM(D10,D12:D15,(D11*-1))</f>
        <v>0</v>
      </c>
      <c r="E16" s="39">
        <f t="shared" si="4"/>
        <v>0</v>
      </c>
      <c r="F16" s="65">
        <f t="shared" si="4"/>
        <v>0</v>
      </c>
      <c r="G16" s="65">
        <f t="shared" si="4"/>
        <v>0</v>
      </c>
      <c r="H16" s="65">
        <f t="shared" si="4"/>
        <v>0</v>
      </c>
      <c r="I16" s="65">
        <f t="shared" si="4"/>
        <v>0</v>
      </c>
      <c r="J16" s="65">
        <f t="shared" si="4"/>
        <v>0</v>
      </c>
      <c r="K16" s="65">
        <f t="shared" si="4"/>
        <v>0</v>
      </c>
      <c r="L16" s="65">
        <f t="shared" si="4"/>
        <v>0</v>
      </c>
      <c r="M16" s="65">
        <f t="shared" si="4"/>
        <v>0</v>
      </c>
      <c r="N16" s="65">
        <f t="shared" si="4"/>
        <v>0</v>
      </c>
      <c r="O16" s="65">
        <f t="shared" si="4"/>
        <v>0</v>
      </c>
      <c r="P16" s="38">
        <f>SUBTOTAL(109,CashReceipts[Zbir])</f>
        <v>0</v>
      </c>
    </row>
    <row r="17" spans="2:16" s="7" customFormat="1" x14ac:dyDescent="0.2">
      <c r="B17" s="8" t="s">
        <v>13</v>
      </c>
      <c r="C17" s="18">
        <f>(C7+CashReceipts[[#Totals],[ ]])</f>
        <v>0</v>
      </c>
      <c r="D17" s="18">
        <f>(D7+CashReceipts[[#Totals],[jan.18]])</f>
        <v>0</v>
      </c>
      <c r="E17" s="18">
        <f>(E7+CashReceipts[[#Totals],[feb.18]])</f>
        <v>0</v>
      </c>
      <c r="F17" s="18">
        <f>(F7+CashReceipts[[#Totals],[mar.18]])</f>
        <v>0</v>
      </c>
      <c r="G17" s="18">
        <f>(G7+CashReceipts[[#Totals],[apr.18]])</f>
        <v>0</v>
      </c>
      <c r="H17" s="18">
        <f>(H7+CashReceipts[[#Totals],[maj.18]])</f>
        <v>0</v>
      </c>
      <c r="I17" s="18">
        <f>(I7+CashReceipts[[#Totals],[jun.18]])</f>
        <v>0</v>
      </c>
      <c r="J17" s="18">
        <f>(J7+CashReceipts[[#Totals],[jul.18]])</f>
        <v>0</v>
      </c>
      <c r="K17" s="18">
        <f>(K7+CashReceipts[[#Totals],[avg.18]])</f>
        <v>0</v>
      </c>
      <c r="L17" s="18">
        <f>(L7+CashReceipts[[#Totals],[sep.18]])</f>
        <v>0</v>
      </c>
      <c r="M17" s="18">
        <f>(M7+CashReceipts[[#Totals],[okt.18]])</f>
        <v>0</v>
      </c>
      <c r="N17" s="18">
        <f>(N7+CashReceipts[[#Totals],[nov.18]])</f>
        <v>0</v>
      </c>
      <c r="O17" s="18">
        <f>(O7+CashReceipts[[#Totals],[dec.18]])</f>
        <v>0</v>
      </c>
      <c r="P17" s="9"/>
    </row>
    <row r="18" spans="2:16" s="61" customFormat="1" x14ac:dyDescent="0.2"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60"/>
    </row>
    <row r="19" spans="2:16" x14ac:dyDescent="0.2">
      <c r="B19" s="20" t="s">
        <v>14</v>
      </c>
      <c r="C19" s="22" t="s">
        <v>54</v>
      </c>
      <c r="D19" s="74" t="s">
        <v>56</v>
      </c>
      <c r="E19" s="74" t="s">
        <v>57</v>
      </c>
      <c r="F19" s="74" t="s">
        <v>58</v>
      </c>
      <c r="G19" s="74" t="s">
        <v>59</v>
      </c>
      <c r="H19" s="74" t="s">
        <v>60</v>
      </c>
      <c r="I19" s="74" t="s">
        <v>61</v>
      </c>
      <c r="J19" s="74" t="s">
        <v>62</v>
      </c>
      <c r="K19" s="74" t="s">
        <v>63</v>
      </c>
      <c r="L19" s="74" t="s">
        <v>64</v>
      </c>
      <c r="M19" s="74" t="s">
        <v>65</v>
      </c>
      <c r="N19" s="74" t="s">
        <v>66</v>
      </c>
      <c r="O19" s="74" t="s">
        <v>67</v>
      </c>
      <c r="P19" s="53" t="s">
        <v>68</v>
      </c>
    </row>
    <row r="20" spans="2:16" x14ac:dyDescent="0.2">
      <c r="B20" s="63" t="s">
        <v>15</v>
      </c>
      <c r="C20" s="9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21">
        <f t="shared" ref="P20:P44" si="5">SUM(D20:O20)</f>
        <v>0</v>
      </c>
    </row>
    <row r="21" spans="2:16" x14ac:dyDescent="0.2">
      <c r="B21" s="63" t="s">
        <v>16</v>
      </c>
      <c r="C21" s="9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21">
        <f t="shared" si="5"/>
        <v>0</v>
      </c>
    </row>
    <row r="22" spans="2:16" x14ac:dyDescent="0.2">
      <c r="B22" s="63" t="s">
        <v>17</v>
      </c>
      <c r="C22" s="9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21">
        <f t="shared" si="5"/>
        <v>0</v>
      </c>
    </row>
    <row r="23" spans="2:16" x14ac:dyDescent="0.2">
      <c r="B23" s="63" t="s">
        <v>18</v>
      </c>
      <c r="C23" s="9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21">
        <f t="shared" si="5"/>
        <v>0</v>
      </c>
    </row>
    <row r="24" spans="2:16" x14ac:dyDescent="0.2">
      <c r="B24" s="63" t="s">
        <v>19</v>
      </c>
      <c r="C24" s="9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21">
        <f t="shared" si="5"/>
        <v>0</v>
      </c>
    </row>
    <row r="25" spans="2:16" x14ac:dyDescent="0.2">
      <c r="B25" s="25" t="s">
        <v>20</v>
      </c>
      <c r="C25" s="9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21">
        <f t="shared" si="5"/>
        <v>0</v>
      </c>
    </row>
    <row r="26" spans="2:16" x14ac:dyDescent="0.2">
      <c r="B26" s="63" t="s">
        <v>21</v>
      </c>
      <c r="C26" s="9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21">
        <f t="shared" si="5"/>
        <v>0</v>
      </c>
    </row>
    <row r="27" spans="2:16" x14ac:dyDescent="0.2">
      <c r="B27" s="63" t="s">
        <v>22</v>
      </c>
      <c r="C27" s="9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21">
        <f t="shared" si="5"/>
        <v>0</v>
      </c>
    </row>
    <row r="28" spans="2:16" x14ac:dyDescent="0.2">
      <c r="B28" s="63" t="s">
        <v>23</v>
      </c>
      <c r="C28" s="9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21">
        <f t="shared" si="5"/>
        <v>0</v>
      </c>
    </row>
    <row r="29" spans="2:16" x14ac:dyDescent="0.2">
      <c r="B29" s="63" t="s">
        <v>24</v>
      </c>
      <c r="C29" s="9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21">
        <f t="shared" si="5"/>
        <v>0</v>
      </c>
    </row>
    <row r="30" spans="2:16" x14ac:dyDescent="0.2">
      <c r="B30" s="63" t="s">
        <v>25</v>
      </c>
      <c r="C30" s="9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21">
        <f t="shared" si="5"/>
        <v>0</v>
      </c>
    </row>
    <row r="31" spans="2:16" ht="11.25" customHeight="1" x14ac:dyDescent="0.2">
      <c r="B31" s="63" t="s">
        <v>26</v>
      </c>
      <c r="C31" s="9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21">
        <f t="shared" si="5"/>
        <v>0</v>
      </c>
    </row>
    <row r="32" spans="2:16" x14ac:dyDescent="0.2">
      <c r="B32" s="63" t="s">
        <v>27</v>
      </c>
      <c r="C32" s="9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21">
        <f t="shared" si="5"/>
        <v>0</v>
      </c>
    </row>
    <row r="33" spans="2:16" x14ac:dyDescent="0.2">
      <c r="B33" s="63" t="s">
        <v>28</v>
      </c>
      <c r="C33" s="9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21">
        <f t="shared" si="5"/>
        <v>0</v>
      </c>
    </row>
    <row r="34" spans="2:16" ht="11.25" customHeight="1" x14ac:dyDescent="0.2">
      <c r="B34" s="63" t="s">
        <v>29</v>
      </c>
      <c r="C34" s="9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21">
        <f t="shared" si="5"/>
        <v>0</v>
      </c>
    </row>
    <row r="35" spans="2:16" x14ac:dyDescent="0.2">
      <c r="B35" s="63" t="s">
        <v>30</v>
      </c>
      <c r="C35" s="9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21">
        <f t="shared" si="5"/>
        <v>0</v>
      </c>
    </row>
    <row r="36" spans="2:16" x14ac:dyDescent="0.2">
      <c r="B36" s="63" t="s">
        <v>31</v>
      </c>
      <c r="C36" s="9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21">
        <f t="shared" si="5"/>
        <v>0</v>
      </c>
    </row>
    <row r="37" spans="2:16" x14ac:dyDescent="0.2">
      <c r="B37" s="63" t="s">
        <v>32</v>
      </c>
      <c r="C37" s="9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21">
        <f t="shared" si="5"/>
        <v>0</v>
      </c>
    </row>
    <row r="38" spans="2:16" x14ac:dyDescent="0.2">
      <c r="B38" s="63" t="s">
        <v>33</v>
      </c>
      <c r="C38" s="9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21">
        <f t="shared" si="5"/>
        <v>0</v>
      </c>
    </row>
    <row r="39" spans="2:16" x14ac:dyDescent="0.2">
      <c r="B39" s="63" t="s">
        <v>34</v>
      </c>
      <c r="C39" s="9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21">
        <f t="shared" si="5"/>
        <v>0</v>
      </c>
    </row>
    <row r="40" spans="2:16" x14ac:dyDescent="0.2">
      <c r="B40" s="64" t="s">
        <v>35</v>
      </c>
      <c r="C40" s="9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21">
        <f t="shared" si="5"/>
        <v>0</v>
      </c>
    </row>
    <row r="41" spans="2:16" x14ac:dyDescent="0.2">
      <c r="B41" s="26" t="s">
        <v>36</v>
      </c>
      <c r="C41" s="9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21">
        <f t="shared" si="5"/>
        <v>0</v>
      </c>
    </row>
    <row r="42" spans="2:16" x14ac:dyDescent="0.2">
      <c r="B42" s="26" t="s">
        <v>36</v>
      </c>
      <c r="C42" s="9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21">
        <f t="shared" si="5"/>
        <v>0</v>
      </c>
    </row>
    <row r="43" spans="2:16" x14ac:dyDescent="0.2">
      <c r="B43" s="26" t="s">
        <v>36</v>
      </c>
      <c r="C43" s="9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21">
        <f t="shared" si="5"/>
        <v>0</v>
      </c>
    </row>
    <row r="44" spans="2:16" x14ac:dyDescent="0.2">
      <c r="B44" s="26" t="s">
        <v>37</v>
      </c>
      <c r="C44" s="9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21">
        <f t="shared" si="5"/>
        <v>0</v>
      </c>
    </row>
    <row r="45" spans="2:16" x14ac:dyDescent="0.2">
      <c r="B45" s="48" t="s">
        <v>38</v>
      </c>
      <c r="C45" s="37"/>
      <c r="D45" s="39">
        <f>SUBTOTAL(109,Troškovi[jan.18])</f>
        <v>0</v>
      </c>
      <c r="E45" s="39">
        <f>SUBTOTAL(109,Troškovi[feb.18])</f>
        <v>0</v>
      </c>
      <c r="F45" s="39">
        <f>SUBTOTAL(109,Troškovi[mar.18])</f>
        <v>0</v>
      </c>
      <c r="G45" s="39">
        <f>SUBTOTAL(109,Troškovi[apr.18])</f>
        <v>0</v>
      </c>
      <c r="H45" s="39">
        <f>SUBTOTAL(109,Troškovi[maj.18])</f>
        <v>0</v>
      </c>
      <c r="I45" s="39">
        <f>SUBTOTAL(109,Troškovi[jun.18])</f>
        <v>0</v>
      </c>
      <c r="J45" s="39">
        <f>SUBTOTAL(109,Troškovi[jul.18])</f>
        <v>0</v>
      </c>
      <c r="K45" s="39">
        <f>SUBTOTAL(109,Troškovi[avg.18])</f>
        <v>0</v>
      </c>
      <c r="L45" s="39">
        <f>SUBTOTAL(109,Troškovi[sep.18])</f>
        <v>0</v>
      </c>
      <c r="M45" s="39">
        <f>SUBTOTAL(109,Troškovi[okt.18])</f>
        <v>0</v>
      </c>
      <c r="N45" s="39">
        <f>SUBTOTAL(109,Troškovi[nov.18])</f>
        <v>0</v>
      </c>
      <c r="O45" s="39">
        <f>SUBTOTAL(109,Troškovi[dec.18])</f>
        <v>0</v>
      </c>
      <c r="P45" s="38">
        <f>SUBTOTAL(109,Troškovi[Zbir])</f>
        <v>0</v>
      </c>
    </row>
    <row r="46" spans="2:16" x14ac:dyDescent="0.2">
      <c r="B46" s="50" t="s">
        <v>14</v>
      </c>
      <c r="C46" s="44" t="s">
        <v>54</v>
      </c>
      <c r="D46" s="75" t="s">
        <v>56</v>
      </c>
      <c r="E46" s="75" t="s">
        <v>57</v>
      </c>
      <c r="F46" s="75" t="s">
        <v>58</v>
      </c>
      <c r="G46" s="75" t="s">
        <v>59</v>
      </c>
      <c r="H46" s="75" t="s">
        <v>60</v>
      </c>
      <c r="I46" s="75" t="s">
        <v>61</v>
      </c>
      <c r="J46" s="75" t="s">
        <v>62</v>
      </c>
      <c r="K46" s="75" t="s">
        <v>63</v>
      </c>
      <c r="L46" s="75" t="s">
        <v>64</v>
      </c>
      <c r="M46" s="75" t="s">
        <v>65</v>
      </c>
      <c r="N46" s="75" t="s">
        <v>66</v>
      </c>
      <c r="O46" s="75" t="s">
        <v>67</v>
      </c>
      <c r="P46" s="54" t="s">
        <v>68</v>
      </c>
    </row>
    <row r="47" spans="2:16" x14ac:dyDescent="0.2">
      <c r="B47" s="43" t="s">
        <v>39</v>
      </c>
      <c r="C47" s="40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2">
        <f t="shared" ref="P47:P52" si="6">SUM(D47:O47)</f>
        <v>0</v>
      </c>
    </row>
    <row r="48" spans="2:16" x14ac:dyDescent="0.2">
      <c r="B48" s="43" t="s">
        <v>40</v>
      </c>
      <c r="C48" s="40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2">
        <f t="shared" si="6"/>
        <v>0</v>
      </c>
    </row>
    <row r="49" spans="2:16" ht="11.25" customHeight="1" x14ac:dyDescent="0.2">
      <c r="B49" s="43" t="s">
        <v>41</v>
      </c>
      <c r="C49" s="40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2">
        <f t="shared" si="6"/>
        <v>0</v>
      </c>
    </row>
    <row r="50" spans="2:16" x14ac:dyDescent="0.2">
      <c r="B50" s="43" t="s">
        <v>42</v>
      </c>
      <c r="C50" s="40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2">
        <f t="shared" si="6"/>
        <v>0</v>
      </c>
    </row>
    <row r="51" spans="2:16" x14ac:dyDescent="0.2">
      <c r="B51" s="43" t="s">
        <v>43</v>
      </c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2">
        <f t="shared" si="6"/>
        <v>0</v>
      </c>
    </row>
    <row r="52" spans="2:16" x14ac:dyDescent="0.2">
      <c r="B52" s="66" t="s">
        <v>44</v>
      </c>
      <c r="C52" s="49"/>
      <c r="D52" s="67">
        <f>Troškovi[[#Totals],[jan.18]]+SUBTOTAL(109,CashPaidOut[jan.18])</f>
        <v>0</v>
      </c>
      <c r="E52" s="67">
        <f>Troškovi[[#Totals],[feb.18]]+SUBTOTAL(109,CashPaidOut[feb.18])</f>
        <v>0</v>
      </c>
      <c r="F52" s="67">
        <f>Troškovi[[#Totals],[mar.18]]+SUBTOTAL(109,CashPaidOut[mar.18])</f>
        <v>0</v>
      </c>
      <c r="G52" s="45">
        <f>Troškovi[[#Totals],[apr.18]]+SUBTOTAL(109,CashPaidOut[apr.18])</f>
        <v>0</v>
      </c>
      <c r="H52" s="45">
        <f>Troškovi[[#Totals],[maj.18]]+SUBTOTAL(109,CashPaidOut[maj.18])</f>
        <v>0</v>
      </c>
      <c r="I52" s="45">
        <f>Troškovi[[#Totals],[jun.18]]+SUBTOTAL(109,CashPaidOut[jun.18])</f>
        <v>0</v>
      </c>
      <c r="J52" s="45">
        <f>Troškovi[[#Totals],[jul.18]]+SUBTOTAL(109,CashPaidOut[jul.18])</f>
        <v>0</v>
      </c>
      <c r="K52" s="45">
        <f>Troškovi[[#Totals],[avg.18]]+SUBTOTAL(109,CashPaidOut[avg.18])</f>
        <v>0</v>
      </c>
      <c r="L52" s="45">
        <f>Troškovi[[#Totals],[sep.18]]+SUBTOTAL(109,CashPaidOut[sep.18])</f>
        <v>0</v>
      </c>
      <c r="M52" s="45">
        <f>Troškovi[[#Totals],[okt.18]]+SUBTOTAL(109,CashPaidOut[okt.18])</f>
        <v>0</v>
      </c>
      <c r="N52" s="45">
        <f>Troškovi[[#Totals],[nov.18]]+SUBTOTAL(109,CashPaidOut[nov.18])</f>
        <v>0</v>
      </c>
      <c r="O52" s="45">
        <f>Troškovi[[#Totals],[dec.18]]+SUBTOTAL(109,CashPaidOut[dec.18])</f>
        <v>0</v>
      </c>
      <c r="P52" s="67">
        <f t="shared" si="6"/>
        <v>0</v>
      </c>
    </row>
    <row r="53" spans="2:16" ht="22.5" x14ac:dyDescent="0.2">
      <c r="B53" s="51" t="s">
        <v>45</v>
      </c>
      <c r="C53" s="21">
        <f>C17</f>
        <v>0</v>
      </c>
      <c r="D53" s="21">
        <f>D17-CashPaidOut[[#Totals],[jan.18]]</f>
        <v>0</v>
      </c>
      <c r="E53" s="21">
        <f>E17-CashPaidOut[[#Totals],[feb.18]]</f>
        <v>0</v>
      </c>
      <c r="F53" s="21">
        <f>F17-CashPaidOut[[#Totals],[mar.18]]</f>
        <v>0</v>
      </c>
      <c r="G53" s="21">
        <f>G17-CashPaidOut[[#Totals],[apr.18]]</f>
        <v>0</v>
      </c>
      <c r="H53" s="21">
        <f>H17-CashPaidOut[[#Totals],[maj.18]]</f>
        <v>0</v>
      </c>
      <c r="I53" s="21">
        <f>I17-CashPaidOut[[#Totals],[jun.18]]</f>
        <v>0</v>
      </c>
      <c r="J53" s="21">
        <f>J17-CashPaidOut[[#Totals],[jul.18]]</f>
        <v>0</v>
      </c>
      <c r="K53" s="21">
        <f>K17-CashPaidOut[[#Totals],[avg.18]]</f>
        <v>0</v>
      </c>
      <c r="L53" s="21">
        <f>L17-CashPaidOut[[#Totals],[sep.18]]</f>
        <v>0</v>
      </c>
      <c r="M53" s="21">
        <f>M17-CashPaidOut[[#Totals],[okt.18]]</f>
        <v>0</v>
      </c>
      <c r="N53" s="21">
        <f>N17-CashPaidOut[[#Totals],[nov.18]]</f>
        <v>0</v>
      </c>
      <c r="O53" s="21">
        <f>O17-CashPaidOut[[#Totals],[dec.18]]</f>
        <v>0</v>
      </c>
      <c r="P53" s="52"/>
    </row>
    <row r="54" spans="2:16" x14ac:dyDescent="0.2">
      <c r="B54" s="12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2:16" x14ac:dyDescent="0.2">
      <c r="B55" s="29" t="s">
        <v>46</v>
      </c>
      <c r="C55" s="30" t="s">
        <v>54</v>
      </c>
      <c r="D55" s="74" t="s">
        <v>56</v>
      </c>
      <c r="E55" s="74" t="s">
        <v>57</v>
      </c>
      <c r="F55" s="74" t="s">
        <v>58</v>
      </c>
      <c r="G55" s="74" t="s">
        <v>59</v>
      </c>
      <c r="H55" s="74" t="s">
        <v>60</v>
      </c>
      <c r="I55" s="74" t="s">
        <v>61</v>
      </c>
      <c r="J55" s="74" t="s">
        <v>62</v>
      </c>
      <c r="K55" s="74" t="s">
        <v>63</v>
      </c>
      <c r="L55" s="74" t="s">
        <v>64</v>
      </c>
      <c r="M55" s="74" t="s">
        <v>65</v>
      </c>
      <c r="N55" s="74" t="s">
        <v>66</v>
      </c>
      <c r="O55" s="74" t="s">
        <v>67</v>
      </c>
      <c r="P55" s="55" t="s">
        <v>68</v>
      </c>
    </row>
    <row r="56" spans="2:16" x14ac:dyDescent="0.2">
      <c r="B56" s="27" t="s">
        <v>47</v>
      </c>
      <c r="C56" s="36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28">
        <f>SUM(OtherOperationalData[[#This Row],[jan.18]:[dec.18]])</f>
        <v>0</v>
      </c>
    </row>
    <row r="57" spans="2:16" x14ac:dyDescent="0.2">
      <c r="B57" s="31" t="s">
        <v>48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28">
        <f>SUM(OtherOperationalData[[#This Row],[jan.18]:[dec.18]])</f>
        <v>0</v>
      </c>
    </row>
    <row r="58" spans="2:16" x14ac:dyDescent="0.2">
      <c r="B58" s="31" t="s">
        <v>49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28">
        <f>SUM(OtherOperationalData[[#This Row],[jan.18]:[dec.18]])</f>
        <v>0</v>
      </c>
    </row>
    <row r="59" spans="2:16" x14ac:dyDescent="0.2">
      <c r="B59" s="31" t="s">
        <v>50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28">
        <f>SUM(OtherOperationalData[[#This Row],[jan.18]:[dec.18]])</f>
        <v>0</v>
      </c>
    </row>
    <row r="60" spans="2:16" x14ac:dyDescent="0.2">
      <c r="B60" s="31" t="s">
        <v>51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28">
        <f>SUM(OtherOperationalData[[#This Row],[jan.18]:[dec.18]])</f>
        <v>0</v>
      </c>
    </row>
    <row r="61" spans="2:16" x14ac:dyDescent="0.2">
      <c r="B61" s="32" t="s">
        <v>52</v>
      </c>
      <c r="C61" s="35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28">
        <f>SUM(OtherOperationalData[[#This Row],[jan.18]:[dec.18]])</f>
        <v>0</v>
      </c>
    </row>
  </sheetData>
  <sheetProtection insertColumns="0" insertRows="0"/>
  <mergeCells count="2">
    <mergeCell ref="B1:P1"/>
    <mergeCell ref="B2:P2"/>
  </mergeCells>
  <phoneticPr fontId="0" type="noConversion"/>
  <conditionalFormatting sqref="C7:O7">
    <cfRule type="cellIs" dxfId="138" priority="1" stopIfTrue="1" operator="lessThanOrEqual">
      <formula>$C$4</formula>
    </cfRule>
  </conditionalFormatting>
  <dataValidations count="27">
    <dataValidation type="decimal" allowBlank="1" showInputMessage="1" sqref="C7 D4:P4" xr:uid="{00000000-0002-0000-0000-000000000000}">
      <formula1>-10000000</formula1>
      <formula2>10000000</formula2>
    </dataValidation>
    <dataValidation type="decimal" operator="lessThanOrEqual" allowBlank="1" showInputMessage="1" showErrorMessage="1" sqref="C17:O17 C53:O53" xr:uid="{00000000-0002-0000-0000-000001000000}">
      <formula1>10000000</formula1>
    </dataValidation>
    <dataValidation type="date" allowBlank="1" showInputMessage="1" showErrorMessage="1" error="Unesite važeći datum." prompt="Unesite početni datum u ovu ćeliju" sqref="C3" xr:uid="{00000000-0002-0000-0000-000002000000}">
      <formula1>1</formula1>
      <formula2>73415</formula2>
    </dataValidation>
    <dataValidation type="decimal" operator="lessThanOrEqual" allowBlank="1" showInputMessage="1" sqref="D7:O7" xr:uid="{00000000-0002-0000-0000-000003000000}">
      <formula1>10000000</formula1>
    </dataValidation>
    <dataValidation type="decimal" errorStyle="warning" operator="lessThanOrEqual" allowBlank="1" showInputMessage="1" showErrorMessage="1" error="Unesite broj veći od nule" sqref="P10:P15 P20:P44 P47:P51 P56:P61" xr:uid="{00000000-0002-0000-0000-000004000000}">
      <formula1>10000000</formula1>
    </dataValidation>
    <dataValidation allowBlank="1" showInputMessage="1" showErrorMessage="1" prompt="Napravite projekciju protoka gotovine za malo preduzeće u ovom radnom listu. Unesite detalje u tabele pod imenima Gotovina na ruke, Priznanice za gotovinu, Troškovi, Isplaćena gotovina i Drugi operativni podaci" sqref="A1" xr:uid="{00000000-0002-0000-0000-000005000000}"/>
    <dataValidation allowBlank="1" showInputMessage="1" showErrorMessage="1" prompt="Naslov ovog radnog lista nalazi se u ovoj ćeliji. Ime preduzeća unesite u ćeliju ispod" sqref="B1:P1" xr:uid="{00000000-0002-0000-0000-000006000000}"/>
    <dataValidation allowBlank="1" showInputMessage="1" showErrorMessage="1" prompt="Unesite ime preduzeća u ovu ćeliju, početni datum u ćeliju C3 i upozorenje o minimalnom gotovinskom saldu u ćeliju C4" sqref="B2:P2" xr:uid="{00000000-0002-0000-0000-000007000000}"/>
    <dataValidation allowBlank="1" showInputMessage="1" showErrorMessage="1" prompt="Unesite početni datum u ćeliju sa desne strane" sqref="B3" xr:uid="{00000000-0002-0000-0000-000008000000}"/>
    <dataValidation allowBlank="1" showInputMessage="1" showErrorMessage="1" prompt="Unesite upozorenje o minimalnom gotovinskom saldu u ćeliju sa desne strane" sqref="B4" xr:uid="{00000000-0002-0000-0000-000009000000}"/>
    <dataValidation type="decimal" operator="lessThanOrEqual" allowBlank="1" showInputMessage="1" showErrorMessage="1" error="Unesite broj veći od nule." prompt="Unesite upozorenje o minimalnom gotovinskom saldu u ovu ćeliju i detalje u tabelu Gotovina na ruke počevši od ćelije C6. Gotovina na ruke koji počinje od oznake meseca nalazi se u ćeliji B7" sqref="C4" xr:uid="{00000000-0002-0000-0000-00000A000000}">
      <formula1>10000000</formula1>
    </dataValidation>
    <dataValidation allowBlank="1" showInputMessage="1" showErrorMessage="1" prompt="Unesite detalje u tabelu sa desne strane" sqref="B6" xr:uid="{00000000-0002-0000-0000-00000B000000}"/>
    <dataValidation allowBlank="1" showInputMessage="1" showErrorMessage="1" prompt="Unesite gotovinu na ruke u početak meseca u ćeliji sa desne strane" sqref="B7" xr:uid="{00000000-0002-0000-0000-00000C000000}"/>
    <dataValidation operator="greaterThanOrEqual" allowBlank="1" showInputMessage="1" showErrorMessage="1" error="Unesite broj veći od nule." prompt="Unesite gotovinu na ruke u početak u ćeliji sa desne strane" sqref="C6" xr:uid="{00000000-0002-0000-0000-00000D000000}"/>
    <dataValidation allowBlank="1" showInputMessage="1" prompt="Gotovina na ruke se automatski izračunava za ovaj mesec u ćelije ispod" sqref="D6:O6" xr:uid="{00000000-0002-0000-0000-00000E000000}"/>
    <dataValidation allowBlank="1" showInputMessage="1" showErrorMessage="1" prompt="Unesite detalje u tabelu Priznanice za gotovinu" sqref="B8" xr:uid="{00000000-0002-0000-0000-00000F000000}"/>
    <dataValidation allowBlank="1" showInputMessage="1" showErrorMessage="1" prompt="Unesite ili izmenite stavke Priznanice za gotovinu u ovoj koloni ispod ovog naslova" sqref="B9" xr:uid="{00000000-0002-0000-0000-000010000000}"/>
    <dataValidation allowBlank="1" showInputMessage="1" prompt="Unesite vrednosti za ovaj mesec u ovu kolonu, ispod ovog naslova" sqref="D55:O55 E9:O9 D19:O19 D46:O46" xr:uid="{00000000-0002-0000-0000-000011000000}"/>
    <dataValidation allowBlank="1" showInputMessage="1" prompt="Zbir se automatski izračunava u ovoj koloni u okviru ovog naslova. Ukupne priznanice za gotovinu i Ukupna dostupna gotovina automatski se izračunava na kraju" sqref="P9" xr:uid="{00000000-0002-0000-0000-000012000000}"/>
    <dataValidation allowBlank="1" showInputMessage="1" showErrorMessage="1" prompt="Unesite detalje u tabelu Troškovi i u tabelu Isplaćena gotovina počevši od ćelije B46" sqref="B18" xr:uid="{00000000-0002-0000-0000-000013000000}"/>
    <dataValidation allowBlank="1" showInputMessage="1" showErrorMessage="1" prompt="Unesite ili izmenite stavke Isplaćena gotovina u ovoj koloni ispod ovog naslova" sqref="B19 B46" xr:uid="{00000000-0002-0000-0000-000014000000}"/>
    <dataValidation allowBlank="1" showInputMessage="1" showErrorMessage="1" prompt="Zbir se automatski izračunava u ovoj koloni, ispod ovog naslova. Podzbir se automatski izračunava na kraju" sqref="P19" xr:uid="{00000000-0002-0000-0000-000015000000}"/>
    <dataValidation allowBlank="1" showInputMessage="1" showErrorMessage="1" prompt="Zbir se automatski izračunava u ovoj koloni u okviru ovog naslova. Ukupna isplaćena gotovina i Gotovina na ruke na kraju meseca automatski se izračunava na kraju" sqref="P46" xr:uid="{00000000-0002-0000-0000-000016000000}"/>
    <dataValidation allowBlank="1" showInputMessage="1" showErrorMessage="1" prompt="Unesite ili izmenite stavke Drugi operativni podaci u ovoj koloni ispod ovog naslova" sqref="B55" xr:uid="{00000000-0002-0000-0000-000017000000}"/>
    <dataValidation allowBlank="1" showInputMessage="1" showErrorMessage="1" prompt="Zbir se automatski izračunava u ovoj koloni, ispod ovog naslova" sqref="P55" xr:uid="{00000000-0002-0000-0000-000018000000}"/>
    <dataValidation allowBlank="1" showInputMessage="1" showErrorMessage="1" prompt="Unesite vrednosti za ovaj mesec u ovu kolonu, ispod ovog naslova" sqref="D9" xr:uid="{00000000-0002-0000-0000-000019000000}"/>
    <dataValidation type="decimal" allowBlank="1" showInputMessage="1" showErrorMessage="1" sqref="D10:O15 D20:O44 D47:O51 D56:O61 C57:C60" xr:uid="{00000000-0002-0000-0000-00001A000000}">
      <formula1>-10000000</formula1>
      <formula2>10000000</formula2>
    </dataValidation>
  </dataValidations>
  <printOptions horizontalCentered="1"/>
  <pageMargins left="0" right="0" top="0.5" bottom="0.25" header="0" footer="0"/>
  <pageSetup paperSize="9" scale="75" orientation="landscape" r:id="rId1"/>
  <headerFooter alignWithMargins="0"/>
  <ignoredErrors>
    <ignoredError sqref="P20:P44" emptyCellReference="1"/>
  </ignoredErrors>
  <tableParts count="5">
    <tablePart r:id="rId2"/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79998168889431442"/>
  </sheetPr>
  <dimension ref="B2:Q38"/>
  <sheetViews>
    <sheetView showGridLines="0" workbookViewId="0"/>
  </sheetViews>
  <sheetFormatPr defaultColWidth="9.33203125" defaultRowHeight="11.25" x14ac:dyDescent="0.2"/>
  <cols>
    <col min="1" max="1" width="9.33203125" style="10"/>
    <col min="2" max="2" width="45" style="10" customWidth="1"/>
    <col min="3" max="3" width="13" style="10" customWidth="1"/>
    <col min="4" max="4" width="13.33203125" style="10" customWidth="1"/>
    <col min="5" max="16384" width="9.33203125" style="10"/>
  </cols>
  <sheetData>
    <row r="2" spans="2:17" x14ac:dyDescent="0.2">
      <c r="B2" s="71" t="s">
        <v>55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spans="2:17" x14ac:dyDescent="0.2"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</row>
    <row r="4" spans="2:17" x14ac:dyDescent="0.2"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</row>
    <row r="5" spans="2:17" x14ac:dyDescent="0.2"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</row>
    <row r="6" spans="2:17" x14ac:dyDescent="0.2"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</row>
    <row r="7" spans="2:17" x14ac:dyDescent="0.2"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</row>
    <row r="8" spans="2:17" x14ac:dyDescent="0.2"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</row>
    <row r="9" spans="2:17" x14ac:dyDescent="0.2"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</row>
    <row r="10" spans="2:17" x14ac:dyDescent="0.2"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</row>
    <row r="11" spans="2:17" x14ac:dyDescent="0.2"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</row>
    <row r="12" spans="2:17" x14ac:dyDescent="0.2"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</row>
    <row r="13" spans="2:17" x14ac:dyDescent="0.2"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</row>
    <row r="14" spans="2:17" x14ac:dyDescent="0.2"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</row>
    <row r="15" spans="2:17" x14ac:dyDescent="0.2"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</row>
    <row r="16" spans="2:17" x14ac:dyDescent="0.2"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</row>
    <row r="17" spans="2:17" x14ac:dyDescent="0.2"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</row>
    <row r="18" spans="2:17" x14ac:dyDescent="0.2"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</row>
    <row r="19" spans="2:17" x14ac:dyDescent="0.2"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</row>
    <row r="20" spans="2:17" x14ac:dyDescent="0.2"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</row>
    <row r="21" spans="2:17" x14ac:dyDescent="0.2"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</row>
    <row r="22" spans="2:17" x14ac:dyDescent="0.2"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</row>
    <row r="23" spans="2:17" x14ac:dyDescent="0.2"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</row>
    <row r="24" spans="2:17" x14ac:dyDescent="0.2"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</row>
    <row r="25" spans="2:17" x14ac:dyDescent="0.2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</row>
    <row r="26" spans="2:17" x14ac:dyDescent="0.2"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</row>
    <row r="27" spans="2:17" x14ac:dyDescent="0.2"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</row>
    <row r="28" spans="2:17" x14ac:dyDescent="0.2"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</row>
    <row r="29" spans="2:17" x14ac:dyDescent="0.2"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</row>
    <row r="30" spans="2:17" x14ac:dyDescent="0.2"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</row>
    <row r="31" spans="2:17" x14ac:dyDescent="0.2"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</row>
    <row r="32" spans="2:17" x14ac:dyDescent="0.2"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</row>
    <row r="33" spans="2:17" x14ac:dyDescent="0.2"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</row>
    <row r="34" spans="2:17" x14ac:dyDescent="0.2"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</row>
    <row r="35" spans="2:17" x14ac:dyDescent="0.2"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</row>
    <row r="37" spans="2:17" ht="12.75" x14ac:dyDescent="0.2">
      <c r="B37" s="70" t="s">
        <v>3</v>
      </c>
      <c r="C37" s="70"/>
      <c r="D37" s="68">
        <f>[0]!Cash_minimum</f>
        <v>0</v>
      </c>
    </row>
    <row r="38" spans="2:17" ht="12.75" x14ac:dyDescent="0.2">
      <c r="B38" s="2"/>
      <c r="C38" s="19"/>
    </row>
  </sheetData>
  <mergeCells count="2">
    <mergeCell ref="B37:C37"/>
    <mergeCell ref="B2:Q35"/>
  </mergeCells>
  <phoneticPr fontId="3" type="noConversion"/>
  <dataValidations count="3">
    <dataValidation allowBlank="1" showInputMessage="1" showErrorMessage="1" prompt="Grafikon u ćeliji B2 i Upozorenje o minimumu gotovinskog salda u ćeliji D37 automatski se ažuriraju u ovom radnom listu" sqref="A1" xr:uid="{00000000-0002-0000-0100-000000000000}"/>
    <dataValidation allowBlank="1" showInputMessage="1" showErrorMessage="1" prompt="Upozorenje o minimalnom gotovinskom saldu automatski se ažurira u ćeliji sa desne strane" sqref="B37:C37" xr:uid="{00000000-0002-0000-0100-000001000000}"/>
    <dataValidation allowBlank="1" showInputMessage="1" showErrorMessage="1" prompt="Upozorenje o minimalnom gotovinskom saldu automatski se ažurira u ovoj ćeliji" sqref="D37" xr:uid="{00000000-0002-0000-0100-000002000000}"/>
  </dataValidations>
  <pageMargins left="0.75" right="0.75" top="1" bottom="1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3D64DB-3A2E-4E7A-AABA-D3030C824D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72E6D7E-13F1-464C-9225-372C9DE461E2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3.xml><?xml version="1.0" encoding="utf-8"?>
<ds:datastoreItem xmlns:ds="http://schemas.openxmlformats.org/officeDocument/2006/customXml" ds:itemID="{8C51595D-F41B-4D93-B579-8EF94377C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opsezi</vt:lpstr>
      </vt:variant>
      <vt:variant>
        <vt:i4>5</vt:i4>
      </vt:variant>
    </vt:vector>
  </HeadingPairs>
  <TitlesOfParts>
    <vt:vector size="7" baseType="lpstr">
      <vt:lpstr>Protok gotovine</vt:lpstr>
      <vt:lpstr>Grafikon protoka gotovine</vt:lpstr>
      <vt:lpstr>Cash_beginning</vt:lpstr>
      <vt:lpstr>Cash_minimum</vt:lpstr>
      <vt:lpstr>Company_name</vt:lpstr>
      <vt:lpstr>'Protok gotovine'!Naslovi_štampanja</vt:lpstr>
      <vt:lpstr>Start_date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2019-03-04T05:37:55Z</dcterms:created>
  <dcterms:modified xsi:type="dcterms:W3CDTF">2019-04-24T07:20:38Z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