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18AAC49E-589D-4FE5-B5EB-D919A81E80B7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现金流" sheetId="1" r:id="rId1"/>
    <sheet name="现金流图表" sheetId="2" r:id="rId2"/>
  </sheets>
  <definedNames>
    <definedName name="Cash_beginning">现金流!$C$7</definedName>
    <definedName name="Cash_minimum">现金流!$C$4</definedName>
    <definedName name="Company_Name">现金流!$B$2</definedName>
    <definedName name="_xlnm.Print_Titles" localSheetId="0">现金流!$6:$6</definedName>
    <definedName name="Start_date">现金流!$C$3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P58" i="1"/>
  <c r="P59" i="1"/>
  <c r="P60" i="1"/>
  <c r="P61" i="1"/>
  <c r="P48" i="1"/>
  <c r="P49" i="1"/>
  <c r="P50" i="1"/>
  <c r="P51" i="1"/>
  <c r="P11" i="1"/>
  <c r="P12" i="1"/>
  <c r="P13" i="1"/>
  <c r="P14" i="1"/>
  <c r="P15" i="1"/>
  <c r="F16" i="1" l="1"/>
  <c r="D16" i="1"/>
  <c r="O4" i="1" l="1"/>
  <c r="N4" i="1"/>
  <c r="M4" i="1"/>
  <c r="L4" i="1"/>
  <c r="K4" i="1"/>
  <c r="J4" i="1"/>
  <c r="I4" i="1"/>
  <c r="H4" i="1"/>
  <c r="G4" i="1"/>
  <c r="F4" i="1"/>
  <c r="E4" i="1"/>
  <c r="D4" i="1"/>
  <c r="C3" i="1" l="1"/>
  <c r="P56" i="1" l="1"/>
  <c r="C17" i="1" l="1"/>
  <c r="C53" i="1" s="1"/>
  <c r="D7" i="1" l="1"/>
  <c r="D17" i="1" s="1"/>
  <c r="E16" i="1" l="1"/>
  <c r="D37" i="2" l="1"/>
  <c r="P10" i="1" l="1"/>
  <c r="P4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20" i="1"/>
  <c r="G16" i="1"/>
  <c r="H16" i="1"/>
  <c r="I16" i="1"/>
  <c r="J16" i="1"/>
  <c r="K16" i="1"/>
  <c r="L16" i="1"/>
  <c r="M16" i="1"/>
  <c r="N16" i="1"/>
  <c r="O16" i="1"/>
  <c r="D45" i="1" l="1"/>
  <c r="D52" i="1" s="1"/>
  <c r="F45" i="1"/>
  <c r="F52" i="1" s="1"/>
  <c r="K45" i="1"/>
  <c r="K52" i="1" s="1"/>
  <c r="E45" i="1"/>
  <c r="E52" i="1" s="1"/>
  <c r="J45" i="1"/>
  <c r="J52" i="1" s="1"/>
  <c r="N45" i="1"/>
  <c r="N52" i="1" s="1"/>
  <c r="I45" i="1"/>
  <c r="I52" i="1" s="1"/>
  <c r="O45" i="1"/>
  <c r="O52" i="1" s="1"/>
  <c r="H45" i="1"/>
  <c r="H52" i="1" s="1"/>
  <c r="L45" i="1"/>
  <c r="L52" i="1" s="1"/>
  <c r="M45" i="1"/>
  <c r="M52" i="1" s="1"/>
  <c r="G45" i="1"/>
  <c r="G52" i="1" s="1"/>
  <c r="P16" i="1"/>
  <c r="P52" i="1" l="1"/>
  <c r="D53" i="1"/>
  <c r="E7" i="1" s="1"/>
  <c r="E17" i="1" s="1"/>
  <c r="E53" i="1" s="1"/>
  <c r="F7" i="1" s="1"/>
  <c r="F17" i="1" s="1"/>
  <c r="F53" i="1" s="1"/>
  <c r="G7" i="1" s="1"/>
  <c r="G17" i="1" s="1"/>
  <c r="G53" i="1" s="1"/>
  <c r="H7" i="1" s="1"/>
  <c r="H17" i="1" s="1"/>
  <c r="H53" i="1" s="1"/>
  <c r="I7" i="1" s="1"/>
  <c r="I17" i="1" s="1"/>
  <c r="I53" i="1" s="1"/>
  <c r="J7" i="1" s="1"/>
  <c r="J17" i="1" s="1"/>
  <c r="J53" i="1" s="1"/>
  <c r="K7" i="1" s="1"/>
  <c r="K17" i="1" s="1"/>
  <c r="K53" i="1" s="1"/>
  <c r="L7" i="1" s="1"/>
  <c r="L17" i="1" s="1"/>
  <c r="L53" i="1" s="1"/>
  <c r="M7" i="1" s="1"/>
  <c r="M17" i="1" s="1"/>
  <c r="M53" i="1" s="1"/>
  <c r="N7" i="1" s="1"/>
  <c r="N17" i="1" s="1"/>
  <c r="N53" i="1" s="1"/>
  <c r="O7" i="1" s="1"/>
  <c r="O17" i="1" s="1"/>
  <c r="O53" i="1" s="1"/>
  <c r="P45" i="1"/>
</calcChain>
</file>

<file path=xl/sharedStrings.xml><?xml version="1.0" encoding="utf-8"?>
<sst xmlns="http://schemas.openxmlformats.org/spreadsheetml/2006/main" count="128" uniqueCount="69">
  <si>
    <t>小型企业版现金流预测</t>
  </si>
  <si>
    <t>公司名称</t>
  </si>
  <si>
    <t>开始日期</t>
  </si>
  <si>
    <t>现金余额警报最低限额</t>
  </si>
  <si>
    <t>库存现金（月初）</t>
  </si>
  <si>
    <t>现金回执</t>
  </si>
  <si>
    <t>现金销售</t>
  </si>
  <si>
    <t>退货和折让</t>
  </si>
  <si>
    <t>应收帐款的收款</t>
  </si>
  <si>
    <t>利息、其他收入</t>
  </si>
  <si>
    <t>贷款收益</t>
  </si>
  <si>
    <t>所有者出资</t>
  </si>
  <si>
    <t>现金回执合计</t>
  </si>
  <si>
    <t>可用现金合计</t>
  </si>
  <si>
    <t>支付的现金</t>
  </si>
  <si>
    <t>广告</t>
  </si>
  <si>
    <t>佣金和费用</t>
  </si>
  <si>
    <t>合同工</t>
  </si>
  <si>
    <t>员工福利计划</t>
  </si>
  <si>
    <t>保险（非健康问题）</t>
  </si>
  <si>
    <t>利息支出</t>
  </si>
  <si>
    <t>材料和供应（COGS 中）</t>
  </si>
  <si>
    <t>餐饮和娱乐</t>
  </si>
  <si>
    <t>抵押贷款利息</t>
  </si>
  <si>
    <t>办公费用</t>
  </si>
  <si>
    <t>其他利息支出</t>
  </si>
  <si>
    <t>退休金和利润共享计划</t>
  </si>
  <si>
    <t>用于转售的采购</t>
  </si>
  <si>
    <t>租金或租赁</t>
  </si>
  <si>
    <t>租金或租赁：车辆、设备</t>
  </si>
  <si>
    <t>修理和维护</t>
  </si>
  <si>
    <t>供应（不在 COGS 中）</t>
  </si>
  <si>
    <t>税费和许可证</t>
  </si>
  <si>
    <t>差旅</t>
  </si>
  <si>
    <t>水电费</t>
  </si>
  <si>
    <t>工资（扣除员工信贷）</t>
  </si>
  <si>
    <t>其他费用</t>
  </si>
  <si>
    <t>杂项</t>
  </si>
  <si>
    <t>小计</t>
  </si>
  <si>
    <t>贷款本金付款</t>
  </si>
  <si>
    <t>资本购买</t>
  </si>
  <si>
    <t>其他启动成本</t>
  </si>
  <si>
    <t>准备金和/或暂管</t>
  </si>
  <si>
    <t>所有者取款</t>
  </si>
  <si>
    <t>支付的现金总计</t>
  </si>
  <si>
    <t>库存现金（月末）</t>
  </si>
  <si>
    <t>其他营业数据</t>
  </si>
  <si>
    <t>销量（以美元计）</t>
  </si>
  <si>
    <t>应收帐款余额</t>
  </si>
  <si>
    <t>坏帐余额</t>
  </si>
  <si>
    <t>现有库存</t>
  </si>
  <si>
    <t>应付帐款余额</t>
  </si>
  <si>
    <t>折旧</t>
  </si>
  <si>
    <t>期初</t>
  </si>
  <si>
    <t xml:space="preserve"> </t>
  </si>
  <si>
    <t>总计</t>
  </si>
  <si>
    <t>此单元格中为显示库存现金最低限额警报和现金流预测的组合图表。</t>
  </si>
  <si>
    <t>2018年1月</t>
    <phoneticPr fontId="0" type="noConversion"/>
  </si>
  <si>
    <t>2018年2月</t>
  </si>
  <si>
    <t>2018年3月</t>
  </si>
  <si>
    <t>2018年4月</t>
  </si>
  <si>
    <t>2018年5月</t>
  </si>
  <si>
    <t>2018年6月</t>
  </si>
  <si>
    <t>2018年7月</t>
  </si>
  <si>
    <t>2018年8月</t>
  </si>
  <si>
    <t>2018年9月</t>
  </si>
  <si>
    <t>2018年10月</t>
  </si>
  <si>
    <t>2018年11月</t>
  </si>
  <si>
    <t>2018年12月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</si>
</sst>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¥&quot;#,##0;&quot;¥&quot;\-#,##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yyyy&quot;年&quot;m&quot;月&quot;;@"/>
    <numFmt numFmtId="179" formatCode="#,##0_ "/>
  </numFmts>
  <fonts count="30" x14ac:knownFonts="1">
    <font>
      <sz val="8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8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4"/>
      <color theme="1" tint="0.249977111117893"/>
      <name val="Microsoft YaHei UI"/>
      <family val="2"/>
      <charset val="134"/>
    </font>
    <font>
      <sz val="8"/>
      <color theme="0"/>
      <name val="Microsoft YaHei UI"/>
      <family val="2"/>
      <charset val="134"/>
    </font>
    <font>
      <b/>
      <sz val="10"/>
      <name val="Microsoft YaHei UI"/>
      <family val="2"/>
      <charset val="134"/>
    </font>
    <font>
      <b/>
      <sz val="8"/>
      <name val="Microsoft YaHei UI"/>
      <family val="2"/>
      <charset val="134"/>
    </font>
    <font>
      <b/>
      <sz val="8"/>
      <color theme="0"/>
      <name val="Microsoft YaHei UI"/>
      <family val="2"/>
      <charset val="134"/>
    </font>
    <font>
      <sz val="8"/>
      <color theme="0" tint="-0.249977111117893"/>
      <name val="Microsoft YaHei UI"/>
      <family val="2"/>
      <charset val="134"/>
    </font>
    <font>
      <b/>
      <sz val="8"/>
      <color theme="1"/>
      <name val="Microsoft YaHei UI"/>
      <family val="2"/>
      <charset val="134"/>
    </font>
    <font>
      <b/>
      <sz val="8"/>
      <color theme="0" tint="-0.249977111117893"/>
      <name val="Microsoft YaHei UI"/>
      <family val="2"/>
      <charset val="134"/>
    </font>
    <font>
      <sz val="10"/>
      <color indexed="8"/>
      <name val="Microsoft YaHei UI"/>
      <family val="2"/>
      <charset val="134"/>
    </font>
  </fonts>
  <fills count="38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5" fontId="16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9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19" fillId="9" borderId="0" applyNumberFormat="0" applyBorder="0" applyAlignment="0" applyProtection="0"/>
    <xf numFmtId="0" fontId="17" fillId="10" borderId="26" applyNumberFormat="0" applyAlignment="0" applyProtection="0"/>
    <xf numFmtId="0" fontId="18" fillId="11" borderId="27" applyNumberFormat="0" applyAlignment="0" applyProtection="0"/>
    <xf numFmtId="0" fontId="15" fillId="11" borderId="26" applyNumberFormat="0" applyAlignment="0" applyProtection="0"/>
    <xf numFmtId="0" fontId="20" fillId="0" borderId="28" applyNumberFormat="0" applyFill="0" applyAlignment="0" applyProtection="0"/>
    <xf numFmtId="0" fontId="10" fillId="12" borderId="29" applyNumberFormat="0" applyAlignment="0" applyProtection="0"/>
    <xf numFmtId="0" fontId="14" fillId="0" borderId="0" applyNumberFormat="0" applyFill="0" applyBorder="0" applyAlignment="0" applyProtection="0"/>
    <xf numFmtId="0" fontId="3" fillId="13" borderId="3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31" applyNumberFormat="0" applyFill="0" applyAlignment="0" applyProtection="0"/>
    <xf numFmtId="0" fontId="1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73">
    <xf numFmtId="0" fontId="0" fillId="0" borderId="0" xfId="0">
      <alignment wrapText="1"/>
    </xf>
    <xf numFmtId="0" fontId="0" fillId="0" borderId="0" xfId="0" applyFont="1" applyAlignment="1"/>
    <xf numFmtId="0" fontId="23" fillId="0" borderId="0" xfId="0" applyFont="1" applyBorder="1" applyAlignment="1"/>
    <xf numFmtId="0" fontId="0" fillId="0" borderId="0" xfId="0" applyFont="1" applyBorder="1" applyAlignment="1"/>
    <xf numFmtId="0" fontId="24" fillId="0" borderId="0" xfId="0" applyFont="1" applyBorder="1" applyAlignment="1">
      <alignment wrapText="1"/>
    </xf>
    <xf numFmtId="0" fontId="25" fillId="4" borderId="6" xfId="0" applyFont="1" applyFill="1" applyBorder="1" applyAlignment="1">
      <alignment horizontal="center" wrapText="1"/>
    </xf>
    <xf numFmtId="0" fontId="25" fillId="4" borderId="8" xfId="0" applyNumberFormat="1" applyFont="1" applyFill="1" applyBorder="1" applyAlignment="1">
      <alignment horizontal="center" wrapText="1"/>
    </xf>
    <xf numFmtId="0" fontId="0" fillId="0" borderId="0" xfId="0" applyFont="1" applyBorder="1">
      <alignment wrapText="1"/>
    </xf>
    <xf numFmtId="0" fontId="24" fillId="0" borderId="3" xfId="0" applyFont="1" applyBorder="1" applyAlignment="1">
      <alignment wrapText="1"/>
    </xf>
    <xf numFmtId="0" fontId="0" fillId="0" borderId="0" xfId="0" applyFont="1">
      <alignment wrapText="1"/>
    </xf>
    <xf numFmtId="0" fontId="24" fillId="0" borderId="7" xfId="0" applyFont="1" applyBorder="1" applyAlignment="1">
      <alignment wrapText="1"/>
    </xf>
    <xf numFmtId="0" fontId="0" fillId="0" borderId="0" xfId="0" applyNumberFormat="1" applyFont="1" applyBorder="1">
      <alignment wrapText="1"/>
    </xf>
    <xf numFmtId="0" fontId="25" fillId="4" borderId="2" xfId="0" applyFont="1" applyFill="1" applyBorder="1" applyAlignment="1">
      <alignment wrapText="1"/>
    </xf>
    <xf numFmtId="0" fontId="22" fillId="4" borderId="2" xfId="0" applyNumberFormat="1" applyFont="1" applyFill="1" applyBorder="1">
      <alignment wrapText="1"/>
    </xf>
    <xf numFmtId="0" fontId="22" fillId="4" borderId="2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 applyProtection="1">
      <alignment wrapText="1"/>
    </xf>
    <xf numFmtId="0" fontId="24" fillId="6" borderId="12" xfId="0" applyFont="1" applyFill="1" applyBorder="1" applyProtection="1">
      <alignment wrapText="1"/>
    </xf>
    <xf numFmtId="0" fontId="24" fillId="0" borderId="4" xfId="0" applyNumberFormat="1" applyFont="1" applyBorder="1" applyAlignment="1">
      <alignment wrapText="1"/>
    </xf>
    <xf numFmtId="0" fontId="0" fillId="0" borderId="7" xfId="0" applyNumberFormat="1" applyFont="1" applyBorder="1">
      <alignment wrapText="1"/>
    </xf>
    <xf numFmtId="0" fontId="0" fillId="0" borderId="4" xfId="0" applyNumberFormat="1" applyFont="1" applyBorder="1">
      <alignment wrapText="1"/>
    </xf>
    <xf numFmtId="0" fontId="0" fillId="0" borderId="0" xfId="0" applyNumberFormat="1" applyFont="1">
      <alignment wrapText="1"/>
    </xf>
    <xf numFmtId="0" fontId="0" fillId="0" borderId="13" xfId="0" applyNumberFormat="1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24" fillId="6" borderId="12" xfId="0" applyFont="1" applyFill="1" applyBorder="1" applyAlignment="1">
      <alignment wrapText="1"/>
    </xf>
    <xf numFmtId="0" fontId="27" fillId="6" borderId="0" xfId="0" applyNumberFormat="1" applyFont="1" applyFill="1" applyBorder="1" applyAlignment="1">
      <alignment wrapText="1"/>
    </xf>
    <xf numFmtId="0" fontId="28" fillId="2" borderId="11" xfId="0" applyNumberFormat="1" applyFont="1" applyFill="1" applyBorder="1">
      <alignment wrapText="1"/>
    </xf>
    <xf numFmtId="0" fontId="25" fillId="4" borderId="11" xfId="0" applyNumberFormat="1" applyFont="1" applyFill="1" applyBorder="1" applyAlignment="1">
      <alignment horizontal="center" wrapText="1"/>
    </xf>
    <xf numFmtId="0" fontId="0" fillId="0" borderId="18" xfId="0" applyFont="1" applyBorder="1" applyAlignment="1">
      <alignment wrapText="1"/>
    </xf>
    <xf numFmtId="0" fontId="24" fillId="6" borderId="22" xfId="0" applyFont="1" applyFill="1" applyBorder="1" applyAlignment="1">
      <alignment wrapText="1"/>
    </xf>
    <xf numFmtId="0" fontId="24" fillId="6" borderId="8" xfId="0" applyFont="1" applyFill="1" applyBorder="1" applyAlignment="1">
      <alignment wrapText="1"/>
    </xf>
    <xf numFmtId="0" fontId="0" fillId="0" borderId="7" xfId="0" applyFont="1" applyBorder="1">
      <alignment wrapText="1"/>
    </xf>
    <xf numFmtId="0" fontId="25" fillId="4" borderId="2" xfId="0" applyFont="1" applyFill="1" applyBorder="1" applyAlignment="1"/>
    <xf numFmtId="0" fontId="22" fillId="4" borderId="2" xfId="0" applyFont="1" applyFill="1" applyBorder="1">
      <alignment wrapText="1"/>
    </xf>
    <xf numFmtId="0" fontId="22" fillId="4" borderId="2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5" borderId="9" xfId="0" applyNumberFormat="1" applyFont="1" applyFill="1" applyBorder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5" borderId="16" xfId="0" applyNumberFormat="1" applyFont="1" applyFill="1" applyBorder="1">
      <alignment wrapText="1"/>
    </xf>
    <xf numFmtId="5" fontId="23" fillId="0" borderId="0" xfId="1" applyNumberFormat="1" applyFont="1"/>
    <xf numFmtId="0" fontId="29" fillId="0" borderId="0" xfId="0" applyFont="1" applyFill="1" applyProtection="1">
      <alignment wrapText="1"/>
    </xf>
    <xf numFmtId="3" fontId="0" fillId="0" borderId="0" xfId="0" applyNumberFormat="1" applyFont="1">
      <alignment wrapText="1"/>
    </xf>
    <xf numFmtId="178" fontId="25" fillId="4" borderId="9" xfId="0" applyNumberFormat="1" applyFont="1" applyFill="1" applyBorder="1" applyAlignment="1">
      <alignment horizontal="center" wrapText="1"/>
    </xf>
    <xf numFmtId="178" fontId="0" fillId="0" borderId="1" xfId="0" applyNumberFormat="1" applyFont="1" applyBorder="1" applyAlignment="1" applyProtection="1">
      <alignment horizontal="right" wrapText="1"/>
      <protection locked="0"/>
    </xf>
    <xf numFmtId="179" fontId="0" fillId="0" borderId="12" xfId="0" applyNumberFormat="1" applyFont="1" applyBorder="1" applyProtection="1">
      <alignment wrapText="1"/>
      <protection locked="0"/>
    </xf>
    <xf numFmtId="179" fontId="0" fillId="3" borderId="10" xfId="0" applyNumberFormat="1" applyFont="1" applyFill="1" applyBorder="1">
      <alignment wrapText="1"/>
    </xf>
    <xf numFmtId="179" fontId="0" fillId="2" borderId="11" xfId="0" applyNumberFormat="1" applyFont="1" applyFill="1" applyBorder="1">
      <alignment wrapText="1"/>
    </xf>
    <xf numFmtId="179" fontId="0" fillId="2" borderId="10" xfId="0" applyNumberFormat="1" applyFont="1" applyFill="1" applyBorder="1">
      <alignment wrapText="1"/>
    </xf>
    <xf numFmtId="179" fontId="0" fillId="0" borderId="9" xfId="0" applyNumberFormat="1" applyFont="1" applyBorder="1" applyProtection="1">
      <alignment wrapText="1"/>
      <protection locked="0"/>
    </xf>
    <xf numFmtId="179" fontId="0" fillId="3" borderId="8" xfId="0" applyNumberFormat="1" applyFont="1" applyFill="1" applyBorder="1">
      <alignment wrapText="1"/>
    </xf>
    <xf numFmtId="179" fontId="0" fillId="0" borderId="1" xfId="0" applyNumberFormat="1" applyFont="1" applyBorder="1" applyProtection="1">
      <alignment wrapText="1"/>
      <protection locked="0"/>
    </xf>
    <xf numFmtId="179" fontId="26" fillId="2" borderId="10" xfId="0" applyNumberFormat="1" applyFont="1" applyFill="1" applyBorder="1">
      <alignment wrapText="1"/>
    </xf>
    <xf numFmtId="179" fontId="0" fillId="0" borderId="10" xfId="0" applyNumberFormat="1" applyFont="1" applyBorder="1" applyProtection="1">
      <alignment wrapText="1"/>
      <protection locked="0"/>
    </xf>
    <xf numFmtId="179" fontId="0" fillId="3" borderId="20" xfId="0" applyNumberFormat="1" applyFont="1" applyFill="1" applyBorder="1">
      <alignment wrapText="1"/>
    </xf>
    <xf numFmtId="179" fontId="0" fillId="3" borderId="11" xfId="0" applyNumberFormat="1" applyFont="1" applyFill="1" applyBorder="1">
      <alignment wrapText="1"/>
    </xf>
    <xf numFmtId="179" fontId="0" fillId="3" borderId="3" xfId="0" applyNumberFormat="1" applyFont="1" applyFill="1" applyBorder="1">
      <alignment wrapText="1"/>
    </xf>
    <xf numFmtId="179" fontId="0" fillId="2" borderId="17" xfId="0" applyNumberFormat="1" applyFont="1" applyFill="1" applyBorder="1">
      <alignment wrapText="1"/>
    </xf>
    <xf numFmtId="179" fontId="0" fillId="0" borderId="17" xfId="0" applyNumberFormat="1" applyFont="1" applyBorder="1">
      <alignment wrapText="1"/>
    </xf>
    <xf numFmtId="179" fontId="0" fillId="3" borderId="17" xfId="0" applyNumberFormat="1" applyFont="1" applyFill="1" applyBorder="1">
      <alignment wrapText="1"/>
    </xf>
    <xf numFmtId="179" fontId="26" fillId="2" borderId="11" xfId="0" applyNumberFormat="1" applyFont="1" applyFill="1" applyBorder="1">
      <alignment wrapText="1"/>
    </xf>
    <xf numFmtId="179" fontId="0" fillId="3" borderId="21" xfId="0" applyNumberFormat="1" applyFont="1" applyFill="1" applyBorder="1">
      <alignment wrapText="1"/>
    </xf>
    <xf numFmtId="179" fontId="0" fillId="0" borderId="11" xfId="0" applyNumberFormat="1" applyFont="1" applyBorder="1">
      <alignment wrapText="1"/>
    </xf>
    <xf numFmtId="179" fontId="0" fillId="2" borderId="19" xfId="0" applyNumberFormat="1" applyFont="1" applyFill="1" applyBorder="1">
      <alignment wrapText="1"/>
    </xf>
    <xf numFmtId="179" fontId="0" fillId="5" borderId="8" xfId="0" applyNumberFormat="1" applyFont="1" applyFill="1" applyBorder="1" applyProtection="1">
      <alignment wrapText="1"/>
    </xf>
    <xf numFmtId="179" fontId="0" fillId="0" borderId="16" xfId="0" applyNumberFormat="1" applyFont="1" applyBorder="1" applyProtection="1">
      <alignment wrapText="1"/>
      <protection locked="0"/>
    </xf>
    <xf numFmtId="179" fontId="22" fillId="0" borderId="0" xfId="0" applyNumberFormat="1" applyFont="1" applyAlignment="1"/>
    <xf numFmtId="0" fontId="16" fillId="0" borderId="0" xfId="0" applyFont="1" applyFill="1" applyProtection="1">
      <alignment wrapText="1"/>
    </xf>
    <xf numFmtId="0" fontId="21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Protection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1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2" builtinId="3" customBuiltin="1"/>
    <cellStyle name="千位分隔[0]" xfId="3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80" formatCode="mmm/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YaHei UI"/>
        <family val="2"/>
        <charset val="134"/>
        <scheme val="none"/>
      </font>
      <numFmt numFmtId="180" formatCode="mmm/yy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Microsoft YaHei UI"/>
        <family val="2"/>
        <charset val="134"/>
        <scheme val="none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lightUp">
          <fgColor indexed="64"/>
          <bgColor indexed="2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protection locked="0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YaHei UI"/>
        <family val="2"/>
        <charset val="134"/>
        <scheme val="none"/>
      </font>
      <numFmt numFmtId="180" formatCode="mmm/yy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protection locked="0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Microsoft YaHei UI"/>
        <family val="2"/>
        <charset val="134"/>
        <scheme val="none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numFmt numFmtId="179" formatCode="#,##0_ 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condense val="0"/>
        <extend val="0"/>
        <color indexed="10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现金" pivot="0" count="4" xr9:uid="{00000000-0011-0000-FFFF-FFFF00000000}">
      <tableStyleElement type="wholeTable" dxfId="145"/>
      <tableStyleElement type="headerRow" dxfId="144"/>
      <tableStyleElement type="totalRow" dxfId="143"/>
      <tableStyleElement type="firstTotalCell" dxfId="1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现金流预测
公司名称</a:t>
            </a:r>
          </a:p>
        </c:rich>
      </c:tx>
      <c:layout>
        <c:manualLayout>
          <c:xMode val="edge"/>
          <c:yMode val="edge"/>
          <c:x val="0.44071847726351282"/>
          <c:y val="2.02789080895089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58429702112478654"/>
        </c:manualLayout>
      </c:layout>
      <c:barChart>
        <c:barDir val="col"/>
        <c:grouping val="clustered"/>
        <c:varyColors val="0"/>
        <c:ser>
          <c:idx val="0"/>
          <c:order val="0"/>
          <c:tx>
            <c:v>现金流预测</c:v>
          </c:tx>
          <c:invertIfNegative val="0"/>
          <c:cat>
            <c:strRef>
              <c:f>现金流!$C$6:$O$6</c:f>
              <c:strCache>
                <c:ptCount val="13"/>
                <c:pt idx="0">
                  <c:v>期初</c:v>
                </c:pt>
                <c:pt idx="1">
                  <c:v>2018年1月</c:v>
                </c:pt>
                <c:pt idx="2">
                  <c:v>2018年2月</c:v>
                </c:pt>
                <c:pt idx="3">
                  <c:v>2018年3月</c:v>
                </c:pt>
                <c:pt idx="4">
                  <c:v>2018年4月</c:v>
                </c:pt>
                <c:pt idx="5">
                  <c:v>2018年5月</c:v>
                </c:pt>
                <c:pt idx="6">
                  <c:v>2018年6月</c:v>
                </c:pt>
                <c:pt idx="7">
                  <c:v>2018年7月</c:v>
                </c:pt>
                <c:pt idx="8">
                  <c:v>2018年8月</c:v>
                </c:pt>
                <c:pt idx="9">
                  <c:v>2018年9月</c:v>
                </c:pt>
                <c:pt idx="10">
                  <c:v>2018年10月</c:v>
                </c:pt>
                <c:pt idx="11">
                  <c:v>2018年11月</c:v>
                </c:pt>
                <c:pt idx="12">
                  <c:v>2018年12月</c:v>
                </c:pt>
              </c:strCache>
            </c:strRef>
          </c:cat>
          <c:val>
            <c:numRef>
              <c:f>现金流!$C$53:$O$53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库存现金最低限额警报</c:v>
          </c:tx>
          <c:cat>
            <c:strRef>
              <c:f>现金流!$C$6:$O$6</c:f>
              <c:strCache>
                <c:ptCount val="13"/>
                <c:pt idx="0">
                  <c:v>期初</c:v>
                </c:pt>
                <c:pt idx="1">
                  <c:v>2018年1月</c:v>
                </c:pt>
                <c:pt idx="2">
                  <c:v>2018年2月</c:v>
                </c:pt>
                <c:pt idx="3">
                  <c:v>2018年3月</c:v>
                </c:pt>
                <c:pt idx="4">
                  <c:v>2018年4月</c:v>
                </c:pt>
                <c:pt idx="5">
                  <c:v>2018年5月</c:v>
                </c:pt>
                <c:pt idx="6">
                  <c:v>2018年6月</c:v>
                </c:pt>
                <c:pt idx="7">
                  <c:v>2018年7月</c:v>
                </c:pt>
                <c:pt idx="8">
                  <c:v>2018年8月</c:v>
                </c:pt>
                <c:pt idx="9">
                  <c:v>2018年9月</c:v>
                </c:pt>
                <c:pt idx="10">
                  <c:v>2018年10月</c:v>
                </c:pt>
                <c:pt idx="11">
                  <c:v>2018年11月</c:v>
                </c:pt>
                <c:pt idx="12">
                  <c:v>2018年12月</c:v>
                </c:pt>
              </c:strCache>
            </c:strRef>
          </c:cat>
          <c:val>
            <c:numRef>
              <c:f>现金流!$C$4:$O$4</c:f>
              <c:numCache>
                <c:formatCode>#,##0_ 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期间</a:t>
                </a:r>
              </a:p>
            </c:rich>
          </c:tx>
          <c:layout>
            <c:manualLayout>
              <c:xMode val="edge"/>
              <c:yMode val="edge"/>
              <c:x val="0.38109798775153103"/>
              <c:y val="0.924843423799582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zh-CN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库存现金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8.977035490605429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133350</xdr:rowOff>
    </xdr:to>
    <xdr:graphicFrame macro="">
      <xdr:nvGraphicFramePr>
        <xdr:cNvPr id="4098" name="图表 2" descr="显示库存现金最低限额警报和现金流预测的组合图表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Receipts" displayName="CashReceipts" ref="B9:P16" totalsRowCount="1" headerRowDxfId="101" dataDxfId="99" totalsRowDxfId="100" headerRowBorderDxfId="141" tableBorderDxfId="140">
  <autoFilter ref="B9:P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现金回执" totalsRowLabel="现金回执合计" dataDxfId="131" totalsRowDxfId="130"/>
    <tableColumn id="2" xr3:uid="{00000000-0010-0000-0000-000002000000}" name=" " dataDxfId="129" totalsRowDxfId="128"/>
    <tableColumn id="3" xr3:uid="{00000000-0010-0000-0000-000003000000}" name="2018年1月" totalsRowFunction="custom" dataDxfId="127" totalsRowDxfId="126">
      <totalsRowFormula>SUM(D10,D12:D15,(D11*-1))</totalsRowFormula>
    </tableColumn>
    <tableColumn id="4" xr3:uid="{00000000-0010-0000-0000-000004000000}" name="2018年2月" totalsRowFunction="custom" dataDxfId="125" totalsRowDxfId="124">
      <totalsRowFormula>SUM(E10,E12:E15,(E11*-1))</totalsRowFormula>
    </tableColumn>
    <tableColumn id="5" xr3:uid="{00000000-0010-0000-0000-000005000000}" name="2018年3月" totalsRowFunction="custom" dataDxfId="123" totalsRowDxfId="122">
      <totalsRowFormula>SUM(F10,F12:F15,(F11*-1))</totalsRowFormula>
    </tableColumn>
    <tableColumn id="6" xr3:uid="{00000000-0010-0000-0000-000006000000}" name="2018年4月" totalsRowFunction="custom" dataDxfId="121" totalsRowDxfId="120">
      <totalsRowFormula>SUM(G10,G12:G15,(G11*-1))</totalsRowFormula>
    </tableColumn>
    <tableColumn id="7" xr3:uid="{00000000-0010-0000-0000-000007000000}" name="2018年5月" totalsRowFunction="custom" dataDxfId="119" totalsRowDxfId="118">
      <totalsRowFormula>SUM(H10,H12:H15,(H11*-1))</totalsRowFormula>
    </tableColumn>
    <tableColumn id="8" xr3:uid="{00000000-0010-0000-0000-000008000000}" name="2018年6月" totalsRowFunction="custom" dataDxfId="117" totalsRowDxfId="116">
      <totalsRowFormula>SUM(I10,I12:I15,(I11*-1))</totalsRowFormula>
    </tableColumn>
    <tableColumn id="9" xr3:uid="{00000000-0010-0000-0000-000009000000}" name="2018年7月" totalsRowFunction="custom" dataDxfId="115" totalsRowDxfId="114">
      <totalsRowFormula>SUM(J10,J12:J15,(J11*-1))</totalsRowFormula>
    </tableColumn>
    <tableColumn id="10" xr3:uid="{00000000-0010-0000-0000-00000A000000}" name="2018年8月" totalsRowFunction="custom" dataDxfId="113" totalsRowDxfId="112">
      <totalsRowFormula>SUM(K10,K12:K15,(K11*-1))</totalsRowFormula>
    </tableColumn>
    <tableColumn id="11" xr3:uid="{00000000-0010-0000-0000-00000B000000}" name="2018年9月" totalsRowFunction="custom" dataDxfId="111" totalsRowDxfId="110">
      <totalsRowFormula>SUM(L10,L12:L15,(L11*-1))</totalsRowFormula>
    </tableColumn>
    <tableColumn id="12" xr3:uid="{00000000-0010-0000-0000-00000C000000}" name="2018年10月" totalsRowFunction="custom" dataDxfId="109" totalsRowDxfId="108">
      <totalsRowFormula>SUM(M10,M12:M15,(M11*-1))</totalsRowFormula>
    </tableColumn>
    <tableColumn id="13" xr3:uid="{00000000-0010-0000-0000-00000D000000}" name="2018年11月" totalsRowFunction="custom" dataDxfId="107" totalsRowDxfId="106">
      <totalsRowFormula>SUM(N10,N12:N15,(N11*-1))</totalsRowFormula>
    </tableColumn>
    <tableColumn id="14" xr3:uid="{00000000-0010-0000-0000-00000E000000}" name="2018年12月" totalsRowFunction="custom" dataDxfId="105" totalsRowDxfId="104">
      <totalsRowFormula>SUM(O10,O12:O15,(O11*-1))</totalsRowFormula>
    </tableColumn>
    <tableColumn id="15" xr3:uid="{00000000-0010-0000-0000-00000F000000}" name="总计" totalsRowFunction="sum" dataDxfId="103" totalsRowDxfId="102">
      <calculatedColumnFormula>SUM(D10:O10)</calculatedColumnFormula>
    </tableColumn>
  </tableColumns>
  <tableStyleInfo name="现金" showFirstColumn="0" showLastColumn="0" showRowStripes="0" showColumnStripes="0"/>
  <extLst>
    <ext xmlns:x14="http://schemas.microsoft.com/office/spreadsheetml/2009/9/main" uri="{504A1905-F514-4f6f-8877-14C23A59335A}">
      <x14:table altTextSummary="在此表中输入或修改现金回执项目和在每个月的值。将自动计算现金回执总数和可用现金总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ashOnHand" displayName="CashOnHand" ref="C6:P7" totalsRowShown="0" headerRowDxfId="84" dataDxfId="83" headerRowBorderDxfId="139" tableBorderDxfId="138">
  <autoFilter ref="C6:P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期初" dataDxfId="98"/>
    <tableColumn id="2" xr3:uid="{00000000-0010-0000-0100-000002000000}" name="2018年1月" dataDxfId="97">
      <calculatedColumnFormula>C53</calculatedColumnFormula>
    </tableColumn>
    <tableColumn id="3" xr3:uid="{00000000-0010-0000-0100-000003000000}" name="2018年2月" dataDxfId="96">
      <calculatedColumnFormula>D53</calculatedColumnFormula>
    </tableColumn>
    <tableColumn id="4" xr3:uid="{00000000-0010-0000-0100-000004000000}" name="2018年3月" dataDxfId="95">
      <calculatedColumnFormula>E53</calculatedColumnFormula>
    </tableColumn>
    <tableColumn id="5" xr3:uid="{00000000-0010-0000-0100-000005000000}" name="2018年4月" dataDxfId="94">
      <calculatedColumnFormula>F53</calculatedColumnFormula>
    </tableColumn>
    <tableColumn id="6" xr3:uid="{00000000-0010-0000-0100-000006000000}" name="2018年5月" dataDxfId="93">
      <calculatedColumnFormula>G53</calculatedColumnFormula>
    </tableColumn>
    <tableColumn id="7" xr3:uid="{00000000-0010-0000-0100-000007000000}" name="2018年6月" dataDxfId="92">
      <calculatedColumnFormula>H53</calculatedColumnFormula>
    </tableColumn>
    <tableColumn id="8" xr3:uid="{00000000-0010-0000-0100-000008000000}" name="2018年7月" dataDxfId="91">
      <calculatedColumnFormula>I53</calculatedColumnFormula>
    </tableColumn>
    <tableColumn id="9" xr3:uid="{00000000-0010-0000-0100-000009000000}" name="2018年8月" dataDxfId="90">
      <calculatedColumnFormula>J53</calculatedColumnFormula>
    </tableColumn>
    <tableColumn id="10" xr3:uid="{00000000-0010-0000-0100-00000A000000}" name="2018年9月" dataDxfId="89">
      <calculatedColumnFormula>K53</calculatedColumnFormula>
    </tableColumn>
    <tableColumn id="11" xr3:uid="{00000000-0010-0000-0100-00000B000000}" name="2018年10月" dataDxfId="88">
      <calculatedColumnFormula>L53</calculatedColumnFormula>
    </tableColumn>
    <tableColumn id="12" xr3:uid="{00000000-0010-0000-0100-00000C000000}" name="2018年11月" dataDxfId="87">
      <calculatedColumnFormula>M53</calculatedColumnFormula>
    </tableColumn>
    <tableColumn id="13" xr3:uid="{00000000-0010-0000-0100-00000D000000}" name="2018年12月" dataDxfId="86">
      <calculatedColumnFormula>N53</calculatedColumnFormula>
    </tableColumn>
    <tableColumn id="14" xr3:uid="{00000000-0010-0000-0100-00000E000000}" name="总计" dataDxfId="85"/>
  </tableColumns>
  <tableStyleInfo name="现金" showFirstColumn="0" showLastColumn="0" showRowStripes="1" showColumnStripes="0"/>
  <extLst>
    <ext xmlns:x14="http://schemas.microsoft.com/office/spreadsheetml/2009/9/main" uri="{504A1905-F514-4f6f-8877-14C23A59335A}">
      <x14:table altTextSummary="在此表中输入月初库存现金。将自动计算每个月的库存现金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支出" displayName="支出" ref="B19:P45" totalsRowCount="1" headerRowDxfId="52" dataDxfId="50" totalsRowDxfId="51" headerRowBorderDxfId="137" tableBorderDxfId="136">
  <autoFilter ref="B19:P4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支付的现金" totalsRowLabel="小计" dataDxfId="82" totalsRowDxfId="81"/>
    <tableColumn id="2" xr3:uid="{00000000-0010-0000-0200-000002000000}" name=" " dataDxfId="80" totalsRowDxfId="79"/>
    <tableColumn id="3" xr3:uid="{00000000-0010-0000-0200-000003000000}" name="2018年1月" totalsRowFunction="sum" dataDxfId="78" totalsRowDxfId="77"/>
    <tableColumn id="4" xr3:uid="{00000000-0010-0000-0200-000004000000}" name="2018年2月" totalsRowFunction="sum" dataDxfId="76" totalsRowDxfId="75"/>
    <tableColumn id="5" xr3:uid="{00000000-0010-0000-0200-000005000000}" name="2018年3月" totalsRowFunction="sum" dataDxfId="74" totalsRowDxfId="73"/>
    <tableColumn id="6" xr3:uid="{00000000-0010-0000-0200-000006000000}" name="2018年4月" totalsRowFunction="sum" dataDxfId="72" totalsRowDxfId="71"/>
    <tableColumn id="7" xr3:uid="{00000000-0010-0000-0200-000007000000}" name="2018年5月" totalsRowFunction="sum" dataDxfId="70" totalsRowDxfId="69"/>
    <tableColumn id="8" xr3:uid="{00000000-0010-0000-0200-000008000000}" name="2018年6月" totalsRowFunction="sum" dataDxfId="68" totalsRowDxfId="67"/>
    <tableColumn id="9" xr3:uid="{00000000-0010-0000-0200-000009000000}" name="2018年7月" totalsRowFunction="sum" dataDxfId="66" totalsRowDxfId="65"/>
    <tableColumn id="10" xr3:uid="{00000000-0010-0000-0200-00000A000000}" name="2018年8月" totalsRowFunction="sum" dataDxfId="64" totalsRowDxfId="63"/>
    <tableColumn id="11" xr3:uid="{00000000-0010-0000-0200-00000B000000}" name="2018年9月" totalsRowFunction="sum" dataDxfId="62" totalsRowDxfId="61"/>
    <tableColumn id="12" xr3:uid="{00000000-0010-0000-0200-00000C000000}" name="2018年10月" totalsRowFunction="sum" dataDxfId="60" totalsRowDxfId="59"/>
    <tableColumn id="13" xr3:uid="{00000000-0010-0000-0200-00000D000000}" name="2018年11月" totalsRowFunction="sum" dataDxfId="58" totalsRowDxfId="57"/>
    <tableColumn id="14" xr3:uid="{00000000-0010-0000-0200-00000E000000}" name="2018年12月" totalsRowFunction="sum" dataDxfId="56" totalsRowDxfId="55"/>
    <tableColumn id="15" xr3:uid="{00000000-0010-0000-0200-00000F000000}" name="总计" totalsRowFunction="sum" dataDxfId="54" totalsRowDxfId="53">
      <calculatedColumnFormula>SUM(D20:O20)</calculatedColumnFormula>
    </tableColumn>
  </tableColumns>
  <tableStyleInfo name="现金" showFirstColumn="1" showLastColumn="0" showRowStripes="0" showColumnStripes="0"/>
  <extLst>
    <ext xmlns:x14="http://schemas.microsoft.com/office/spreadsheetml/2009/9/main" uri="{504A1905-F514-4f6f-8877-14C23A59335A}">
      <x14:table altTextSummary="在此表中输入或修改“支付的现金”的项目和每个月的值。将在表格末尾自动计算小计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OtherOperationalData" displayName="OtherOperationalData" ref="B55:P61" totalsRowShown="0" headerRowDxfId="34" dataDxfId="33" headerRowBorderDxfId="135" tableBorderDxfId="134">
  <autoFilter ref="B55:P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其他营业数据" dataDxfId="49"/>
    <tableColumn id="2" xr3:uid="{00000000-0010-0000-0300-000002000000}" name=" " dataDxfId="48"/>
    <tableColumn id="3" xr3:uid="{00000000-0010-0000-0300-000003000000}" name="2018年1月" dataDxfId="47"/>
    <tableColumn id="4" xr3:uid="{00000000-0010-0000-0300-000004000000}" name="2018年2月" dataDxfId="46"/>
    <tableColumn id="5" xr3:uid="{00000000-0010-0000-0300-000005000000}" name="2018年3月" dataDxfId="45"/>
    <tableColumn id="6" xr3:uid="{00000000-0010-0000-0300-000006000000}" name="2018年4月" dataDxfId="44"/>
    <tableColumn id="7" xr3:uid="{00000000-0010-0000-0300-000007000000}" name="2018年5月" dataDxfId="43"/>
    <tableColumn id="8" xr3:uid="{00000000-0010-0000-0300-000008000000}" name="2018年6月" dataDxfId="42"/>
    <tableColumn id="9" xr3:uid="{00000000-0010-0000-0300-000009000000}" name="2018年7月" dataDxfId="41"/>
    <tableColumn id="10" xr3:uid="{00000000-0010-0000-0300-00000A000000}" name="2018年8月" dataDxfId="40"/>
    <tableColumn id="11" xr3:uid="{00000000-0010-0000-0300-00000B000000}" name="2018年9月" dataDxfId="39"/>
    <tableColumn id="12" xr3:uid="{00000000-0010-0000-0300-00000C000000}" name="2018年10月" dataDxfId="38"/>
    <tableColumn id="13" xr3:uid="{00000000-0010-0000-0300-00000D000000}" name="2018年11月" dataDxfId="37"/>
    <tableColumn id="14" xr3:uid="{00000000-0010-0000-0300-00000E000000}" name="2018年12月" dataDxfId="36"/>
    <tableColumn id="15" xr3:uid="{00000000-0010-0000-0300-00000F000000}" name="总计" dataDxfId="35">
      <calculatedColumnFormula>SUM(OtherOperationalData[[#This Row],[2018年1月]:[2018年12月]])</calculatedColumnFormula>
    </tableColumn>
  </tableColumns>
  <tableStyleInfo name="现金" showFirstColumn="1" showLastColumn="0" showRowStripes="0" showColumnStripes="0"/>
  <extLst>
    <ext xmlns:x14="http://schemas.microsoft.com/office/spreadsheetml/2009/9/main" uri="{504A1905-F514-4f6f-8877-14C23A59335A}">
      <x14:table altTextSummary="在此表中输入或修改“其他运营数据”项目和每个月的值。将自动计算总数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CashPaidOut" displayName="CashPaidOut" ref="B46:P52" totalsRowCount="1" headerRowDxfId="2" dataDxfId="0" totalsRowDxfId="1" tableBorderDxfId="133">
  <autoFilter ref="B46:P5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支付的现金" totalsRowLabel="支付的现金总计" dataDxfId="32" totalsRowDxfId="31"/>
    <tableColumn id="2" xr3:uid="{00000000-0010-0000-0400-000002000000}" name=" " dataDxfId="30" totalsRowDxfId="29"/>
    <tableColumn id="3" xr3:uid="{00000000-0010-0000-0400-000003000000}" name="2018年1月" totalsRowFunction="custom" dataDxfId="28" totalsRowDxfId="27">
      <totalsRowFormula>支出[[#Totals],[2018年1月]]+SUBTOTAL(109,CashPaidOut[2018年1月])</totalsRowFormula>
    </tableColumn>
    <tableColumn id="4" xr3:uid="{00000000-0010-0000-0400-000004000000}" name="2018年2月" totalsRowFunction="custom" dataDxfId="26" totalsRowDxfId="25">
      <totalsRowFormula>支出[[#Totals],[2018年2月]]+SUBTOTAL(109,CashPaidOut[2018年2月])</totalsRowFormula>
    </tableColumn>
    <tableColumn id="5" xr3:uid="{00000000-0010-0000-0400-000005000000}" name="2018年3月" totalsRowFunction="custom" dataDxfId="24" totalsRowDxfId="23">
      <totalsRowFormula>支出[[#Totals],[2018年3月]]+SUBTOTAL(109,CashPaidOut[2018年3月])</totalsRowFormula>
    </tableColumn>
    <tableColumn id="6" xr3:uid="{00000000-0010-0000-0400-000006000000}" name="2018年4月" totalsRowFunction="custom" dataDxfId="22" totalsRowDxfId="21">
      <totalsRowFormula>支出[[#Totals],[2018年4月]]+SUBTOTAL(109,CashPaidOut[2018年4月])</totalsRowFormula>
    </tableColumn>
    <tableColumn id="7" xr3:uid="{00000000-0010-0000-0400-000007000000}" name="2018年5月" totalsRowFunction="custom" dataDxfId="20" totalsRowDxfId="19">
      <totalsRowFormula>支出[[#Totals],[2018年5月]]+SUBTOTAL(109,CashPaidOut[2018年5月])</totalsRowFormula>
    </tableColumn>
    <tableColumn id="8" xr3:uid="{00000000-0010-0000-0400-000008000000}" name="2018年6月" totalsRowFunction="custom" dataDxfId="18" totalsRowDxfId="17">
      <totalsRowFormula>支出[[#Totals],[2018年6月]]+SUBTOTAL(109,CashPaidOut[2018年6月])</totalsRowFormula>
    </tableColumn>
    <tableColumn id="9" xr3:uid="{00000000-0010-0000-0400-000009000000}" name="2018年7月" totalsRowFunction="custom" dataDxfId="16" totalsRowDxfId="15">
      <totalsRowFormula>支出[[#Totals],[2018年7月]]+SUBTOTAL(109,CashPaidOut[2018年7月])</totalsRowFormula>
    </tableColumn>
    <tableColumn id="10" xr3:uid="{00000000-0010-0000-0400-00000A000000}" name="2018年8月" totalsRowFunction="custom" dataDxfId="14" totalsRowDxfId="13">
      <totalsRowFormula>支出[[#Totals],[2018年8月]]+SUBTOTAL(109,CashPaidOut[2018年8月])</totalsRowFormula>
    </tableColumn>
    <tableColumn id="11" xr3:uid="{00000000-0010-0000-0400-00000B000000}" name="2018年9月" totalsRowFunction="custom" dataDxfId="12" totalsRowDxfId="11">
      <totalsRowFormula>支出[[#Totals],[2018年9月]]+SUBTOTAL(109,CashPaidOut[2018年9月])</totalsRowFormula>
    </tableColumn>
    <tableColumn id="12" xr3:uid="{00000000-0010-0000-0400-00000C000000}" name="2018年10月" totalsRowFunction="custom" dataDxfId="10" totalsRowDxfId="9">
      <totalsRowFormula>支出[[#Totals],[2018年10月]]+SUBTOTAL(109,CashPaidOut[2018年10月])</totalsRowFormula>
    </tableColumn>
    <tableColumn id="13" xr3:uid="{00000000-0010-0000-0400-00000D000000}" name="2018年11月" totalsRowFunction="custom" dataDxfId="8" totalsRowDxfId="7">
      <totalsRowFormula>支出[[#Totals],[2018年11月]]+SUBTOTAL(109,CashPaidOut[2018年11月])</totalsRowFormula>
    </tableColumn>
    <tableColumn id="14" xr3:uid="{00000000-0010-0000-0400-00000E000000}" name="2018年12月" totalsRowFunction="custom" dataDxfId="6" totalsRowDxfId="5">
      <totalsRowFormula>支出[[#Totals],[2018年12月]]+SUBTOTAL(109,CashPaidOut[2018年12月])</totalsRowFormula>
    </tableColumn>
    <tableColumn id="15" xr3:uid="{00000000-0010-0000-0400-00000F000000}" name="总计" totalsRowFunction="custom" dataDxfId="4" totalsRowDxfId="3">
      <calculatedColumnFormula>SUM(D47:O47)</calculatedColumnFormula>
      <totalsRowFormula>SUM(D52:O52)</totalsRowFormula>
    </tableColumn>
  </tableColumns>
  <tableStyleInfo name="现金" showFirstColumn="1" showLastColumn="0" showRowStripes="0" showColumnStripes="0"/>
  <extLst>
    <ext xmlns:x14="http://schemas.microsoft.com/office/spreadsheetml/2009/9/main" uri="{504A1905-F514-4f6f-8877-14C23A59335A}">
      <x14:table altTextSummary="在此表中输入或修改“已付现金”的项目和每个月的值。将在表格末尾自动计算月底的“支付的现金”和“库存现金”总数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Q61"/>
  <sheetViews>
    <sheetView showGridLines="0" tabSelected="1" zoomScaleNormal="100" workbookViewId="0"/>
  </sheetViews>
  <sheetFormatPr defaultColWidth="9.33203125" defaultRowHeight="13.5" x14ac:dyDescent="0.3"/>
  <cols>
    <col min="1" max="1" width="2.83203125" style="9" customWidth="1"/>
    <col min="2" max="2" width="31.1640625" style="72" customWidth="1"/>
    <col min="3" max="3" width="14.5" style="9" customWidth="1"/>
    <col min="4" max="10" width="11.83203125" style="9" customWidth="1"/>
    <col min="11" max="16" width="12.83203125" style="9" customWidth="1"/>
    <col min="17" max="17" width="2.83203125" style="9" customWidth="1"/>
    <col min="18" max="16384" width="9.33203125" style="9"/>
  </cols>
  <sheetData>
    <row r="1" spans="2:17" s="1" customFormat="1" ht="22.5" customHeight="1" x14ac:dyDescent="0.4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7" s="1" customFormat="1" ht="21" x14ac:dyDescent="0.4"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2:17" s="1" customFormat="1" ht="16.5" x14ac:dyDescent="0.35">
      <c r="B3" s="68" t="s">
        <v>2</v>
      </c>
      <c r="C3" s="45">
        <f ca="1">TODAY()</f>
        <v>43580</v>
      </c>
    </row>
    <row r="4" spans="2:17" s="1" customFormat="1" ht="16.5" x14ac:dyDescent="0.35">
      <c r="B4" s="68" t="s">
        <v>3</v>
      </c>
      <c r="C4" s="50"/>
      <c r="D4" s="67">
        <f t="shared" ref="D4" si="0">Cash_minimum</f>
        <v>0</v>
      </c>
      <c r="E4" s="67">
        <f t="shared" ref="E4:O4" si="1">Cash_minimum</f>
        <v>0</v>
      </c>
      <c r="F4" s="67">
        <f t="shared" si="1"/>
        <v>0</v>
      </c>
      <c r="G4" s="67">
        <f t="shared" si="1"/>
        <v>0</v>
      </c>
      <c r="H4" s="67">
        <f t="shared" si="1"/>
        <v>0</v>
      </c>
      <c r="I4" s="67">
        <f t="shared" si="1"/>
        <v>0</v>
      </c>
      <c r="J4" s="67">
        <f t="shared" si="1"/>
        <v>0</v>
      </c>
      <c r="K4" s="67">
        <f t="shared" si="1"/>
        <v>0</v>
      </c>
      <c r="L4" s="67">
        <f t="shared" si="1"/>
        <v>0</v>
      </c>
      <c r="M4" s="67">
        <f t="shared" si="1"/>
        <v>0</v>
      </c>
      <c r="N4" s="67">
        <f t="shared" si="1"/>
        <v>0</v>
      </c>
      <c r="O4" s="67">
        <f t="shared" si="1"/>
        <v>0</v>
      </c>
    </row>
    <row r="5" spans="2:17" s="1" customFormat="1" ht="16.5" x14ac:dyDescent="0.35">
      <c r="B5" s="68"/>
      <c r="H5" s="2"/>
      <c r="J5" s="3"/>
      <c r="K5" s="3"/>
      <c r="L5" s="3"/>
    </row>
    <row r="6" spans="2:17" s="7" customFormat="1" x14ac:dyDescent="0.3">
      <c r="B6" s="4"/>
      <c r="C6" s="5" t="s">
        <v>53</v>
      </c>
      <c r="D6" s="44" t="s">
        <v>57</v>
      </c>
      <c r="E6" s="44" t="s">
        <v>58</v>
      </c>
      <c r="F6" s="44" t="s">
        <v>59</v>
      </c>
      <c r="G6" s="44" t="s">
        <v>60</v>
      </c>
      <c r="H6" s="44" t="s">
        <v>61</v>
      </c>
      <c r="I6" s="44" t="s">
        <v>62</v>
      </c>
      <c r="J6" s="44" t="s">
        <v>63</v>
      </c>
      <c r="K6" s="44" t="s">
        <v>64</v>
      </c>
      <c r="L6" s="44" t="s">
        <v>65</v>
      </c>
      <c r="M6" s="44" t="s">
        <v>66</v>
      </c>
      <c r="N6" s="44" t="s">
        <v>67</v>
      </c>
      <c r="O6" s="44" t="s">
        <v>68</v>
      </c>
      <c r="P6" s="6" t="s">
        <v>55</v>
      </c>
    </row>
    <row r="7" spans="2:17" x14ac:dyDescent="0.3">
      <c r="B7" s="8" t="s">
        <v>4</v>
      </c>
      <c r="C7" s="46"/>
      <c r="D7" s="47">
        <f t="shared" ref="D7:O7" si="2">C53</f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7">
        <f t="shared" si="2"/>
        <v>0</v>
      </c>
      <c r="P7" s="48"/>
    </row>
    <row r="8" spans="2:17" x14ac:dyDescent="0.3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7"/>
    </row>
    <row r="9" spans="2:17" x14ac:dyDescent="0.3">
      <c r="B9" s="12" t="s">
        <v>5</v>
      </c>
      <c r="C9" s="13" t="s">
        <v>54</v>
      </c>
      <c r="D9" s="44" t="s">
        <v>57</v>
      </c>
      <c r="E9" s="44" t="s">
        <v>58</v>
      </c>
      <c r="F9" s="44" t="s">
        <v>59</v>
      </c>
      <c r="G9" s="44" t="s">
        <v>60</v>
      </c>
      <c r="H9" s="44" t="s">
        <v>61</v>
      </c>
      <c r="I9" s="44" t="s">
        <v>62</v>
      </c>
      <c r="J9" s="44" t="s">
        <v>63</v>
      </c>
      <c r="K9" s="44" t="s">
        <v>64</v>
      </c>
      <c r="L9" s="44" t="s">
        <v>65</v>
      </c>
      <c r="M9" s="44" t="s">
        <v>66</v>
      </c>
      <c r="N9" s="44" t="s">
        <v>67</v>
      </c>
      <c r="O9" s="44" t="s">
        <v>68</v>
      </c>
      <c r="P9" s="14" t="s">
        <v>55</v>
      </c>
    </row>
    <row r="10" spans="2:17" x14ac:dyDescent="0.3">
      <c r="B10" s="15" t="s">
        <v>6</v>
      </c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>
        <f t="shared" ref="P10:P15" si="3">SUM(D10:O10)</f>
        <v>0</v>
      </c>
    </row>
    <row r="11" spans="2:17" x14ac:dyDescent="0.3">
      <c r="B11" s="15" t="s">
        <v>7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>
        <f t="shared" si="3"/>
        <v>0</v>
      </c>
    </row>
    <row r="12" spans="2:17" x14ac:dyDescent="0.3">
      <c r="B12" s="15" t="s">
        <v>8</v>
      </c>
      <c r="C12" s="49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1">
        <f t="shared" si="3"/>
        <v>0</v>
      </c>
    </row>
    <row r="13" spans="2:17" x14ac:dyDescent="0.3">
      <c r="B13" s="15" t="s">
        <v>9</v>
      </c>
      <c r="C13" s="49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1">
        <f t="shared" si="3"/>
        <v>0</v>
      </c>
    </row>
    <row r="14" spans="2:17" x14ac:dyDescent="0.3">
      <c r="B14" s="15" t="s">
        <v>10</v>
      </c>
      <c r="C14" s="49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1">
        <f t="shared" si="3"/>
        <v>0</v>
      </c>
    </row>
    <row r="15" spans="2:17" x14ac:dyDescent="0.3">
      <c r="B15" s="15" t="s">
        <v>11</v>
      </c>
      <c r="C15" s="49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1">
        <f t="shared" si="3"/>
        <v>0</v>
      </c>
    </row>
    <row r="16" spans="2:17" x14ac:dyDescent="0.3">
      <c r="B16" s="16" t="s">
        <v>12</v>
      </c>
      <c r="C16" s="53"/>
      <c r="D16" s="54">
        <f>SUM(D10,D12:D15,(D11*-1))</f>
        <v>0</v>
      </c>
      <c r="E16" s="54">
        <f>SUM(E10,E12:E15,(E11*-1))</f>
        <v>0</v>
      </c>
      <c r="F16" s="55">
        <f>SUM(F10,F12:F15,(F11*-1))</f>
        <v>0</v>
      </c>
      <c r="G16" s="55">
        <f>SUM(G10,G12:G15,(G11*-1))</f>
        <v>0</v>
      </c>
      <c r="H16" s="55">
        <f>SUM(H10,H12:H15,(H11*-1))</f>
        <v>0</v>
      </c>
      <c r="I16" s="55">
        <f>SUM(I10,I12:I15,(I11*-1))</f>
        <v>0</v>
      </c>
      <c r="J16" s="55">
        <f>SUM(J10,J12:J15,(J11*-1))</f>
        <v>0</v>
      </c>
      <c r="K16" s="55">
        <f>SUM(K10,K12:K15,(K11*-1))</f>
        <v>0</v>
      </c>
      <c r="L16" s="55">
        <f>SUM(L10,L12:L15,(L11*-1))</f>
        <v>0</v>
      </c>
      <c r="M16" s="55">
        <f>SUM(M10,M12:M15,(M11*-1))</f>
        <v>0</v>
      </c>
      <c r="N16" s="55">
        <f>SUM(N10,N12:N15,(N11*-1))</f>
        <v>0</v>
      </c>
      <c r="O16" s="55">
        <f>SUM(O10,O12:O15,(O11*-1))</f>
        <v>0</v>
      </c>
      <c r="P16" s="56">
        <f>SUBTOTAL(109,CashReceipts[总计])</f>
        <v>0</v>
      </c>
    </row>
    <row r="17" spans="2:16" s="7" customFormat="1" x14ac:dyDescent="0.3">
      <c r="B17" s="8" t="s">
        <v>13</v>
      </c>
      <c r="C17" s="57">
        <f>(C7+CashReceipts[[#Totals],[ ]])</f>
        <v>0</v>
      </c>
      <c r="D17" s="57">
        <f>(D7+CashReceipts[[#Totals],[2018年1月]])</f>
        <v>0</v>
      </c>
      <c r="E17" s="57">
        <f>(E7+CashReceipts[[#Totals],[2018年2月]])</f>
        <v>0</v>
      </c>
      <c r="F17" s="57">
        <f>(F7+CashReceipts[[#Totals],[2018年3月]])</f>
        <v>0</v>
      </c>
      <c r="G17" s="57">
        <f>(G7+CashReceipts[[#Totals],[2018年4月]])</f>
        <v>0</v>
      </c>
      <c r="H17" s="57">
        <f>(H7+CashReceipts[[#Totals],[2018年5月]])</f>
        <v>0</v>
      </c>
      <c r="I17" s="57">
        <f>(I7+CashReceipts[[#Totals],[2018年6月]])</f>
        <v>0</v>
      </c>
      <c r="J17" s="57">
        <f>(J7+CashReceipts[[#Totals],[2018年7月]])</f>
        <v>0</v>
      </c>
      <c r="K17" s="57">
        <f>(K7+CashReceipts[[#Totals],[2018年8月]])</f>
        <v>0</v>
      </c>
      <c r="L17" s="57">
        <f>(L7+CashReceipts[[#Totals],[2018年9月]])</f>
        <v>0</v>
      </c>
      <c r="M17" s="57">
        <f>(M7+CashReceipts[[#Totals],[2018年10月]])</f>
        <v>0</v>
      </c>
      <c r="N17" s="57">
        <f>(N7+CashReceipts[[#Totals],[2018年11月]])</f>
        <v>0</v>
      </c>
      <c r="O17" s="57">
        <f>(O7+CashReceipts[[#Totals],[2018年12月]])</f>
        <v>0</v>
      </c>
      <c r="P17" s="49"/>
    </row>
    <row r="18" spans="2:16" s="20" customForma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</row>
    <row r="19" spans="2:16" x14ac:dyDescent="0.3">
      <c r="B19" s="12" t="s">
        <v>14</v>
      </c>
      <c r="C19" s="13" t="s">
        <v>54</v>
      </c>
      <c r="D19" s="44" t="s">
        <v>57</v>
      </c>
      <c r="E19" s="44" t="s">
        <v>58</v>
      </c>
      <c r="F19" s="44" t="s">
        <v>59</v>
      </c>
      <c r="G19" s="44" t="s">
        <v>60</v>
      </c>
      <c r="H19" s="44" t="s">
        <v>61</v>
      </c>
      <c r="I19" s="44" t="s">
        <v>62</v>
      </c>
      <c r="J19" s="44" t="s">
        <v>63</v>
      </c>
      <c r="K19" s="44" t="s">
        <v>64</v>
      </c>
      <c r="L19" s="44" t="s">
        <v>65</v>
      </c>
      <c r="M19" s="44" t="s">
        <v>66</v>
      </c>
      <c r="N19" s="44" t="s">
        <v>67</v>
      </c>
      <c r="O19" s="44" t="s">
        <v>68</v>
      </c>
      <c r="P19" s="14" t="s">
        <v>55</v>
      </c>
    </row>
    <row r="20" spans="2:16" x14ac:dyDescent="0.3">
      <c r="B20" s="21" t="s">
        <v>15</v>
      </c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>
        <f t="shared" ref="P20:P44" si="4">SUM(D20:O20)</f>
        <v>0</v>
      </c>
    </row>
    <row r="21" spans="2:16" x14ac:dyDescent="0.3">
      <c r="B21" s="21" t="s">
        <v>16</v>
      </c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>
        <f t="shared" si="4"/>
        <v>0</v>
      </c>
    </row>
    <row r="22" spans="2:16" x14ac:dyDescent="0.3">
      <c r="B22" s="21" t="s">
        <v>17</v>
      </c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>
        <f t="shared" si="4"/>
        <v>0</v>
      </c>
    </row>
    <row r="23" spans="2:16" x14ac:dyDescent="0.3">
      <c r="B23" s="21" t="s">
        <v>18</v>
      </c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>
        <f t="shared" si="4"/>
        <v>0</v>
      </c>
    </row>
    <row r="24" spans="2:16" x14ac:dyDescent="0.3">
      <c r="B24" s="21" t="s">
        <v>19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>
        <f t="shared" si="4"/>
        <v>0</v>
      </c>
    </row>
    <row r="25" spans="2:16" x14ac:dyDescent="0.3">
      <c r="B25" s="22" t="s">
        <v>20</v>
      </c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>
        <f t="shared" si="4"/>
        <v>0</v>
      </c>
    </row>
    <row r="26" spans="2:16" x14ac:dyDescent="0.3">
      <c r="B26" s="21" t="s">
        <v>21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>
        <f t="shared" si="4"/>
        <v>0</v>
      </c>
    </row>
    <row r="27" spans="2:16" x14ac:dyDescent="0.3">
      <c r="B27" s="21" t="s">
        <v>22</v>
      </c>
      <c r="C27" s="49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1">
        <f t="shared" si="4"/>
        <v>0</v>
      </c>
    </row>
    <row r="28" spans="2:16" x14ac:dyDescent="0.3">
      <c r="B28" s="21" t="s">
        <v>23</v>
      </c>
      <c r="C28" s="49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1">
        <f t="shared" si="4"/>
        <v>0</v>
      </c>
    </row>
    <row r="29" spans="2:16" x14ac:dyDescent="0.3">
      <c r="B29" s="21" t="s">
        <v>24</v>
      </c>
      <c r="C29" s="49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1">
        <f t="shared" si="4"/>
        <v>0</v>
      </c>
    </row>
    <row r="30" spans="2:16" x14ac:dyDescent="0.3">
      <c r="B30" s="21" t="s">
        <v>25</v>
      </c>
      <c r="C30" s="49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1">
        <f t="shared" si="4"/>
        <v>0</v>
      </c>
    </row>
    <row r="31" spans="2:16" x14ac:dyDescent="0.3">
      <c r="B31" s="21" t="s">
        <v>26</v>
      </c>
      <c r="C31" s="49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1">
        <f t="shared" si="4"/>
        <v>0</v>
      </c>
    </row>
    <row r="32" spans="2:16" x14ac:dyDescent="0.3">
      <c r="B32" s="21" t="s">
        <v>27</v>
      </c>
      <c r="C32" s="49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1">
        <f t="shared" si="4"/>
        <v>0</v>
      </c>
    </row>
    <row r="33" spans="2:16" x14ac:dyDescent="0.3">
      <c r="B33" s="21" t="s">
        <v>28</v>
      </c>
      <c r="C33" s="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1">
        <f t="shared" si="4"/>
        <v>0</v>
      </c>
    </row>
    <row r="34" spans="2:16" x14ac:dyDescent="0.3">
      <c r="B34" s="21" t="s">
        <v>29</v>
      </c>
      <c r="C34" s="49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1">
        <f t="shared" si="4"/>
        <v>0</v>
      </c>
    </row>
    <row r="35" spans="2:16" x14ac:dyDescent="0.3">
      <c r="B35" s="21" t="s">
        <v>30</v>
      </c>
      <c r="C35" s="49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1">
        <f t="shared" si="4"/>
        <v>0</v>
      </c>
    </row>
    <row r="36" spans="2:16" x14ac:dyDescent="0.3">
      <c r="B36" s="21" t="s">
        <v>31</v>
      </c>
      <c r="C36" s="49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1">
        <f t="shared" si="4"/>
        <v>0</v>
      </c>
    </row>
    <row r="37" spans="2:16" x14ac:dyDescent="0.3">
      <c r="B37" s="21" t="s">
        <v>32</v>
      </c>
      <c r="C37" s="49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1">
        <f t="shared" si="4"/>
        <v>0</v>
      </c>
    </row>
    <row r="38" spans="2:16" x14ac:dyDescent="0.3">
      <c r="B38" s="21" t="s">
        <v>33</v>
      </c>
      <c r="C38" s="49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1">
        <f t="shared" si="4"/>
        <v>0</v>
      </c>
    </row>
    <row r="39" spans="2:16" x14ac:dyDescent="0.3">
      <c r="B39" s="21" t="s">
        <v>34</v>
      </c>
      <c r="C39" s="49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1">
        <f t="shared" si="4"/>
        <v>0</v>
      </c>
    </row>
    <row r="40" spans="2:16" x14ac:dyDescent="0.3">
      <c r="B40" s="23" t="s">
        <v>35</v>
      </c>
      <c r="C40" s="49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1">
        <f t="shared" si="4"/>
        <v>0</v>
      </c>
    </row>
    <row r="41" spans="2:16" x14ac:dyDescent="0.3">
      <c r="B41" s="24" t="s">
        <v>36</v>
      </c>
      <c r="C41" s="49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1">
        <f t="shared" si="4"/>
        <v>0</v>
      </c>
    </row>
    <row r="42" spans="2:16" x14ac:dyDescent="0.3">
      <c r="B42" s="24" t="s">
        <v>36</v>
      </c>
      <c r="C42" s="49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1">
        <f t="shared" si="4"/>
        <v>0</v>
      </c>
    </row>
    <row r="43" spans="2:16" x14ac:dyDescent="0.3">
      <c r="B43" s="24" t="s">
        <v>36</v>
      </c>
      <c r="C43" s="49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1">
        <f t="shared" si="4"/>
        <v>0</v>
      </c>
    </row>
    <row r="44" spans="2:16" x14ac:dyDescent="0.3">
      <c r="B44" s="24" t="s">
        <v>37</v>
      </c>
      <c r="C44" s="49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1">
        <f t="shared" si="4"/>
        <v>0</v>
      </c>
    </row>
    <row r="45" spans="2:16" x14ac:dyDescent="0.3">
      <c r="B45" s="25" t="s">
        <v>38</v>
      </c>
      <c r="C45" s="49"/>
      <c r="D45" s="54">
        <f>SUBTOTAL(109,支出[2018年1月])</f>
        <v>0</v>
      </c>
      <c r="E45" s="54">
        <f>SUBTOTAL(109,支出[2018年2月])</f>
        <v>0</v>
      </c>
      <c r="F45" s="54">
        <f>SUBTOTAL(109,支出[2018年3月])</f>
        <v>0</v>
      </c>
      <c r="G45" s="54">
        <f>SUBTOTAL(109,支出[2018年4月])</f>
        <v>0</v>
      </c>
      <c r="H45" s="54">
        <f>SUBTOTAL(109,支出[2018年5月])</f>
        <v>0</v>
      </c>
      <c r="I45" s="54">
        <f>SUBTOTAL(109,支出[2018年6月])</f>
        <v>0</v>
      </c>
      <c r="J45" s="54">
        <f>SUBTOTAL(109,支出[2018年7月])</f>
        <v>0</v>
      </c>
      <c r="K45" s="54">
        <f>SUBTOTAL(109,支出[2018年8月])</f>
        <v>0</v>
      </c>
      <c r="L45" s="54">
        <f>SUBTOTAL(109,支出[2018年9月])</f>
        <v>0</v>
      </c>
      <c r="M45" s="54">
        <f>SUBTOTAL(109,支出[2018年10月])</f>
        <v>0</v>
      </c>
      <c r="N45" s="54">
        <f>SUBTOTAL(109,支出[2018年11月])</f>
        <v>0</v>
      </c>
      <c r="O45" s="54">
        <f>SUBTOTAL(109,支出[2018年12月])</f>
        <v>0</v>
      </c>
      <c r="P45" s="56">
        <f>SUBTOTAL(109,支出[总计])</f>
        <v>0</v>
      </c>
    </row>
    <row r="46" spans="2:16" x14ac:dyDescent="0.3">
      <c r="B46" s="26" t="s">
        <v>14</v>
      </c>
      <c r="C46" s="27" t="s">
        <v>54</v>
      </c>
      <c r="D46" s="44" t="s">
        <v>57</v>
      </c>
      <c r="E46" s="44" t="s">
        <v>58</v>
      </c>
      <c r="F46" s="44" t="s">
        <v>59</v>
      </c>
      <c r="G46" s="44" t="s">
        <v>60</v>
      </c>
      <c r="H46" s="44" t="s">
        <v>61</v>
      </c>
      <c r="I46" s="44" t="s">
        <v>62</v>
      </c>
      <c r="J46" s="44" t="s">
        <v>63</v>
      </c>
      <c r="K46" s="44" t="s">
        <v>64</v>
      </c>
      <c r="L46" s="44" t="s">
        <v>65</v>
      </c>
      <c r="M46" s="44" t="s">
        <v>66</v>
      </c>
      <c r="N46" s="44" t="s">
        <v>67</v>
      </c>
      <c r="O46" s="44" t="s">
        <v>68</v>
      </c>
      <c r="P46" s="28" t="s">
        <v>55</v>
      </c>
    </row>
    <row r="47" spans="2:16" x14ac:dyDescent="0.3">
      <c r="B47" s="29" t="s">
        <v>39</v>
      </c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0">
        <f t="shared" ref="P47:P52" si="5">SUM(D47:O47)</f>
        <v>0</v>
      </c>
    </row>
    <row r="48" spans="2:16" x14ac:dyDescent="0.3">
      <c r="B48" s="29" t="s">
        <v>40</v>
      </c>
      <c r="C48" s="58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>
        <f t="shared" si="5"/>
        <v>0</v>
      </c>
    </row>
    <row r="49" spans="2:16" x14ac:dyDescent="0.3">
      <c r="B49" s="29" t="s">
        <v>41</v>
      </c>
      <c r="C49" s="5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60">
        <f t="shared" si="5"/>
        <v>0</v>
      </c>
    </row>
    <row r="50" spans="2:16" x14ac:dyDescent="0.3">
      <c r="B50" s="29" t="s">
        <v>42</v>
      </c>
      <c r="C50" s="58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>
        <f t="shared" si="5"/>
        <v>0</v>
      </c>
    </row>
    <row r="51" spans="2:16" x14ac:dyDescent="0.3">
      <c r="B51" s="29" t="s">
        <v>43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>
        <f t="shared" si="5"/>
        <v>0</v>
      </c>
    </row>
    <row r="52" spans="2:16" x14ac:dyDescent="0.3">
      <c r="B52" s="30" t="s">
        <v>44</v>
      </c>
      <c r="C52" s="61"/>
      <c r="D52" s="62">
        <f>支出[[#Totals],[2018年1月]]+SUBTOTAL(109,CashPaidOut[2018年1月])</f>
        <v>0</v>
      </c>
      <c r="E52" s="62">
        <f>支出[[#Totals],[2018年2月]]+SUBTOTAL(109,CashPaidOut[2018年2月])</f>
        <v>0</v>
      </c>
      <c r="F52" s="62">
        <f>支出[[#Totals],[2018年3月]]+SUBTOTAL(109,CashPaidOut[2018年3月])</f>
        <v>0</v>
      </c>
      <c r="G52" s="63">
        <f>支出[[#Totals],[2018年4月]]+SUBTOTAL(109,CashPaidOut[2018年4月])</f>
        <v>0</v>
      </c>
      <c r="H52" s="63">
        <f>支出[[#Totals],[2018年5月]]+SUBTOTAL(109,CashPaidOut[2018年5月])</f>
        <v>0</v>
      </c>
      <c r="I52" s="63">
        <f>支出[[#Totals],[2018年6月]]+SUBTOTAL(109,CashPaidOut[2018年6月])</f>
        <v>0</v>
      </c>
      <c r="J52" s="63">
        <f>支出[[#Totals],[2018年7月]]+SUBTOTAL(109,CashPaidOut[2018年7月])</f>
        <v>0</v>
      </c>
      <c r="K52" s="63">
        <f>支出[[#Totals],[2018年8月]]+SUBTOTAL(109,CashPaidOut[2018年8月])</f>
        <v>0</v>
      </c>
      <c r="L52" s="63">
        <f>支出[[#Totals],[2018年9月]]+SUBTOTAL(109,CashPaidOut[2018年9月])</f>
        <v>0</v>
      </c>
      <c r="M52" s="63">
        <f>支出[[#Totals],[2018年10月]]+SUBTOTAL(109,CashPaidOut[2018年10月])</f>
        <v>0</v>
      </c>
      <c r="N52" s="63">
        <f>支出[[#Totals],[2018年11月]]+SUBTOTAL(109,CashPaidOut[2018年11月])</f>
        <v>0</v>
      </c>
      <c r="O52" s="63">
        <f>支出[[#Totals],[2018年12月]]+SUBTOTAL(109,CashPaidOut[2018年12月])</f>
        <v>0</v>
      </c>
      <c r="P52" s="62">
        <f t="shared" si="5"/>
        <v>0</v>
      </c>
    </row>
    <row r="53" spans="2:16" x14ac:dyDescent="0.3">
      <c r="B53" s="31" t="s">
        <v>45</v>
      </c>
      <c r="C53" s="51">
        <f>C17</f>
        <v>0</v>
      </c>
      <c r="D53" s="51">
        <f>D17-CashPaidOut[[#Totals],[2018年1月]]</f>
        <v>0</v>
      </c>
      <c r="E53" s="51">
        <f>E17-CashPaidOut[[#Totals],[2018年2月]]</f>
        <v>0</v>
      </c>
      <c r="F53" s="51">
        <f>F17-CashPaidOut[[#Totals],[2018年3月]]</f>
        <v>0</v>
      </c>
      <c r="G53" s="51">
        <f>G17-CashPaidOut[[#Totals],[2018年4月]]</f>
        <v>0</v>
      </c>
      <c r="H53" s="51">
        <f>H17-CashPaidOut[[#Totals],[2018年5月]]</f>
        <v>0</v>
      </c>
      <c r="I53" s="51">
        <f>I17-CashPaidOut[[#Totals],[2018年6月]]</f>
        <v>0</v>
      </c>
      <c r="J53" s="51">
        <f>J17-CashPaidOut[[#Totals],[2018年7月]]</f>
        <v>0</v>
      </c>
      <c r="K53" s="51">
        <f>K17-CashPaidOut[[#Totals],[2018年8月]]</f>
        <v>0</v>
      </c>
      <c r="L53" s="51">
        <f>L17-CashPaidOut[[#Totals],[2018年9月]]</f>
        <v>0</v>
      </c>
      <c r="M53" s="51">
        <f>M17-CashPaidOut[[#Totals],[2018年10月]]</f>
        <v>0</v>
      </c>
      <c r="N53" s="51">
        <f>N17-CashPaidOut[[#Totals],[2018年11月]]</f>
        <v>0</v>
      </c>
      <c r="O53" s="51">
        <f>O17-CashPaidOut[[#Totals],[2018年12月]]</f>
        <v>0</v>
      </c>
      <c r="P53" s="64"/>
    </row>
    <row r="54" spans="2:16" x14ac:dyDescent="0.3">
      <c r="B54" s="1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2:16" x14ac:dyDescent="0.3">
      <c r="B55" s="33" t="s">
        <v>46</v>
      </c>
      <c r="C55" s="34" t="s">
        <v>54</v>
      </c>
      <c r="D55" s="44" t="s">
        <v>57</v>
      </c>
      <c r="E55" s="44" t="s">
        <v>58</v>
      </c>
      <c r="F55" s="44" t="s">
        <v>59</v>
      </c>
      <c r="G55" s="44" t="s">
        <v>60</v>
      </c>
      <c r="H55" s="44" t="s">
        <v>61</v>
      </c>
      <c r="I55" s="44" t="s">
        <v>62</v>
      </c>
      <c r="J55" s="44" t="s">
        <v>63</v>
      </c>
      <c r="K55" s="44" t="s">
        <v>64</v>
      </c>
      <c r="L55" s="44" t="s">
        <v>65</v>
      </c>
      <c r="M55" s="44" t="s">
        <v>66</v>
      </c>
      <c r="N55" s="44" t="s">
        <v>67</v>
      </c>
      <c r="O55" s="44" t="s">
        <v>68</v>
      </c>
      <c r="P55" s="35" t="s">
        <v>55</v>
      </c>
    </row>
    <row r="56" spans="2:16" x14ac:dyDescent="0.3">
      <c r="B56" s="36" t="s">
        <v>47</v>
      </c>
      <c r="C56" s="37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65">
        <f>SUM(OtherOperationalData[[#This Row],[2018年1月]:[2018年12月]])</f>
        <v>0</v>
      </c>
    </row>
    <row r="57" spans="2:16" x14ac:dyDescent="0.3">
      <c r="B57" s="38" t="s">
        <v>48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65">
        <f>SUM(OtherOperationalData[[#This Row],[2018年1月]:[2018年12月]])</f>
        <v>0</v>
      </c>
    </row>
    <row r="58" spans="2:16" x14ac:dyDescent="0.3">
      <c r="B58" s="38" t="s">
        <v>49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65">
        <f>SUM(OtherOperationalData[[#This Row],[2018年1月]:[2018年12月]])</f>
        <v>0</v>
      </c>
    </row>
    <row r="59" spans="2:16" x14ac:dyDescent="0.3">
      <c r="B59" s="38" t="s">
        <v>50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65">
        <f>SUM(OtherOperationalData[[#This Row],[2018年1月]:[2018年12月]])</f>
        <v>0</v>
      </c>
    </row>
    <row r="60" spans="2:16" x14ac:dyDescent="0.3">
      <c r="B60" s="38" t="s">
        <v>51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65">
        <f>SUM(OtherOperationalData[[#This Row],[2018年1月]:[2018年12月]])</f>
        <v>0</v>
      </c>
    </row>
    <row r="61" spans="2:16" x14ac:dyDescent="0.3">
      <c r="B61" s="39" t="s">
        <v>52</v>
      </c>
      <c r="C61" s="40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5">
        <f>SUM(OtherOperationalData[[#This Row],[2018年1月]:[2018年12月]])</f>
        <v>0</v>
      </c>
    </row>
  </sheetData>
  <sheetProtection insertColumns="0" insertRows="0"/>
  <mergeCells count="2">
    <mergeCell ref="B1:P1"/>
    <mergeCell ref="B2:P2"/>
  </mergeCells>
  <phoneticPr fontId="0" type="noConversion"/>
  <conditionalFormatting sqref="C7:O7">
    <cfRule type="cellIs" dxfId="132" priority="1" stopIfTrue="1" operator="lessThanOrEqual">
      <formula>$C$4</formula>
    </cfRule>
  </conditionalFormatting>
  <dataValidations count="26">
    <dataValidation type="decimal" allowBlank="1" showInputMessage="1" sqref="C7 D4:P4" xr:uid="{00000000-0002-0000-0000-000000000000}">
      <formula1>-10000000</formula1>
      <formula2>10000000</formula2>
    </dataValidation>
    <dataValidation type="decimal" operator="lessThanOrEqual" allowBlank="1" showInputMessage="1" showErrorMessage="1" sqref="C17:O17 C53:O53" xr:uid="{00000000-0002-0000-0000-000001000000}">
      <formula1>10000000</formula1>
    </dataValidation>
    <dataValidation type="date" allowBlank="1" showInputMessage="1" showErrorMessage="1" error="请输入有效的日期。" prompt="在此单元格中输入开始日期。" sqref="C3" xr:uid="{00000000-0002-0000-0000-000002000000}">
      <formula1>1</formula1>
      <formula2>73415</formula2>
    </dataValidation>
    <dataValidation type="decimal" operator="lessThanOrEqual" allowBlank="1" showInputMessage="1" sqref="D7:O7" xr:uid="{00000000-0002-0000-0000-000003000000}">
      <formula1>10000000</formula1>
    </dataValidation>
    <dataValidation type="decimal" errorStyle="warning" operator="lessThanOrEqual" allowBlank="1" showInputMessage="1" showErrorMessage="1" error="请输入一个大于 0 的数字" sqref="P10:P15 P20:P44 P47:P51 P56:P61" xr:uid="{00000000-0002-0000-0000-000004000000}">
      <formula1>10000000</formula1>
    </dataValidation>
    <dataValidation allowBlank="1" showInputMessage="1" showErrorMessage="1" prompt="在此工作表中创建小型企业版现金流量预测。在名为“库存现金”、“现金收入”、“支出”、“已付现金”和“其他运营数据”的表格中输入详细信息 " sqref="A1" xr:uid="{00000000-0002-0000-0000-000005000000}"/>
    <dataValidation allowBlank="1" showInputMessage="1" showErrorMessage="1" prompt="此工作表的标题位于此单元格中。在下方单元格中输入公司名称" sqref="B1:P1" xr:uid="{00000000-0002-0000-0000-000006000000}"/>
    <dataValidation allowBlank="1" showInputMessage="1" showErrorMessage="1" prompt="在此单元格中输入公司名称，在单元格 C3 中输入开始日期，在单元格 C4 中输入现金余额警报最低限额" sqref="B2:P2" xr:uid="{00000000-0002-0000-0000-000007000000}"/>
    <dataValidation allowBlank="1" showInputMessage="1" showErrorMessage="1" prompt="在右侧单元格中输入开始日期" sqref="B3" xr:uid="{00000000-0002-0000-0000-000008000000}"/>
    <dataValidation allowBlank="1" showInputMessage="1" showErrorMessage="1" prompt="在右侧单元格中输入现金余额警报最低限额" sqref="B4" xr:uid="{00000000-0002-0000-0000-000009000000}"/>
    <dataValidation type="decimal" operator="lessThanOrEqual" allowBlank="1" showInputMessage="1" showErrorMessage="1" error="请输入一个大于 0 的数字。" prompt="在此单元格中输入现金余额警报最低限额，并在库存现金表中从单元格 C6 开始输入详细信息。 库存现金月初标签显示在单元格 B7 中" sqref="C4" xr:uid="{00000000-0002-0000-0000-00000A000000}">
      <formula1>10000000</formula1>
    </dataValidation>
    <dataValidation allowBlank="1" showInputMessage="1" showErrorMessage="1" prompt="在右侧表格中输入详细信息" sqref="B6" xr:uid="{00000000-0002-0000-0000-00000B000000}"/>
    <dataValidation allowBlank="1" showInputMessage="1" showErrorMessage="1" prompt="在右侧单元格中输入月初库存现金" sqref="B7" xr:uid="{00000000-0002-0000-0000-00000C000000}"/>
    <dataValidation operator="greaterThanOrEqual" allowBlank="1" showInputMessage="1" showErrorMessage="1" error="请输入一个大于 0 的数字。" prompt="在下方单元格中输入月初库存现金" sqref="C6" xr:uid="{00000000-0002-0000-0000-00000D000000}"/>
    <dataValidation allowBlank="1" showInputMessage="1" prompt="将在下方的单元格中自动计算本月的库存现金" sqref="D6:O6" xr:uid="{00000000-0002-0000-0000-00000E000000}"/>
    <dataValidation allowBlank="1" showInputMessage="1" showErrorMessage="1" prompt="在下方的现金收入表中输入详细信息" sqref="B8" xr:uid="{00000000-0002-0000-0000-00000F000000}"/>
    <dataValidation allowBlank="1" showInputMessage="1" showErrorMessage="1" prompt="在此标题下的此列中输入或修改“现金收入”项目" sqref="B9" xr:uid="{00000000-0002-0000-0000-000010000000}"/>
    <dataValidation allowBlank="1" showInputMessage="1" prompt="在此标题下的此列中输入本月的值" sqref="D46:O46 D19:O19 D9:O9 D55:O55" xr:uid="{00000000-0002-0000-0000-000011000000}"/>
    <dataValidation allowBlank="1" showInputMessage="1" prompt="将在此标题下的此列中自动计算总数。将在表格末尾自动计算现金回执总数和可用现金总额" sqref="P9" xr:uid="{00000000-0002-0000-0000-000012000000}"/>
    <dataValidation allowBlank="1" showInputMessage="1" showErrorMessage="1" prompt="在下面的“支出”表和从单元格 B46 开始的“已付现金”表中输入详细信息" sqref="B18" xr:uid="{00000000-0002-0000-0000-000013000000}"/>
    <dataValidation allowBlank="1" showInputMessage="1" showErrorMessage="1" prompt="在此标题下的此列中输入或修改“已付现金”项目" sqref="B19 B46" xr:uid="{00000000-0002-0000-0000-000014000000}"/>
    <dataValidation allowBlank="1" showInputMessage="1" showErrorMessage="1" prompt="将在此标题下的此列中自动计算总数。将在表格末尾自动计算小计" sqref="P19" xr:uid="{00000000-0002-0000-0000-000015000000}"/>
    <dataValidation allowBlank="1" showInputMessage="1" showErrorMessage="1" prompt="将在此标题下的此列中自动计算总数。将在表格末尾自动计算月底“已付现金”和“库存现金”的总数" sqref="P46" xr:uid="{00000000-0002-0000-0000-000016000000}"/>
    <dataValidation allowBlank="1" showInputMessage="1" showErrorMessage="1" prompt="在此标题下的此列中输入或修改“其他运营数据”项目" sqref="B55" xr:uid="{00000000-0002-0000-0000-000017000000}"/>
    <dataValidation allowBlank="1" showInputMessage="1" showErrorMessage="1" prompt="将在此标题下的此列中自动计算总数" sqref="P55" xr:uid="{00000000-0002-0000-0000-000018000000}"/>
    <dataValidation type="decimal" allowBlank="1" showInputMessage="1" showErrorMessage="1" sqref="D10:O15 D20:O44 D47:O51 D56:O61 C57:C60" xr:uid="{00000000-0002-0000-0000-00001A000000}">
      <formula1>-10000000</formula1>
      <formula2>10000000</formula2>
    </dataValidation>
  </dataValidations>
  <printOptions horizontalCentered="1"/>
  <pageMargins left="0" right="0" top="0.5" bottom="0.25" header="0" footer="0"/>
  <pageSetup paperSize="9" scale="70" orientation="landscape" r:id="rId1"/>
  <headerFooter alignWithMargins="0"/>
  <ignoredErrors>
    <ignoredError sqref="P20:P44" emptyCellReference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1:Q38"/>
  <sheetViews>
    <sheetView showGridLines="0" workbookViewId="0"/>
  </sheetViews>
  <sheetFormatPr defaultColWidth="9.33203125" defaultRowHeight="13.5" x14ac:dyDescent="0.3"/>
  <cols>
    <col min="1" max="1" width="9.33203125" style="9"/>
    <col min="2" max="2" width="30.1640625" style="9" customWidth="1"/>
    <col min="3" max="3" width="9.33203125" style="9"/>
    <col min="4" max="4" width="13.33203125" style="9" customWidth="1"/>
    <col min="5" max="16384" width="9.33203125" style="9"/>
  </cols>
  <sheetData>
    <row r="1" spans="2:17" ht="12" customHeight="1" x14ac:dyDescent="0.3"/>
    <row r="2" spans="2:17" ht="12" customHeight="1" x14ac:dyDescent="0.3">
      <c r="B2" s="71" t="s">
        <v>56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2:17" ht="12" customHeight="1" x14ac:dyDescent="0.3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17" ht="12" customHeight="1" x14ac:dyDescent="0.3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2:17" ht="12" customHeight="1" x14ac:dyDescent="0.3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17" ht="12" customHeight="1" x14ac:dyDescent="0.3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2:17" ht="12" customHeight="1" x14ac:dyDescent="0.3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2:17" ht="12" customHeight="1" x14ac:dyDescent="0.3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2:17" ht="12" customHeight="1" x14ac:dyDescent="0.3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2:17" ht="12" customHeight="1" x14ac:dyDescent="0.3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2:17" ht="12" customHeight="1" x14ac:dyDescent="0.3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2:17" ht="12" customHeight="1" x14ac:dyDescent="0.3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17" ht="12" customHeight="1" x14ac:dyDescent="0.3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17" ht="12" customHeight="1" x14ac:dyDescent="0.3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17" ht="12" customHeight="1" x14ac:dyDescent="0.3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17" ht="12" customHeight="1" x14ac:dyDescent="0.3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 ht="12" customHeight="1" x14ac:dyDescent="0.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 ht="12" customHeight="1" x14ac:dyDescent="0.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 ht="12" customHeight="1" x14ac:dyDescent="0.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 ht="12" customHeight="1" x14ac:dyDescent="0.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 ht="12" customHeight="1" x14ac:dyDescent="0.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 ht="12" customHeight="1" x14ac:dyDescent="0.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 ht="12" customHeight="1" x14ac:dyDescent="0.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 ht="12" customHeight="1" x14ac:dyDescent="0.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 ht="12" customHeight="1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 ht="12" customHeight="1" x14ac:dyDescent="0.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 ht="12" customHeight="1" x14ac:dyDescent="0.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 ht="12" customHeight="1" x14ac:dyDescent="0.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 ht="12" customHeight="1" x14ac:dyDescent="0.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 ht="12" customHeight="1" x14ac:dyDescent="0.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 ht="12" customHeight="1" x14ac:dyDescent="0.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 ht="12" customHeight="1" x14ac:dyDescent="0.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 ht="12" customHeight="1" x14ac:dyDescent="0.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 ht="12" customHeight="1" x14ac:dyDescent="0.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 ht="13.5" customHeight="1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7" spans="2:17" ht="16.5" x14ac:dyDescent="0.35">
      <c r="B37" s="70" t="s">
        <v>3</v>
      </c>
      <c r="C37" s="70"/>
      <c r="D37" s="41">
        <f>[0]!Cash_minimum</f>
        <v>0</v>
      </c>
    </row>
    <row r="38" spans="2:17" ht="16.5" x14ac:dyDescent="0.35">
      <c r="B38" s="42"/>
      <c r="C38" s="43"/>
    </row>
  </sheetData>
  <mergeCells count="2">
    <mergeCell ref="B37:C37"/>
    <mergeCell ref="B2:Q35"/>
  </mergeCells>
  <phoneticPr fontId="1" type="noConversion"/>
  <dataValidations count="3">
    <dataValidation allowBlank="1" showInputMessage="1" showErrorMessage="1" prompt="将在此工作表中自动更新单元格 B2 中的图表和单元格 D37 中的现金余额警报最低限额" sqref="A1" xr:uid="{00000000-0002-0000-0100-000000000000}"/>
    <dataValidation allowBlank="1" showInputMessage="1" showErrorMessage="1" prompt="将在右侧单元格中自动更新现金余额警报最低限额" sqref="B37:C37" xr:uid="{00000000-0002-0000-0100-000001000000}"/>
    <dataValidation allowBlank="1" showInputMessage="1" showErrorMessage="1" prompt="将在此单元格中自动更新现金余额警报最低限额" sqref="D37" xr:uid="{00000000-0002-0000-0100-000002000000}"/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D64DB-3A2E-4E7A-AABA-D3030C824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E6D7E-13F1-464C-9225-372C9DE461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C51595D-F41B-4D93-B579-8EF94377C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现金流</vt:lpstr>
      <vt:lpstr>现金流图表</vt:lpstr>
      <vt:lpstr>Cash_beginning</vt:lpstr>
      <vt:lpstr>Cash_minimum</vt:lpstr>
      <vt:lpstr>Company_Name</vt:lpstr>
      <vt:lpstr>现金流!Print_Titles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2019-03-04T05:37:55Z</dcterms:created>
  <dcterms:modified xsi:type="dcterms:W3CDTF">2019-04-25T06:43:26Z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