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17"/>
  <workbookPr filterPrivacy="1"/>
  <xr:revisionPtr revIDLastSave="0" documentId="13_ncr:1_{211254D0-0AD6-499D-AAA9-FFE4741BDD94}" xr6:coauthVersionLast="43" xr6:coauthVersionMax="43" xr10:uidLastSave="{00000000-0000-0000-0000-000000000000}"/>
  <bookViews>
    <workbookView xWindow="-120" yWindow="-120" windowWidth="28140" windowHeight="14115" xr2:uid="{00000000-000D-0000-FFFF-FFFF00000000}"/>
  </bookViews>
  <sheets>
    <sheet name="Protok novca" sheetId="1" r:id="rId1"/>
    <sheet name="Grafikon protoka novca" sheetId="2" r:id="rId2"/>
  </sheets>
  <definedNames>
    <definedName name="_xlnm.Print_Titles" localSheetId="0">'Protok novca'!$6:$6</definedName>
    <definedName name="Minimum_novca">'Protok novca'!$C$4</definedName>
    <definedName name="Naziv_tvrtke">'Protok novca'!$B$2</definedName>
    <definedName name="Početak_novca">'Protok novca'!$C$7</definedName>
    <definedName name="Početni_datum">'Protok novca'!$C$3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7" i="1" l="1"/>
  <c r="P58" i="1"/>
  <c r="P59" i="1"/>
  <c r="P60" i="1"/>
  <c r="P61" i="1"/>
  <c r="P48" i="1"/>
  <c r="P49" i="1"/>
  <c r="P50" i="1"/>
  <c r="P51" i="1"/>
  <c r="P11" i="1"/>
  <c r="P12" i="1"/>
  <c r="P13" i="1"/>
  <c r="P14" i="1"/>
  <c r="P15" i="1"/>
  <c r="F16" i="1" l="1"/>
  <c r="D16" i="1"/>
  <c r="O4" i="1" l="1"/>
  <c r="N4" i="1"/>
  <c r="M4" i="1"/>
  <c r="L4" i="1"/>
  <c r="K4" i="1"/>
  <c r="J4" i="1"/>
  <c r="I4" i="1"/>
  <c r="H4" i="1"/>
  <c r="G4" i="1"/>
  <c r="F4" i="1"/>
  <c r="E4" i="1"/>
  <c r="D4" i="1"/>
  <c r="C3" i="1" l="1"/>
  <c r="P56" i="1" l="1"/>
  <c r="C17" i="1" l="1"/>
  <c r="C53" i="1" s="1"/>
  <c r="D7" i="1" l="1"/>
  <c r="D17" i="1" s="1"/>
  <c r="E16" i="1" l="1"/>
  <c r="D37" i="2" l="1"/>
  <c r="P10" i="1" l="1"/>
  <c r="P47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20" i="1"/>
  <c r="G16" i="1"/>
  <c r="H16" i="1"/>
  <c r="I16" i="1"/>
  <c r="J16" i="1"/>
  <c r="K16" i="1"/>
  <c r="L16" i="1"/>
  <c r="M16" i="1"/>
  <c r="N16" i="1"/>
  <c r="O16" i="1"/>
  <c r="D45" i="1" l="1"/>
  <c r="D52" i="1" s="1"/>
  <c r="F45" i="1"/>
  <c r="F52" i="1" s="1"/>
  <c r="K45" i="1"/>
  <c r="K52" i="1" s="1"/>
  <c r="E45" i="1"/>
  <c r="E52" i="1" s="1"/>
  <c r="J45" i="1"/>
  <c r="J52" i="1" s="1"/>
  <c r="N45" i="1"/>
  <c r="N52" i="1" s="1"/>
  <c r="I45" i="1"/>
  <c r="I52" i="1" s="1"/>
  <c r="O45" i="1"/>
  <c r="O52" i="1" s="1"/>
  <c r="H45" i="1"/>
  <c r="H52" i="1" s="1"/>
  <c r="L45" i="1"/>
  <c r="L52" i="1" s="1"/>
  <c r="M45" i="1"/>
  <c r="M52" i="1" s="1"/>
  <c r="G45" i="1"/>
  <c r="G52" i="1" s="1"/>
  <c r="P16" i="1"/>
  <c r="P52" i="1" l="1"/>
  <c r="D53" i="1"/>
  <c r="E7" i="1" s="1"/>
  <c r="E17" i="1" s="1"/>
  <c r="E53" i="1" s="1"/>
  <c r="F7" i="1" s="1"/>
  <c r="F17" i="1" s="1"/>
  <c r="F53" i="1" s="1"/>
  <c r="G7" i="1" s="1"/>
  <c r="G17" i="1" s="1"/>
  <c r="G53" i="1" s="1"/>
  <c r="H7" i="1" s="1"/>
  <c r="H17" i="1" s="1"/>
  <c r="H53" i="1" s="1"/>
  <c r="I7" i="1" s="1"/>
  <c r="I17" i="1" s="1"/>
  <c r="I53" i="1" s="1"/>
  <c r="J7" i="1" s="1"/>
  <c r="J17" i="1" s="1"/>
  <c r="J53" i="1" s="1"/>
  <c r="K7" i="1" s="1"/>
  <c r="K17" i="1" s="1"/>
  <c r="K53" i="1" s="1"/>
  <c r="L7" i="1" s="1"/>
  <c r="L17" i="1" s="1"/>
  <c r="L53" i="1" s="1"/>
  <c r="M7" i="1" s="1"/>
  <c r="M17" i="1" s="1"/>
  <c r="M53" i="1" s="1"/>
  <c r="N7" i="1" s="1"/>
  <c r="N17" i="1" s="1"/>
  <c r="N53" i="1" s="1"/>
  <c r="O7" i="1" s="1"/>
  <c r="O17" i="1" s="1"/>
  <c r="O53" i="1" s="1"/>
  <c r="P45" i="1"/>
</calcChain>
</file>

<file path=xl/sharedStrings.xml><?xml version="1.0" encoding="utf-8"?>
<sst xmlns="http://schemas.openxmlformats.org/spreadsheetml/2006/main" count="128" uniqueCount="69">
  <si>
    <t>Predviđanje protoka novca u maloj tvrtki</t>
  </si>
  <si>
    <t>Naziv tvrtke</t>
  </si>
  <si>
    <t>Početni datum</t>
  </si>
  <si>
    <t>Minimalno upozorenje za saldo</t>
  </si>
  <si>
    <t>Novac u blagajni (početak mjeseca)</t>
  </si>
  <si>
    <t>NOVČANI PRIMICI</t>
  </si>
  <si>
    <t>Prodaja u gotovini</t>
  </si>
  <si>
    <t>Povrati i odobrenja</t>
  </si>
  <si>
    <t>Naplate potraživanja</t>
  </si>
  <si>
    <t>Kamata, drugi prihod</t>
  </si>
  <si>
    <t>Prihod od zajma</t>
  </si>
  <si>
    <t>Vlasnički doprinosi</t>
  </si>
  <si>
    <t>UKUPNI NOVČANI PRIMICI</t>
  </si>
  <si>
    <t>Ukupan raspoloživi novac</t>
  </si>
  <si>
    <t>ISPLAĆENI NOVAC</t>
  </si>
  <si>
    <t>Oglašavanje</t>
  </si>
  <si>
    <t>Provizije i naknade</t>
  </si>
  <si>
    <t>Kooperanti</t>
  </si>
  <si>
    <t>Programi pogodnosti za zaposlenike</t>
  </si>
  <si>
    <t>Osiguranje (osim zdravstvenog)</t>
  </si>
  <si>
    <t>Rashodi za kamate</t>
  </si>
  <si>
    <t>Materijali i zalihe (u troškovima prodane robe)</t>
  </si>
  <si>
    <t>Obroci i zabava</t>
  </si>
  <si>
    <t>Hipotekarna kamata</t>
  </si>
  <si>
    <t>Trošak ureda</t>
  </si>
  <si>
    <t>Ostali rashodi za kamate</t>
  </si>
  <si>
    <t>Plan mirovina i podjele dobiti</t>
  </si>
  <si>
    <t>Kupnje za daljnju prodaju</t>
  </si>
  <si>
    <t>Najam ili zakup</t>
  </si>
  <si>
    <t>Najam ili zakup: vozila, oprema</t>
  </si>
  <si>
    <t>Popravci i održavanje</t>
  </si>
  <si>
    <t>Zalihe (ne u troškovima prodane robe)</t>
  </si>
  <si>
    <t>Porezi i licence</t>
  </si>
  <si>
    <t>Putovanja</t>
  </si>
  <si>
    <t>Režije</t>
  </si>
  <si>
    <t>Plaće (umanjeno za kredite za zapošljavanje)</t>
  </si>
  <si>
    <t>Ostali troškovi</t>
  </si>
  <si>
    <t>Razno</t>
  </si>
  <si>
    <t>MEĐUIZNOS</t>
  </si>
  <si>
    <t>Otplata glavnice kredita</t>
  </si>
  <si>
    <t>Kupnja kapitala</t>
  </si>
  <si>
    <t>Drugi troškovi pokretanja</t>
  </si>
  <si>
    <t>Za rezervaciju i/ili polog</t>
  </si>
  <si>
    <t>Podizanje vlasnika</t>
  </si>
  <si>
    <t>UKUPNI ISPLAĆENI NOVAC</t>
  </si>
  <si>
    <t>Novac u blagajni (kraj mjeseca)</t>
  </si>
  <si>
    <t>OSTALI OPERATIVNI PODACI</t>
  </si>
  <si>
    <t>Obujam prodaje (dolari)</t>
  </si>
  <si>
    <t>Saldo potraživanja</t>
  </si>
  <si>
    <t>Saldo sumnjivih potraživanja</t>
  </si>
  <si>
    <t>Zalihe na skladištu</t>
  </si>
  <si>
    <t>Saldo dugovanja</t>
  </si>
  <si>
    <t>Deprecijacija</t>
  </si>
  <si>
    <t>Početak</t>
  </si>
  <si>
    <t xml:space="preserve"> </t>
  </si>
  <si>
    <t>U ovoj se ćeliji nalazi kombinirani grafikon s prikazom minimalnih upozorenja za novac u blagajni i projekcijom protoka novca.</t>
  </si>
  <si>
    <t>sij-18</t>
  </si>
  <si>
    <t>vlj-18</t>
  </si>
  <si>
    <t>ožu-18</t>
  </si>
  <si>
    <t>tra-18</t>
  </si>
  <si>
    <t>svi-18</t>
  </si>
  <si>
    <t>lip-18</t>
  </si>
  <si>
    <t>srp-18</t>
  </si>
  <si>
    <t>kol-18</t>
  </si>
  <si>
    <t>ruj-18</t>
  </si>
  <si>
    <t>lis-18</t>
  </si>
  <si>
    <t>stu-18</t>
  </si>
  <si>
    <t>pro-18</t>
  </si>
  <si>
    <t>Zbroj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</si>
</sst>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kn&quot;_-;\-* #,##0\ &quot;kn&quot;_-;_-* &quot;-&quot;\ &quot;kn&quot;_-;_-@_-"/>
    <numFmt numFmtId="164" formatCode="_(* #,##0_);_(* \(#,##0\);_(* &quot;-&quot;_);_(@_)"/>
    <numFmt numFmtId="165" formatCode="_(* #,##0.00_);_(* \(#,##0.00\);_(* &quot;-&quot;??_);_(@_)"/>
    <numFmt numFmtId="166" formatCode="#,##0\ &quot;kn&quot;"/>
    <numFmt numFmtId="167" formatCode="mmm\-yy"/>
  </numFmts>
  <fonts count="31" x14ac:knownFonts="1">
    <font>
      <sz val="8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  <scheme val="minor"/>
    </font>
    <font>
      <sz val="10"/>
      <color indexed="8"/>
      <name val="Arial"/>
      <family val="2"/>
      <scheme val="minor"/>
    </font>
    <font>
      <b/>
      <sz val="10"/>
      <name val="Arial"/>
      <family val="2"/>
      <scheme val="minor"/>
    </font>
    <font>
      <b/>
      <sz val="8"/>
      <name val="Arial"/>
      <family val="2"/>
      <scheme val="minor"/>
    </font>
    <font>
      <sz val="10"/>
      <name val="Arial"/>
      <family val="2"/>
      <scheme val="minor"/>
    </font>
    <font>
      <sz val="8"/>
      <color theme="0"/>
      <name val="Arial"/>
      <family val="2"/>
      <scheme val="minor"/>
    </font>
    <font>
      <b/>
      <sz val="14"/>
      <color theme="1" tint="0.249977111117893"/>
      <name val="Arial"/>
      <family val="2"/>
      <scheme val="major"/>
    </font>
    <font>
      <b/>
      <sz val="8"/>
      <color theme="0"/>
      <name val="Arial"/>
      <family val="2"/>
      <scheme val="minor"/>
    </font>
    <font>
      <b/>
      <sz val="8"/>
      <color theme="0" tint="-0.249977111117893"/>
      <name val="Arial"/>
      <family val="2"/>
      <scheme val="minor"/>
    </font>
    <font>
      <sz val="8"/>
      <color theme="0" tint="-0.249977111117893"/>
      <name val="Arial"/>
      <family val="2"/>
      <scheme val="minor"/>
    </font>
    <font>
      <b/>
      <sz val="8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8">
    <fill>
      <patternFill patternType="none"/>
    </fill>
    <fill>
      <patternFill patternType="gray125"/>
    </fill>
    <fill>
      <patternFill patternType="lightUp"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42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26" applyNumberFormat="0" applyAlignment="0" applyProtection="0"/>
    <xf numFmtId="0" fontId="23" fillId="11" borderId="27" applyNumberFormat="0" applyAlignment="0" applyProtection="0"/>
    <xf numFmtId="0" fontId="24" fillId="11" borderId="26" applyNumberFormat="0" applyAlignment="0" applyProtection="0"/>
    <xf numFmtId="0" fontId="25" fillId="0" borderId="28" applyNumberFormat="0" applyFill="0" applyAlignment="0" applyProtection="0"/>
    <xf numFmtId="0" fontId="26" fillId="12" borderId="29" applyNumberFormat="0" applyAlignment="0" applyProtection="0"/>
    <xf numFmtId="0" fontId="27" fillId="0" borderId="0" applyNumberFormat="0" applyFill="0" applyBorder="0" applyAlignment="0" applyProtection="0"/>
    <xf numFmtId="0" fontId="3" fillId="13" borderId="30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31" applyNumberFormat="0" applyFill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75">
    <xf numFmtId="0" fontId="0" fillId="0" borderId="0" xfId="0">
      <alignment wrapText="1"/>
    </xf>
    <xf numFmtId="0" fontId="4" fillId="0" borderId="0" xfId="0" applyFont="1" applyAlignment="1"/>
    <xf numFmtId="0" fontId="5" fillId="0" borderId="0" xfId="0" applyFont="1" applyFill="1" applyProtection="1">
      <alignment wrapText="1"/>
    </xf>
    <xf numFmtId="3" fontId="4" fillId="0" borderId="9" xfId="0" applyNumberFormat="1" applyFont="1" applyBorder="1" applyProtection="1">
      <alignment wrapText="1"/>
      <protection locked="0"/>
    </xf>
    <xf numFmtId="0" fontId="6" fillId="0" borderId="0" xfId="0" applyFont="1" applyBorder="1" applyAlignment="1"/>
    <xf numFmtId="0" fontId="4" fillId="0" borderId="0" xfId="0" applyFont="1" applyBorder="1" applyAlignment="1"/>
    <xf numFmtId="0" fontId="7" fillId="0" borderId="0" xfId="0" applyFont="1" applyBorder="1" applyAlignment="1">
      <alignment wrapText="1"/>
    </xf>
    <xf numFmtId="0" fontId="4" fillId="0" borderId="0" xfId="0" applyFont="1" applyBorder="1">
      <alignment wrapText="1"/>
    </xf>
    <xf numFmtId="0" fontId="7" fillId="0" borderId="3" xfId="0" applyFont="1" applyBorder="1" applyAlignment="1">
      <alignment wrapText="1"/>
    </xf>
    <xf numFmtId="3" fontId="4" fillId="2" borderId="10" xfId="0" applyNumberFormat="1" applyFont="1" applyFill="1" applyBorder="1">
      <alignment wrapText="1"/>
    </xf>
    <xf numFmtId="0" fontId="4" fillId="0" borderId="0" xfId="0" applyFont="1">
      <alignment wrapText="1"/>
    </xf>
    <xf numFmtId="3" fontId="4" fillId="0" borderId="1" xfId="0" applyNumberFormat="1" applyFont="1" applyBorder="1" applyProtection="1">
      <alignment wrapText="1"/>
      <protection locked="0"/>
    </xf>
    <xf numFmtId="0" fontId="7" fillId="0" borderId="7" xfId="0" applyFont="1" applyBorder="1" applyAlignment="1">
      <alignment wrapText="1"/>
    </xf>
    <xf numFmtId="0" fontId="4" fillId="0" borderId="7" xfId="0" applyFont="1" applyBorder="1">
      <alignment wrapText="1"/>
    </xf>
    <xf numFmtId="0" fontId="4" fillId="0" borderId="0" xfId="0" applyFont="1" applyAlignment="1">
      <alignment wrapText="1"/>
    </xf>
    <xf numFmtId="0" fontId="8" fillId="0" borderId="0" xfId="0" applyFont="1" applyFill="1" applyProtection="1">
      <alignment wrapText="1"/>
    </xf>
    <xf numFmtId="3" fontId="4" fillId="3" borderId="10" xfId="0" applyNumberFormat="1" applyFont="1" applyFill="1" applyBorder="1">
      <alignment wrapText="1"/>
    </xf>
    <xf numFmtId="3" fontId="4" fillId="3" borderId="3" xfId="0" applyNumberFormat="1" applyFont="1" applyFill="1" applyBorder="1">
      <alignment wrapText="1"/>
    </xf>
    <xf numFmtId="3" fontId="4" fillId="0" borderId="0" xfId="0" applyNumberFormat="1" applyFont="1">
      <alignment wrapText="1"/>
    </xf>
    <xf numFmtId="0" fontId="11" fillId="4" borderId="2" xfId="0" applyFont="1" applyFill="1" applyBorder="1" applyAlignment="1">
      <alignment wrapText="1"/>
    </xf>
    <xf numFmtId="3" fontId="4" fillId="3" borderId="8" xfId="0" applyNumberFormat="1" applyFont="1" applyFill="1" applyBorder="1">
      <alignment wrapText="1"/>
    </xf>
    <xf numFmtId="0" fontId="9" fillId="4" borderId="2" xfId="0" applyNumberFormat="1" applyFont="1" applyFill="1" applyBorder="1">
      <alignment wrapText="1"/>
    </xf>
    <xf numFmtId="3" fontId="4" fillId="2" borderId="11" xfId="0" applyNumberFormat="1" applyFont="1" applyFill="1" applyBorder="1">
      <alignment wrapText="1"/>
    </xf>
    <xf numFmtId="3" fontId="4" fillId="0" borderId="12" xfId="0" applyNumberFormat="1" applyFont="1" applyBorder="1" applyProtection="1">
      <alignment wrapText="1"/>
      <protection locked="0"/>
    </xf>
    <xf numFmtId="0" fontId="4" fillId="0" borderId="1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3" fontId="4" fillId="5" borderId="8" xfId="0" applyNumberFormat="1" applyFont="1" applyFill="1" applyBorder="1" applyProtection="1">
      <alignment wrapText="1"/>
    </xf>
    <xf numFmtId="0" fontId="11" fillId="4" borderId="2" xfId="0" applyFont="1" applyFill="1" applyBorder="1" applyAlignment="1"/>
    <xf numFmtId="0" fontId="9" fillId="4" borderId="2" xfId="0" applyFont="1" applyFill="1" applyBorder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3" fontId="4" fillId="0" borderId="16" xfId="0" applyNumberFormat="1" applyFont="1" applyBorder="1" applyProtection="1">
      <alignment wrapText="1"/>
      <protection locked="0"/>
    </xf>
    <xf numFmtId="0" fontId="11" fillId="4" borderId="6" xfId="0" applyFont="1" applyFill="1" applyBorder="1" applyAlignment="1">
      <alignment horizontal="center" wrapText="1"/>
    </xf>
    <xf numFmtId="0" fontId="4" fillId="5" borderId="16" xfId="0" applyNumberFormat="1" applyFont="1" applyFill="1" applyBorder="1">
      <alignment wrapText="1"/>
    </xf>
    <xf numFmtId="0" fontId="4" fillId="5" borderId="9" xfId="0" applyNumberFormat="1" applyFont="1" applyFill="1" applyBorder="1">
      <alignment wrapText="1"/>
    </xf>
    <xf numFmtId="0" fontId="4" fillId="2" borderId="10" xfId="0" applyFont="1" applyFill="1" applyBorder="1">
      <alignment wrapText="1"/>
    </xf>
    <xf numFmtId="3" fontId="4" fillId="3" borderId="11" xfId="0" applyNumberFormat="1" applyFont="1" applyFill="1" applyBorder="1">
      <alignment wrapText="1"/>
    </xf>
    <xf numFmtId="3" fontId="4" fillId="0" borderId="10" xfId="0" applyNumberFormat="1" applyFont="1" applyBorder="1" applyProtection="1">
      <alignment wrapText="1"/>
      <protection locked="0"/>
    </xf>
    <xf numFmtId="3" fontId="4" fillId="2" borderId="17" xfId="0" applyNumberFormat="1" applyFont="1" applyFill="1" applyBorder="1">
      <alignment wrapText="1"/>
    </xf>
    <xf numFmtId="3" fontId="4" fillId="0" borderId="17" xfId="0" applyNumberFormat="1" applyFont="1" applyBorder="1">
      <alignment wrapText="1"/>
    </xf>
    <xf numFmtId="3" fontId="4" fillId="3" borderId="17" xfId="0" applyNumberFormat="1" applyFont="1" applyFill="1" applyBorder="1">
      <alignment wrapText="1"/>
    </xf>
    <xf numFmtId="0" fontId="4" fillId="0" borderId="18" xfId="0" applyFont="1" applyBorder="1" applyAlignment="1">
      <alignment wrapText="1"/>
    </xf>
    <xf numFmtId="0" fontId="12" fillId="2" borderId="11" xfId="0" applyNumberFormat="1" applyFont="1" applyFill="1" applyBorder="1">
      <alignment wrapText="1"/>
    </xf>
    <xf numFmtId="3" fontId="4" fillId="0" borderId="11" xfId="0" applyNumberFormat="1" applyFont="1" applyBorder="1">
      <alignment wrapText="1"/>
    </xf>
    <xf numFmtId="0" fontId="7" fillId="6" borderId="12" xfId="0" applyFont="1" applyFill="1" applyBorder="1" applyProtection="1">
      <alignment wrapText="1"/>
    </xf>
    <xf numFmtId="3" fontId="13" fillId="2" borderId="10" xfId="0" applyNumberFormat="1" applyFont="1" applyFill="1" applyBorder="1">
      <alignment wrapText="1"/>
    </xf>
    <xf numFmtId="0" fontId="7" fillId="6" borderId="12" xfId="0" applyFont="1" applyFill="1" applyBorder="1" applyAlignment="1">
      <alignment wrapText="1"/>
    </xf>
    <xf numFmtId="3" fontId="13" fillId="2" borderId="11" xfId="0" applyNumberFormat="1" applyFont="1" applyFill="1" applyBorder="1">
      <alignment wrapText="1"/>
    </xf>
    <xf numFmtId="0" fontId="14" fillId="6" borderId="0" xfId="0" applyNumberFormat="1" applyFont="1" applyFill="1" applyBorder="1" applyAlignment="1">
      <alignment wrapText="1"/>
    </xf>
    <xf numFmtId="0" fontId="7" fillId="6" borderId="8" xfId="0" applyFont="1" applyFill="1" applyBorder="1" applyAlignment="1">
      <alignment wrapText="1"/>
    </xf>
    <xf numFmtId="3" fontId="4" fillId="2" borderId="19" xfId="0" applyNumberFormat="1" applyFont="1" applyFill="1" applyBorder="1">
      <alignment wrapText="1"/>
    </xf>
    <xf numFmtId="0" fontId="9" fillId="4" borderId="2" xfId="0" applyNumberFormat="1" applyFont="1" applyFill="1" applyBorder="1" applyAlignment="1">
      <alignment horizontal="center" wrapText="1"/>
    </xf>
    <xf numFmtId="0" fontId="11" fillId="4" borderId="11" xfId="0" applyNumberFormat="1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11" fillId="4" borderId="8" xfId="0" applyNumberFormat="1" applyFont="1" applyFill="1" applyBorder="1" applyAlignment="1">
      <alignment horizontal="center" wrapText="1"/>
    </xf>
    <xf numFmtId="0" fontId="7" fillId="0" borderId="4" xfId="0" applyNumberFormat="1" applyFont="1" applyBorder="1" applyAlignment="1">
      <alignment wrapText="1"/>
    </xf>
    <xf numFmtId="0" fontId="4" fillId="0" borderId="7" xfId="0" applyNumberFormat="1" applyFont="1" applyBorder="1">
      <alignment wrapText="1"/>
    </xf>
    <xf numFmtId="0" fontId="4" fillId="0" borderId="4" xfId="0" applyNumberFormat="1" applyFont="1" applyBorder="1">
      <alignment wrapText="1"/>
    </xf>
    <xf numFmtId="0" fontId="4" fillId="0" borderId="0" xfId="0" applyNumberFormat="1" applyFont="1">
      <alignment wrapText="1"/>
    </xf>
    <xf numFmtId="0" fontId="4" fillId="0" borderId="5" xfId="0" applyFont="1" applyFill="1" applyBorder="1" applyAlignment="1" applyProtection="1">
      <alignment wrapText="1"/>
    </xf>
    <xf numFmtId="0" fontId="4" fillId="0" borderId="13" xfId="0" applyNumberFormat="1" applyFont="1" applyFill="1" applyBorder="1" applyAlignment="1">
      <alignment wrapText="1"/>
    </xf>
    <xf numFmtId="0" fontId="4" fillId="0" borderId="5" xfId="0" applyNumberFormat="1" applyFont="1" applyFill="1" applyBorder="1" applyAlignment="1">
      <alignment wrapText="1"/>
    </xf>
    <xf numFmtId="3" fontId="4" fillId="3" borderId="20" xfId="0" applyNumberFormat="1" applyFont="1" applyFill="1" applyBorder="1">
      <alignment wrapText="1"/>
    </xf>
    <xf numFmtId="0" fontId="7" fillId="6" borderId="22" xfId="0" applyFont="1" applyFill="1" applyBorder="1" applyAlignment="1">
      <alignment wrapText="1"/>
    </xf>
    <xf numFmtId="3" fontId="4" fillId="3" borderId="21" xfId="0" applyNumberFormat="1" applyFont="1" applyFill="1" applyBorder="1">
      <alignment wrapText="1"/>
    </xf>
    <xf numFmtId="166" fontId="6" fillId="0" borderId="0" xfId="1" applyNumberFormat="1" applyFont="1"/>
    <xf numFmtId="3" fontId="9" fillId="0" borderId="0" xfId="0" applyNumberFormat="1" applyFont="1" applyAlignment="1"/>
    <xf numFmtId="167" fontId="4" fillId="0" borderId="1" xfId="0" applyNumberFormat="1" applyFont="1" applyBorder="1" applyAlignment="1" applyProtection="1">
      <alignment horizontal="right" wrapText="1"/>
      <protection locked="0"/>
    </xf>
    <xf numFmtId="167" fontId="11" fillId="4" borderId="9" xfId="0" applyNumberFormat="1" applyFont="1" applyFill="1" applyBorder="1" applyAlignment="1">
      <alignment horizontal="center" wrapText="1"/>
    </xf>
    <xf numFmtId="167" fontId="9" fillId="4" borderId="2" xfId="0" applyNumberFormat="1" applyFont="1" applyFill="1" applyBorder="1" applyAlignment="1">
      <alignment horizontal="center" wrapText="1"/>
    </xf>
    <xf numFmtId="167" fontId="11" fillId="4" borderId="11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wrapText="1"/>
    </xf>
    <xf numFmtId="0" fontId="8" fillId="0" borderId="0" xfId="0" applyFont="1" applyFill="1" applyProtection="1">
      <alignment wrapText="1"/>
    </xf>
    <xf numFmtId="0" fontId="4" fillId="0" borderId="0" xfId="0" applyFont="1" applyAlignment="1">
      <alignment horizontal="center"/>
    </xf>
  </cellXfs>
  <cellStyles count="47">
    <cellStyle name="20% - Isticanje1" xfId="24" builtinId="30" customBuiltin="1"/>
    <cellStyle name="20% - Isticanje2" xfId="28" builtinId="34" customBuiltin="1"/>
    <cellStyle name="20% - Isticanje3" xfId="32" builtinId="38" customBuiltin="1"/>
    <cellStyle name="20% - Isticanje4" xfId="36" builtinId="42" customBuiltin="1"/>
    <cellStyle name="20% - Isticanje5" xfId="40" builtinId="46" customBuiltin="1"/>
    <cellStyle name="20% - Isticanje6" xfId="44" builtinId="50" customBuiltin="1"/>
    <cellStyle name="40% - Isticanje1" xfId="25" builtinId="31" customBuiltin="1"/>
    <cellStyle name="40% - Isticanje2" xfId="29" builtinId="35" customBuiltin="1"/>
    <cellStyle name="40% - Isticanje3" xfId="33" builtinId="39" customBuiltin="1"/>
    <cellStyle name="40% - Isticanje4" xfId="37" builtinId="43" customBuiltin="1"/>
    <cellStyle name="40% - Isticanje5" xfId="41" builtinId="47" customBuiltin="1"/>
    <cellStyle name="40% - Isticanje6" xfId="45" builtinId="51" customBuiltin="1"/>
    <cellStyle name="60% - Isticanje1" xfId="26" builtinId="32" customBuiltin="1"/>
    <cellStyle name="60% - Isticanje2" xfId="30" builtinId="36" customBuiltin="1"/>
    <cellStyle name="60% - Isticanje3" xfId="34" builtinId="40" customBuiltin="1"/>
    <cellStyle name="60% - Isticanje4" xfId="38" builtinId="44" customBuiltin="1"/>
    <cellStyle name="60% - Isticanje5" xfId="42" builtinId="48" customBuiltin="1"/>
    <cellStyle name="60% - Isticanje6" xfId="46" builtinId="52" customBuiltin="1"/>
    <cellStyle name="Bilješka" xfId="20" builtinId="10" customBuiltin="1"/>
    <cellStyle name="Dobro" xfId="11" builtinId="26" customBuiltin="1"/>
    <cellStyle name="Isticanje1" xfId="23" builtinId="29" customBuiltin="1"/>
    <cellStyle name="Isticanje2" xfId="27" builtinId="33" customBuiltin="1"/>
    <cellStyle name="Isticanje3" xfId="31" builtinId="37" customBuiltin="1"/>
    <cellStyle name="Isticanje4" xfId="35" builtinId="41" customBuiltin="1"/>
    <cellStyle name="Isticanje5" xfId="39" builtinId="45" customBuiltin="1"/>
    <cellStyle name="Isticanje6" xfId="43" builtinId="49" customBuiltin="1"/>
    <cellStyle name="Izlaz" xfId="15" builtinId="21" customBuiltin="1"/>
    <cellStyle name="Izračun" xfId="16" builtinId="22" customBuiltin="1"/>
    <cellStyle name="Loše" xfId="12" builtinId="27" customBuiltin="1"/>
    <cellStyle name="Naslov" xfId="6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eutralno" xfId="13" builtinId="28" customBuiltin="1"/>
    <cellStyle name="Normalno" xfId="0" builtinId="0" customBuiltin="1"/>
    <cellStyle name="Postotak" xfId="5" builtinId="5" customBuiltin="1"/>
    <cellStyle name="Povezana ćelija" xfId="17" builtinId="24" customBuiltin="1"/>
    <cellStyle name="Provjera ćelije" xfId="18" builtinId="23" customBuiltin="1"/>
    <cellStyle name="Tekst objašnjenja" xfId="21" builtinId="53" customBuiltin="1"/>
    <cellStyle name="Tekst upozorenja" xfId="19" builtinId="11" customBuiltin="1"/>
    <cellStyle name="Ukupni zbroj" xfId="22" builtinId="25" customBuiltin="1"/>
    <cellStyle name="Unos" xfId="14" builtinId="20" customBuiltin="1"/>
    <cellStyle name="Valuta" xfId="1" builtinId="4" customBuiltin="1"/>
    <cellStyle name="Valuta [0]" xfId="4" builtinId="7" customBuiltin="1"/>
    <cellStyle name="Zarez" xfId="2" builtinId="3" customBuiltin="1"/>
    <cellStyle name="Zarez [0]" xfId="3" builtinId="6" customBuiltin="1"/>
  </cellStyles>
  <dxfs count="1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249977111117893"/>
        <name val="Arial"/>
        <family val="2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249977111117893"/>
        <name val="Arial"/>
        <family val="2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numFmt numFmtId="3" formatCode="#,##0"/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numFmt numFmtId="22" formatCode="mmm/yy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0.249977111117893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numFmt numFmtId="3" formatCode="#,##0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numFmt numFmtId="22" formatCode="mmm/yy"/>
      <fill>
        <patternFill patternType="solid">
          <fgColor indexed="64"/>
          <bgColor theme="1" tint="0.49998474074526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numFmt numFmtId="3" formatCode="#,##0"/>
      <fill>
        <patternFill patternType="solid">
          <fgColor indexed="64"/>
          <bgColor theme="1" tint="0.49998474074526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Novac" pivot="0" count="4" xr9:uid="{00000000-0011-0000-FFFF-FFFF00000000}">
      <tableStyleElement type="wholeTable" dxfId="171"/>
      <tableStyleElement type="headerRow" dxfId="170"/>
      <tableStyleElement type="totalRow" dxfId="169"/>
      <tableStyleElement type="firstTotalCell" dxfId="16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Arial (tijelo)"/>
                <a:ea typeface="黑体"/>
                <a:cs typeface="黑体"/>
              </a:defRPr>
            </a:pPr>
            <a:r>
              <a:rPr lang="en-US">
                <a:latin typeface="Arial (tijelo)"/>
              </a:rPr>
              <a:t>Projekcija protoka novca
Naziv tvrtke</a:t>
            </a:r>
          </a:p>
        </c:rich>
      </c:tx>
      <c:layout>
        <c:manualLayout>
          <c:xMode val="edge"/>
          <c:yMode val="edge"/>
          <c:x val="0.35399761005484076"/>
          <c:y val="2.92275574112734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22020811520303E-2"/>
          <c:y val="0.20876826722338204"/>
          <c:w val="0.68496002937629952"/>
          <c:h val="0.6179540709812108"/>
        </c:manualLayout>
      </c:layout>
      <c:barChart>
        <c:barDir val="col"/>
        <c:grouping val="clustered"/>
        <c:varyColors val="0"/>
        <c:ser>
          <c:idx val="0"/>
          <c:order val="0"/>
          <c:tx>
            <c:v>Projekcija protoka novca</c:v>
          </c:tx>
          <c:invertIfNegative val="0"/>
          <c:cat>
            <c:strRef>
              <c:f>'Protok novca'!$C$6:$O$6</c:f>
              <c:strCache>
                <c:ptCount val="13"/>
                <c:pt idx="0">
                  <c:v>Početak</c:v>
                </c:pt>
                <c:pt idx="1">
                  <c:v>sij-18</c:v>
                </c:pt>
                <c:pt idx="2">
                  <c:v>vlj-18</c:v>
                </c:pt>
                <c:pt idx="3">
                  <c:v>ožu-18</c:v>
                </c:pt>
                <c:pt idx="4">
                  <c:v>tra-18</c:v>
                </c:pt>
                <c:pt idx="5">
                  <c:v>svi-18</c:v>
                </c:pt>
                <c:pt idx="6">
                  <c:v>lip-18</c:v>
                </c:pt>
                <c:pt idx="7">
                  <c:v>srp-18</c:v>
                </c:pt>
                <c:pt idx="8">
                  <c:v>kol-18</c:v>
                </c:pt>
                <c:pt idx="9">
                  <c:v>ruj-18</c:v>
                </c:pt>
                <c:pt idx="10">
                  <c:v>lis-18</c:v>
                </c:pt>
                <c:pt idx="11">
                  <c:v>stu-18</c:v>
                </c:pt>
                <c:pt idx="12">
                  <c:v>pro-18</c:v>
                </c:pt>
              </c:strCache>
            </c:strRef>
          </c:cat>
          <c:val>
            <c:numRef>
              <c:f>'Protok novca'!$C$53:$O$53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E-4586-9BA1-20653FE14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72224"/>
        <c:axId val="165924864"/>
      </c:barChart>
      <c:lineChart>
        <c:grouping val="standard"/>
        <c:varyColors val="0"/>
        <c:ser>
          <c:idx val="1"/>
          <c:order val="1"/>
          <c:tx>
            <c:v>Minimalna upozorenja za novac u blagajni</c:v>
          </c:tx>
          <c:cat>
            <c:strRef>
              <c:f>'Protok novca'!$C$6:$O$6</c:f>
              <c:strCache>
                <c:ptCount val="13"/>
                <c:pt idx="0">
                  <c:v>Početak</c:v>
                </c:pt>
                <c:pt idx="1">
                  <c:v>sij-18</c:v>
                </c:pt>
                <c:pt idx="2">
                  <c:v>vlj-18</c:v>
                </c:pt>
                <c:pt idx="3">
                  <c:v>ožu-18</c:v>
                </c:pt>
                <c:pt idx="4">
                  <c:v>tra-18</c:v>
                </c:pt>
                <c:pt idx="5">
                  <c:v>svi-18</c:v>
                </c:pt>
                <c:pt idx="6">
                  <c:v>lip-18</c:v>
                </c:pt>
                <c:pt idx="7">
                  <c:v>srp-18</c:v>
                </c:pt>
                <c:pt idx="8">
                  <c:v>kol-18</c:v>
                </c:pt>
                <c:pt idx="9">
                  <c:v>ruj-18</c:v>
                </c:pt>
                <c:pt idx="10">
                  <c:v>lis-18</c:v>
                </c:pt>
                <c:pt idx="11">
                  <c:v>stu-18</c:v>
                </c:pt>
                <c:pt idx="12">
                  <c:v>pro-18</c:v>
                </c:pt>
              </c:strCache>
            </c:strRef>
          </c:cat>
          <c:val>
            <c:numRef>
              <c:f>'Protok novca'!$C$4:$O$4</c:f>
              <c:numCache>
                <c:formatCode>#,##0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0E-4586-9BA1-20653FE14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72224"/>
        <c:axId val="165924864"/>
      </c:lineChart>
      <c:catAx>
        <c:axId val="14917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Razdoblje</a:t>
                </a:r>
              </a:p>
            </c:rich>
          </c:tx>
          <c:layout>
            <c:manualLayout>
              <c:xMode val="edge"/>
              <c:yMode val="edge"/>
              <c:x val="0.38109798775153103"/>
              <c:y val="0.924843423799582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sr-Latn-RS"/>
          </a:p>
        </c:txPr>
        <c:crossAx val="16592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924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Novac u blagajni</a:t>
                </a:r>
              </a:p>
            </c:rich>
          </c:tx>
          <c:layout>
            <c:manualLayout>
              <c:xMode val="edge"/>
              <c:yMode val="edge"/>
              <c:x val="1.0162611711814535E-2"/>
              <c:y val="0.3987473903966597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149172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845605712499333"/>
          <c:y val="0.45511482254697289"/>
          <c:w val="0.21341484594810523"/>
          <c:h val="0.1454418928322895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  <a:latin typeface="Arial (tijelo)"/>
              <a:ea typeface="黑体"/>
              <a:cs typeface="黑体"/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104775</xdr:rowOff>
    </xdr:from>
    <xdr:to>
      <xdr:col>16</xdr:col>
      <xdr:colOff>66675</xdr:colOff>
      <xdr:row>33</xdr:row>
      <xdr:rowOff>95250</xdr:rowOff>
    </xdr:to>
    <xdr:graphicFrame macro="">
      <xdr:nvGraphicFramePr>
        <xdr:cNvPr id="4098" name="Grafikon 2" descr="Kombinirani grafikon s prikazom minimalnih upozorenja za novac u blagajni i projekcijom protoka novca 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NovčaniPrimici" displayName="NovčaniPrimici" ref="B9:P16" totalsRowCount="1" headerRowDxfId="167" dataDxfId="165" headerRowBorderDxfId="166" tableBorderDxfId="164">
  <autoFilter ref="B9:P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NOVČANI PRIMICI" totalsRowLabel="UKUPNI NOVČANI PRIMICI" dataDxfId="163" totalsRowDxfId="14"/>
    <tableColumn id="2" xr3:uid="{00000000-0010-0000-0000-000002000000}" name=" " dataDxfId="162" totalsRowDxfId="13"/>
    <tableColumn id="3" xr3:uid="{00000000-0010-0000-0000-000003000000}" name="sij-18" totalsRowFunction="custom" dataDxfId="161" totalsRowDxfId="12">
      <totalsRowFormula>SUM(D10,D12:D15,(D11*-1))</totalsRowFormula>
    </tableColumn>
    <tableColumn id="4" xr3:uid="{00000000-0010-0000-0000-000004000000}" name="vlj-18" totalsRowFunction="custom" dataDxfId="160" totalsRowDxfId="11">
      <totalsRowFormula>SUM(E10,E12:E15,(E11*-1))</totalsRowFormula>
    </tableColumn>
    <tableColumn id="5" xr3:uid="{00000000-0010-0000-0000-000005000000}" name="ožu-18" totalsRowFunction="custom" dataDxfId="159" totalsRowDxfId="10">
      <totalsRowFormula>SUM(F10,F12:F15,(F11*-1))</totalsRowFormula>
    </tableColumn>
    <tableColumn id="6" xr3:uid="{00000000-0010-0000-0000-000006000000}" name="tra-18" totalsRowFunction="custom" dataDxfId="158" totalsRowDxfId="9">
      <totalsRowFormula>SUM(G10,G12:G15,(G11*-1))</totalsRowFormula>
    </tableColumn>
    <tableColumn id="7" xr3:uid="{00000000-0010-0000-0000-000007000000}" name="svi-18" totalsRowFunction="custom" dataDxfId="157" totalsRowDxfId="8">
      <totalsRowFormula>SUM(H10,H12:H15,(H11*-1))</totalsRowFormula>
    </tableColumn>
    <tableColumn id="8" xr3:uid="{00000000-0010-0000-0000-000008000000}" name="lip-18" totalsRowFunction="custom" dataDxfId="156" totalsRowDxfId="7">
      <totalsRowFormula>SUM(I10,I12:I15,(I11*-1))</totalsRowFormula>
    </tableColumn>
    <tableColumn id="9" xr3:uid="{00000000-0010-0000-0000-000009000000}" name="srp-18" totalsRowFunction="custom" dataDxfId="155" totalsRowDxfId="6">
      <totalsRowFormula>SUM(J10,J12:J15,(J11*-1))</totalsRowFormula>
    </tableColumn>
    <tableColumn id="10" xr3:uid="{00000000-0010-0000-0000-00000A000000}" name="kol-18" totalsRowFunction="custom" dataDxfId="154" totalsRowDxfId="5">
      <totalsRowFormula>SUM(K10,K12:K15,(K11*-1))</totalsRowFormula>
    </tableColumn>
    <tableColumn id="11" xr3:uid="{00000000-0010-0000-0000-00000B000000}" name="ruj-18" totalsRowFunction="custom" dataDxfId="153" totalsRowDxfId="4">
      <totalsRowFormula>SUM(L10,L12:L15,(L11*-1))</totalsRowFormula>
    </tableColumn>
    <tableColumn id="12" xr3:uid="{00000000-0010-0000-0000-00000C000000}" name="lis-18" totalsRowFunction="custom" dataDxfId="152" totalsRowDxfId="3">
      <totalsRowFormula>SUM(M10,M12:M15,(M11*-1))</totalsRowFormula>
    </tableColumn>
    <tableColumn id="13" xr3:uid="{00000000-0010-0000-0000-00000D000000}" name="stu-18" totalsRowFunction="custom" dataDxfId="151" totalsRowDxfId="2">
      <totalsRowFormula>SUM(N10,N12:N15,(N11*-1))</totalsRowFormula>
    </tableColumn>
    <tableColumn id="14" xr3:uid="{00000000-0010-0000-0000-00000E000000}" name="pro-18" totalsRowFunction="custom" dataDxfId="150" totalsRowDxfId="1">
      <totalsRowFormula>SUM(O10,O12:O15,(O11*-1))</totalsRowFormula>
    </tableColumn>
    <tableColumn id="15" xr3:uid="{00000000-0010-0000-0000-00000F000000}" name="Zbroj" totalsRowFunction="sum" dataDxfId="149" totalsRowDxfId="0">
      <calculatedColumnFormula>SUM(D10:O10)</calculatedColumnFormula>
    </tableColumn>
  </tableColumns>
  <tableStyleInfo name="Novac" showFirstColumn="0" showLastColumn="0" showRowStripes="0" showColumnStripes="0"/>
  <extLst>
    <ext xmlns:x14="http://schemas.microsoft.com/office/spreadsheetml/2009/9/main" uri="{504A1905-F514-4f6f-8877-14C23A59335A}">
      <x14:table altTextSummary="Unesite ili izmijenite stavke novčanih primitaka i vrijednosti za svaki mjesec u ovoj tablici. Ukupni novčani primici i ukupan raspoloživi novac izračunavaju se automatsk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NovacuBlagajni" displayName="NovacuBlagajni" ref="C6:P7" headerRowDxfId="148" dataDxfId="146" headerRowBorderDxfId="147" tableBorderDxfId="145">
  <autoFilter ref="C6:P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100-000001000000}" name="Početak" totalsRowLabel="Zbroj" dataDxfId="144" totalsRowDxfId="143"/>
    <tableColumn id="2" xr3:uid="{00000000-0010-0000-0100-000002000000}" name="sij-18" dataDxfId="142" totalsRowDxfId="141">
      <calculatedColumnFormula>C53</calculatedColumnFormula>
    </tableColumn>
    <tableColumn id="3" xr3:uid="{00000000-0010-0000-0100-000003000000}" name="vlj-18" dataDxfId="140" totalsRowDxfId="139">
      <calculatedColumnFormula>D53</calculatedColumnFormula>
    </tableColumn>
    <tableColumn id="4" xr3:uid="{00000000-0010-0000-0100-000004000000}" name="ožu-18" dataDxfId="138" totalsRowDxfId="137">
      <calculatedColumnFormula>E53</calculatedColumnFormula>
    </tableColumn>
    <tableColumn id="5" xr3:uid="{00000000-0010-0000-0100-000005000000}" name="tra-18" dataDxfId="136" totalsRowDxfId="135">
      <calculatedColumnFormula>F53</calculatedColumnFormula>
    </tableColumn>
    <tableColumn id="6" xr3:uid="{00000000-0010-0000-0100-000006000000}" name="svi-18" dataDxfId="134" totalsRowDxfId="133">
      <calculatedColumnFormula>G53</calculatedColumnFormula>
    </tableColumn>
    <tableColumn id="7" xr3:uid="{00000000-0010-0000-0100-000007000000}" name="lip-18" dataDxfId="132" totalsRowDxfId="131">
      <calculatedColumnFormula>H53</calculatedColumnFormula>
    </tableColumn>
    <tableColumn id="8" xr3:uid="{00000000-0010-0000-0100-000008000000}" name="srp-18" dataDxfId="130" totalsRowDxfId="129">
      <calculatedColumnFormula>I53</calculatedColumnFormula>
    </tableColumn>
    <tableColumn id="9" xr3:uid="{00000000-0010-0000-0100-000009000000}" name="kol-18" dataDxfId="128" totalsRowDxfId="127">
      <calculatedColumnFormula>J53</calculatedColumnFormula>
    </tableColumn>
    <tableColumn id="10" xr3:uid="{00000000-0010-0000-0100-00000A000000}" name="ruj-18" dataDxfId="126" totalsRowDxfId="125">
      <calculatedColumnFormula>K53</calculatedColumnFormula>
    </tableColumn>
    <tableColumn id="11" xr3:uid="{00000000-0010-0000-0100-00000B000000}" name="lis-18" dataDxfId="124" totalsRowDxfId="123">
      <calculatedColumnFormula>L53</calculatedColumnFormula>
    </tableColumn>
    <tableColumn id="12" xr3:uid="{00000000-0010-0000-0100-00000C000000}" name="stu-18" dataDxfId="122" totalsRowDxfId="121">
      <calculatedColumnFormula>M53</calculatedColumnFormula>
    </tableColumn>
    <tableColumn id="13" xr3:uid="{00000000-0010-0000-0100-00000D000000}" name="pro-18" dataDxfId="120" totalsRowDxfId="119">
      <calculatedColumnFormula>N53</calculatedColumnFormula>
    </tableColumn>
    <tableColumn id="14" xr3:uid="{00000000-0010-0000-0100-00000E000000}" name="Zbroj" totalsRowFunction="count" dataDxfId="118" totalsRowDxfId="117"/>
  </tableColumns>
  <tableStyleInfo name="Novac" showFirstColumn="0" showLastColumn="0" showRowStripes="1" showColumnStripes="0"/>
  <extLst>
    <ext xmlns:x14="http://schemas.microsoft.com/office/spreadsheetml/2009/9/main" uri="{504A1905-F514-4f6f-8877-14C23A59335A}">
      <x14:table altTextSummary="U odjeljak Početak u ovoj tablici unesite novac u blagajni. Novac u blagajni automatski se izračunava za svaki mjesec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Izdaci" displayName="Izdaci" ref="B19:P45" totalsRowCount="1" headerRowDxfId="116" dataDxfId="114" headerRowBorderDxfId="115" tableBorderDxfId="113">
  <autoFilter ref="B19:P44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200-000001000000}" name="ISPLAĆENI NOVAC" totalsRowLabel="MEĐUIZNOS" dataDxfId="112" totalsRowDxfId="29"/>
    <tableColumn id="2" xr3:uid="{00000000-0010-0000-0200-000002000000}" name=" " dataDxfId="111" totalsRowDxfId="28"/>
    <tableColumn id="3" xr3:uid="{00000000-0010-0000-0200-000003000000}" name="sij-18" totalsRowFunction="sum" dataDxfId="110" totalsRowDxfId="27"/>
    <tableColumn id="4" xr3:uid="{00000000-0010-0000-0200-000004000000}" name="vlj-18" totalsRowFunction="sum" dataDxfId="109" totalsRowDxfId="26"/>
    <tableColumn id="5" xr3:uid="{00000000-0010-0000-0200-000005000000}" name="ožu-18" totalsRowFunction="sum" dataDxfId="108" totalsRowDxfId="25"/>
    <tableColumn id="6" xr3:uid="{00000000-0010-0000-0200-000006000000}" name="tra-18" totalsRowFunction="sum" dataDxfId="107" totalsRowDxfId="24"/>
    <tableColumn id="7" xr3:uid="{00000000-0010-0000-0200-000007000000}" name="svi-18" totalsRowFunction="sum" dataDxfId="106" totalsRowDxfId="23"/>
    <tableColumn id="8" xr3:uid="{00000000-0010-0000-0200-000008000000}" name="lip-18" totalsRowFunction="sum" dataDxfId="105" totalsRowDxfId="22"/>
    <tableColumn id="9" xr3:uid="{00000000-0010-0000-0200-000009000000}" name="srp-18" totalsRowFunction="sum" dataDxfId="104" totalsRowDxfId="21"/>
    <tableColumn id="10" xr3:uid="{00000000-0010-0000-0200-00000A000000}" name="kol-18" totalsRowFunction="sum" dataDxfId="103" totalsRowDxfId="20"/>
    <tableColumn id="11" xr3:uid="{00000000-0010-0000-0200-00000B000000}" name="ruj-18" totalsRowFunction="sum" dataDxfId="102" totalsRowDxfId="19"/>
    <tableColumn id="12" xr3:uid="{00000000-0010-0000-0200-00000C000000}" name="lis-18" totalsRowFunction="sum" dataDxfId="101" totalsRowDxfId="18"/>
    <tableColumn id="13" xr3:uid="{00000000-0010-0000-0200-00000D000000}" name="stu-18" totalsRowFunction="sum" dataDxfId="100" totalsRowDxfId="17"/>
    <tableColumn id="14" xr3:uid="{00000000-0010-0000-0200-00000E000000}" name="pro-18" totalsRowFunction="sum" dataDxfId="99" totalsRowDxfId="16"/>
    <tableColumn id="15" xr3:uid="{00000000-0010-0000-0200-00000F000000}" name="Zbroj" totalsRowFunction="sum" dataDxfId="98" totalsRowDxfId="15">
      <calculatedColumnFormula>SUM(D20:O20)</calculatedColumnFormula>
    </tableColumn>
  </tableColumns>
  <tableStyleInfo name="Novac" showFirstColumn="1" showLastColumn="0" showRowStripes="0" showColumnStripes="0"/>
  <extLst>
    <ext xmlns:x14="http://schemas.microsoft.com/office/spreadsheetml/2009/9/main" uri="{504A1905-F514-4f6f-8877-14C23A59335A}">
      <x14:table altTextSummary="U ovu tablicu unesite ili izmijenite stavke isplaćenog novca i vrijednosti za svaki mjesec. Podzbroj se automatski izračunava na kraju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OstaliOperativniPodaci" displayName="OstaliOperativniPodaci" ref="B55:P61" headerRowDxfId="97" dataDxfId="95" headerRowBorderDxfId="96" tableBorderDxfId="94">
  <autoFilter ref="B55:P61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300-000001000000}" name="OSTALI OPERATIVNI PODACI" totalsRowLabel="Zbroj" dataDxfId="93" totalsRowDxfId="46"/>
    <tableColumn id="2" xr3:uid="{00000000-0010-0000-0300-000002000000}" name=" " dataDxfId="92" totalsRowDxfId="47"/>
    <tableColumn id="3" xr3:uid="{00000000-0010-0000-0300-000003000000}" name="sij-18" dataDxfId="91" totalsRowDxfId="48"/>
    <tableColumn id="4" xr3:uid="{00000000-0010-0000-0300-000004000000}" name="vlj-18" dataDxfId="90" totalsRowDxfId="49"/>
    <tableColumn id="5" xr3:uid="{00000000-0010-0000-0300-000005000000}" name="ožu-18" dataDxfId="89" totalsRowDxfId="50"/>
    <tableColumn id="6" xr3:uid="{00000000-0010-0000-0300-000006000000}" name="tra-18" dataDxfId="88" totalsRowDxfId="51"/>
    <tableColumn id="7" xr3:uid="{00000000-0010-0000-0300-000007000000}" name="svi-18" dataDxfId="87" totalsRowDxfId="52"/>
    <tableColumn id="8" xr3:uid="{00000000-0010-0000-0300-000008000000}" name="lip-18" dataDxfId="86" totalsRowDxfId="53"/>
    <tableColumn id="9" xr3:uid="{00000000-0010-0000-0300-000009000000}" name="srp-18" dataDxfId="85" totalsRowDxfId="54"/>
    <tableColumn id="10" xr3:uid="{00000000-0010-0000-0300-00000A000000}" name="kol-18" dataDxfId="84" totalsRowDxfId="55"/>
    <tableColumn id="11" xr3:uid="{00000000-0010-0000-0300-00000B000000}" name="ruj-18" dataDxfId="83" totalsRowDxfId="56"/>
    <tableColumn id="12" xr3:uid="{00000000-0010-0000-0300-00000C000000}" name="lis-18" dataDxfId="82" totalsRowDxfId="57"/>
    <tableColumn id="13" xr3:uid="{00000000-0010-0000-0300-00000D000000}" name="stu-18" dataDxfId="81" totalsRowDxfId="58"/>
    <tableColumn id="14" xr3:uid="{00000000-0010-0000-0300-00000E000000}" name="pro-18" dataDxfId="80" totalsRowDxfId="59"/>
    <tableColumn id="15" xr3:uid="{00000000-0010-0000-0300-00000F000000}" name="Zbroj" totalsRowFunction="sum" dataDxfId="79" totalsRowDxfId="60">
      <calculatedColumnFormula>SUM(OstaliOperativniPodaci[[#This Row],[sij-18]:[pro-18]])</calculatedColumnFormula>
    </tableColumn>
  </tableColumns>
  <tableStyleInfo name="Novac" showFirstColumn="1" showLastColumn="0" showRowStripes="0" showColumnStripes="0"/>
  <extLst>
    <ext xmlns:x14="http://schemas.microsoft.com/office/spreadsheetml/2009/9/main" uri="{504A1905-F514-4f6f-8877-14C23A59335A}">
      <x14:table altTextSummary="U ovu tablicu unesite ili izmijenite stavke ostalih operativnih podataka i vrijednosti za svaki mjesec. Ukupan zbroj automatski se izračunava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IsplaćeniNovac" displayName="IsplaćeniNovac" ref="B46:P52" totalsRowCount="1" headerRowDxfId="78" dataDxfId="77" tableBorderDxfId="76">
  <autoFilter ref="B46:P5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400-000001000000}" name="ISPLAĆENI NOVAC" totalsRowLabel="UKUPNI ISPLAĆENI NOVAC" dataDxfId="75" totalsRowDxfId="44"/>
    <tableColumn id="2" xr3:uid="{00000000-0010-0000-0400-000002000000}" name=" " dataDxfId="74" totalsRowDxfId="43"/>
    <tableColumn id="3" xr3:uid="{00000000-0010-0000-0400-000003000000}" name="sij-18" totalsRowFunction="custom" dataDxfId="73" totalsRowDxfId="42">
      <totalsRowFormula>Izdaci[[#Totals],[sij-18]]+SUBTOTAL(109,IsplaćeniNovac[sij-18])</totalsRowFormula>
    </tableColumn>
    <tableColumn id="4" xr3:uid="{00000000-0010-0000-0400-000004000000}" name="vlj-18" totalsRowFunction="custom" dataDxfId="72" totalsRowDxfId="41">
      <totalsRowFormula>Izdaci[[#Totals],[vlj-18]]+SUBTOTAL(109,IsplaćeniNovac[vlj-18])</totalsRowFormula>
    </tableColumn>
    <tableColumn id="5" xr3:uid="{00000000-0010-0000-0400-000005000000}" name="ožu-18" totalsRowFunction="custom" dataDxfId="71" totalsRowDxfId="40">
      <totalsRowFormula>Izdaci[[#Totals],[ožu-18]]+SUBTOTAL(109,IsplaćeniNovac[ožu-18])</totalsRowFormula>
    </tableColumn>
    <tableColumn id="6" xr3:uid="{00000000-0010-0000-0400-000006000000}" name="tra-18" totalsRowFunction="custom" dataDxfId="70" totalsRowDxfId="39">
      <totalsRowFormula>Izdaci[[#Totals],[tra-18]]+SUBTOTAL(109,IsplaćeniNovac[tra-18])</totalsRowFormula>
    </tableColumn>
    <tableColumn id="7" xr3:uid="{00000000-0010-0000-0400-000007000000}" name="svi-18" totalsRowFunction="custom" dataDxfId="69" totalsRowDxfId="38">
      <totalsRowFormula>Izdaci[[#Totals],[svi-18]]+SUBTOTAL(109,IsplaćeniNovac[svi-18])</totalsRowFormula>
    </tableColumn>
    <tableColumn id="8" xr3:uid="{00000000-0010-0000-0400-000008000000}" name="lip-18" totalsRowFunction="custom" dataDxfId="68" totalsRowDxfId="37">
      <totalsRowFormula>Izdaci[[#Totals],[lip-18]]+SUBTOTAL(109,IsplaćeniNovac[lip-18])</totalsRowFormula>
    </tableColumn>
    <tableColumn id="9" xr3:uid="{00000000-0010-0000-0400-000009000000}" name="srp-18" totalsRowFunction="custom" dataDxfId="67" totalsRowDxfId="36">
      <totalsRowFormula>Izdaci[[#Totals],[srp-18]]+SUBTOTAL(109,IsplaćeniNovac[srp-18])</totalsRowFormula>
    </tableColumn>
    <tableColumn id="10" xr3:uid="{00000000-0010-0000-0400-00000A000000}" name="kol-18" totalsRowFunction="custom" dataDxfId="66" totalsRowDxfId="35">
      <totalsRowFormula>Izdaci[[#Totals],[kol-18]]+SUBTOTAL(109,IsplaćeniNovac[kol-18])</totalsRowFormula>
    </tableColumn>
    <tableColumn id="11" xr3:uid="{00000000-0010-0000-0400-00000B000000}" name="ruj-18" totalsRowFunction="custom" dataDxfId="65" totalsRowDxfId="34">
      <totalsRowFormula>Izdaci[[#Totals],[ruj-18]]+SUBTOTAL(109,IsplaćeniNovac[ruj-18])</totalsRowFormula>
    </tableColumn>
    <tableColumn id="12" xr3:uid="{00000000-0010-0000-0400-00000C000000}" name="lis-18" totalsRowFunction="custom" dataDxfId="64" totalsRowDxfId="33">
      <totalsRowFormula>Izdaci[[#Totals],[lis-18]]+SUBTOTAL(109,IsplaćeniNovac[lis-18])</totalsRowFormula>
    </tableColumn>
    <tableColumn id="13" xr3:uid="{00000000-0010-0000-0400-00000D000000}" name="stu-18" totalsRowFunction="custom" dataDxfId="63" totalsRowDxfId="32">
      <totalsRowFormula>Izdaci[[#Totals],[stu-18]]+SUBTOTAL(109,IsplaćeniNovac[stu-18])</totalsRowFormula>
    </tableColumn>
    <tableColumn id="14" xr3:uid="{00000000-0010-0000-0400-00000E000000}" name="pro-18" totalsRowFunction="custom" dataDxfId="62" totalsRowDxfId="31">
      <totalsRowFormula>Izdaci[[#Totals],[pro-18]]+SUBTOTAL(109,IsplaćeniNovac[pro-18])</totalsRowFormula>
    </tableColumn>
    <tableColumn id="15" xr3:uid="{00000000-0010-0000-0400-00000F000000}" name="Zbroj" totalsRowFunction="custom" dataDxfId="61" totalsRowDxfId="30">
      <calculatedColumnFormula>SUM(D47:O47)</calculatedColumnFormula>
      <totalsRowFormula>SUM(D52:O52)</totalsRowFormula>
    </tableColumn>
  </tableColumns>
  <tableStyleInfo name="Novac" showFirstColumn="1" showLastColumn="0" showRowStripes="0" showColumnStripes="0"/>
  <extLst>
    <ext xmlns:x14="http://schemas.microsoft.com/office/spreadsheetml/2009/9/main" uri="{504A1905-F514-4f6f-8877-14C23A59335A}">
      <x14:table altTextSummary="U ovu tablicu unesite ili izmijenite stavke isplaćenog novca i vrijednosti za svaki mjesec. Ukupan isplaćeni novac i novac u blagajni automatski se izračunavaju na kraju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Q61"/>
  <sheetViews>
    <sheetView showGridLines="0" tabSelected="1" zoomScaleNormal="100" workbookViewId="0"/>
  </sheetViews>
  <sheetFormatPr defaultColWidth="9.33203125" defaultRowHeight="11.25" x14ac:dyDescent="0.2"/>
  <cols>
    <col min="1" max="1" width="2.83203125" style="10" customWidth="1"/>
    <col min="2" max="2" width="39.6640625" style="14" customWidth="1"/>
    <col min="3" max="3" width="14.5" style="10" customWidth="1"/>
    <col min="4" max="10" width="11.83203125" style="10" customWidth="1"/>
    <col min="11" max="16" width="12.83203125" style="10" customWidth="1"/>
    <col min="17" max="17" width="2.83203125" style="10" customWidth="1"/>
    <col min="18" max="16384" width="9.33203125" style="10"/>
  </cols>
  <sheetData>
    <row r="1" spans="2:17" s="1" customFormat="1" ht="22.5" customHeight="1" x14ac:dyDescent="0.2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2:17" s="1" customFormat="1" ht="18" x14ac:dyDescent="0.25"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2:17" s="1" customFormat="1" ht="12.75" x14ac:dyDescent="0.2">
      <c r="B3" s="15" t="s">
        <v>2</v>
      </c>
      <c r="C3" s="68">
        <f ca="1">TODAY()</f>
        <v>43579</v>
      </c>
    </row>
    <row r="4" spans="2:17" s="1" customFormat="1" ht="12.75" customHeight="1" x14ac:dyDescent="0.2">
      <c r="B4" s="15" t="s">
        <v>3</v>
      </c>
      <c r="C4" s="3"/>
      <c r="D4" s="67">
        <f t="shared" ref="D4" si="0">Minimum_novca</f>
        <v>0</v>
      </c>
      <c r="E4" s="67">
        <f t="shared" ref="E4:O4" si="1">Minimum_novca</f>
        <v>0</v>
      </c>
      <c r="F4" s="67">
        <f t="shared" si="1"/>
        <v>0</v>
      </c>
      <c r="G4" s="67">
        <f t="shared" si="1"/>
        <v>0</v>
      </c>
      <c r="H4" s="67">
        <f t="shared" si="1"/>
        <v>0</v>
      </c>
      <c r="I4" s="67">
        <f t="shared" si="1"/>
        <v>0</v>
      </c>
      <c r="J4" s="67">
        <f t="shared" si="1"/>
        <v>0</v>
      </c>
      <c r="K4" s="67">
        <f t="shared" si="1"/>
        <v>0</v>
      </c>
      <c r="L4" s="67">
        <f t="shared" si="1"/>
        <v>0</v>
      </c>
      <c r="M4" s="67">
        <f t="shared" si="1"/>
        <v>0</v>
      </c>
      <c r="N4" s="67">
        <f t="shared" si="1"/>
        <v>0</v>
      </c>
      <c r="O4" s="67">
        <f t="shared" si="1"/>
        <v>0</v>
      </c>
    </row>
    <row r="5" spans="2:17" s="1" customFormat="1" ht="12.75" x14ac:dyDescent="0.2">
      <c r="B5" s="15"/>
      <c r="H5" s="4"/>
      <c r="J5" s="5"/>
      <c r="K5" s="5"/>
      <c r="L5" s="5"/>
    </row>
    <row r="6" spans="2:17" s="7" customFormat="1" x14ac:dyDescent="0.2">
      <c r="B6" s="6"/>
      <c r="C6" s="33" t="s">
        <v>53</v>
      </c>
      <c r="D6" s="69" t="s">
        <v>56</v>
      </c>
      <c r="E6" s="69" t="s">
        <v>57</v>
      </c>
      <c r="F6" s="69" t="s">
        <v>58</v>
      </c>
      <c r="G6" s="69" t="s">
        <v>59</v>
      </c>
      <c r="H6" s="69" t="s">
        <v>60</v>
      </c>
      <c r="I6" s="69" t="s">
        <v>61</v>
      </c>
      <c r="J6" s="69" t="s">
        <v>62</v>
      </c>
      <c r="K6" s="69" t="s">
        <v>63</v>
      </c>
      <c r="L6" s="69" t="s">
        <v>64</v>
      </c>
      <c r="M6" s="69" t="s">
        <v>65</v>
      </c>
      <c r="N6" s="69" t="s">
        <v>66</v>
      </c>
      <c r="O6" s="69" t="s">
        <v>67</v>
      </c>
      <c r="P6" s="55" t="s">
        <v>68</v>
      </c>
    </row>
    <row r="7" spans="2:17" ht="22.5" x14ac:dyDescent="0.2">
      <c r="B7" s="8" t="s">
        <v>4</v>
      </c>
      <c r="C7" s="23"/>
      <c r="D7" s="16">
        <f t="shared" ref="D7:O7" si="2">C53</f>
        <v>0</v>
      </c>
      <c r="E7" s="16">
        <f t="shared" si="2"/>
        <v>0</v>
      </c>
      <c r="F7" s="16">
        <f t="shared" si="2"/>
        <v>0</v>
      </c>
      <c r="G7" s="16">
        <f t="shared" si="2"/>
        <v>0</v>
      </c>
      <c r="H7" s="16">
        <f t="shared" si="2"/>
        <v>0</v>
      </c>
      <c r="I7" s="16">
        <f t="shared" si="2"/>
        <v>0</v>
      </c>
      <c r="J7" s="16">
        <f t="shared" si="2"/>
        <v>0</v>
      </c>
      <c r="K7" s="16">
        <f t="shared" si="2"/>
        <v>0</v>
      </c>
      <c r="L7" s="16">
        <f t="shared" si="2"/>
        <v>0</v>
      </c>
      <c r="M7" s="16">
        <f t="shared" si="2"/>
        <v>0</v>
      </c>
      <c r="N7" s="16">
        <f t="shared" si="2"/>
        <v>0</v>
      </c>
      <c r="O7" s="16">
        <f t="shared" si="2"/>
        <v>0</v>
      </c>
      <c r="P7" s="22"/>
    </row>
    <row r="8" spans="2:17" x14ac:dyDescent="0.2">
      <c r="B8" s="12"/>
      <c r="C8"/>
      <c r="D8"/>
      <c r="E8"/>
      <c r="F8"/>
      <c r="G8"/>
      <c r="H8"/>
      <c r="I8"/>
      <c r="J8"/>
      <c r="K8"/>
      <c r="L8"/>
      <c r="M8"/>
      <c r="N8"/>
      <c r="O8"/>
      <c r="P8"/>
      <c r="Q8" s="7"/>
    </row>
    <row r="9" spans="2:17" x14ac:dyDescent="0.2">
      <c r="B9" s="19" t="s">
        <v>5</v>
      </c>
      <c r="C9" s="21" t="s">
        <v>54</v>
      </c>
      <c r="D9" s="70" t="s">
        <v>56</v>
      </c>
      <c r="E9" s="70" t="s">
        <v>57</v>
      </c>
      <c r="F9" s="70" t="s">
        <v>58</v>
      </c>
      <c r="G9" s="70" t="s">
        <v>59</v>
      </c>
      <c r="H9" s="70" t="s">
        <v>60</v>
      </c>
      <c r="I9" s="70" t="s">
        <v>61</v>
      </c>
      <c r="J9" s="70" t="s">
        <v>62</v>
      </c>
      <c r="K9" s="70" t="s">
        <v>63</v>
      </c>
      <c r="L9" s="70" t="s">
        <v>64</v>
      </c>
      <c r="M9" s="70" t="s">
        <v>65</v>
      </c>
      <c r="N9" s="70" t="s">
        <v>66</v>
      </c>
      <c r="O9" s="70" t="s">
        <v>67</v>
      </c>
      <c r="P9" s="52" t="s">
        <v>68</v>
      </c>
    </row>
    <row r="10" spans="2:17" x14ac:dyDescent="0.2">
      <c r="B10" s="60" t="s">
        <v>6</v>
      </c>
      <c r="C10" s="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20">
        <f t="shared" ref="P10:P15" si="3">SUM(D10:O10)</f>
        <v>0</v>
      </c>
    </row>
    <row r="11" spans="2:17" x14ac:dyDescent="0.2">
      <c r="B11" s="60" t="s">
        <v>7</v>
      </c>
      <c r="C11" s="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20">
        <f t="shared" si="3"/>
        <v>0</v>
      </c>
    </row>
    <row r="12" spans="2:17" x14ac:dyDescent="0.2">
      <c r="B12" s="60" t="s">
        <v>8</v>
      </c>
      <c r="C12" s="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20">
        <f t="shared" si="3"/>
        <v>0</v>
      </c>
    </row>
    <row r="13" spans="2:17" x14ac:dyDescent="0.2">
      <c r="B13" s="60" t="s">
        <v>9</v>
      </c>
      <c r="C13" s="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0">
        <f t="shared" si="3"/>
        <v>0</v>
      </c>
    </row>
    <row r="14" spans="2:17" x14ac:dyDescent="0.2">
      <c r="B14" s="60" t="s">
        <v>10</v>
      </c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20">
        <f t="shared" si="3"/>
        <v>0</v>
      </c>
    </row>
    <row r="15" spans="2:17" x14ac:dyDescent="0.2">
      <c r="B15" s="60" t="s">
        <v>11</v>
      </c>
      <c r="C15" s="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20">
        <f t="shared" si="3"/>
        <v>0</v>
      </c>
    </row>
    <row r="16" spans="2:17" x14ac:dyDescent="0.2">
      <c r="B16" s="45" t="s">
        <v>12</v>
      </c>
      <c r="C16" s="46"/>
      <c r="D16" s="38">
        <f t="shared" ref="D16:O16" si="4">SUM(D10,D12:D15,(D11*-1))</f>
        <v>0</v>
      </c>
      <c r="E16" s="38">
        <f t="shared" si="4"/>
        <v>0</v>
      </c>
      <c r="F16" s="63">
        <f t="shared" si="4"/>
        <v>0</v>
      </c>
      <c r="G16" s="63">
        <f t="shared" si="4"/>
        <v>0</v>
      </c>
      <c r="H16" s="63">
        <f t="shared" si="4"/>
        <v>0</v>
      </c>
      <c r="I16" s="63">
        <f t="shared" si="4"/>
        <v>0</v>
      </c>
      <c r="J16" s="63">
        <f t="shared" si="4"/>
        <v>0</v>
      </c>
      <c r="K16" s="63">
        <f t="shared" si="4"/>
        <v>0</v>
      </c>
      <c r="L16" s="63">
        <f t="shared" si="4"/>
        <v>0</v>
      </c>
      <c r="M16" s="63">
        <f t="shared" si="4"/>
        <v>0</v>
      </c>
      <c r="N16" s="63">
        <f t="shared" si="4"/>
        <v>0</v>
      </c>
      <c r="O16" s="63">
        <f t="shared" si="4"/>
        <v>0</v>
      </c>
      <c r="P16" s="37">
        <f>SUBTOTAL(109,NovčaniPrimici[Zbroj])</f>
        <v>0</v>
      </c>
    </row>
    <row r="17" spans="2:16" s="7" customFormat="1" x14ac:dyDescent="0.2">
      <c r="B17" s="8" t="s">
        <v>13</v>
      </c>
      <c r="C17" s="17">
        <f>(C7+NovčaniPrimici[[#Totals],[ ]])</f>
        <v>0</v>
      </c>
      <c r="D17" s="17">
        <f>(D7+NovčaniPrimici[[#Totals],[sij-18]])</f>
        <v>0</v>
      </c>
      <c r="E17" s="17">
        <f>(E7+NovčaniPrimici[[#Totals],[vlj-18]])</f>
        <v>0</v>
      </c>
      <c r="F17" s="17">
        <f>(F7+NovčaniPrimici[[#Totals],[ožu-18]])</f>
        <v>0</v>
      </c>
      <c r="G17" s="17">
        <f>(G7+NovčaniPrimici[[#Totals],[tra-18]])</f>
        <v>0</v>
      </c>
      <c r="H17" s="17">
        <f>(H7+NovčaniPrimici[[#Totals],[svi-18]])</f>
        <v>0</v>
      </c>
      <c r="I17" s="17">
        <f>(I7+NovčaniPrimici[[#Totals],[lip-18]])</f>
        <v>0</v>
      </c>
      <c r="J17" s="17">
        <f>(J7+NovčaniPrimici[[#Totals],[srp-18]])</f>
        <v>0</v>
      </c>
      <c r="K17" s="17">
        <f>(K7+NovčaniPrimici[[#Totals],[kol-18]])</f>
        <v>0</v>
      </c>
      <c r="L17" s="17">
        <f>(L7+NovčaniPrimici[[#Totals],[ruj-18]])</f>
        <v>0</v>
      </c>
      <c r="M17" s="17">
        <f>(M7+NovčaniPrimici[[#Totals],[lis-18]])</f>
        <v>0</v>
      </c>
      <c r="N17" s="17">
        <f>(N7+NovčaniPrimici[[#Totals],[stu-18]])</f>
        <v>0</v>
      </c>
      <c r="O17" s="17">
        <f>(O7+NovčaniPrimici[[#Totals],[pro-18]])</f>
        <v>0</v>
      </c>
      <c r="P17" s="9"/>
    </row>
    <row r="18" spans="2:16" s="59" customFormat="1" x14ac:dyDescent="0.2"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8"/>
    </row>
    <row r="19" spans="2:16" x14ac:dyDescent="0.2">
      <c r="B19" s="19" t="s">
        <v>14</v>
      </c>
      <c r="C19" s="21" t="s">
        <v>54</v>
      </c>
      <c r="D19" s="70" t="s">
        <v>56</v>
      </c>
      <c r="E19" s="70" t="s">
        <v>57</v>
      </c>
      <c r="F19" s="70" t="s">
        <v>58</v>
      </c>
      <c r="G19" s="70" t="s">
        <v>59</v>
      </c>
      <c r="H19" s="70" t="s">
        <v>60</v>
      </c>
      <c r="I19" s="70" t="s">
        <v>61</v>
      </c>
      <c r="J19" s="70" t="s">
        <v>62</v>
      </c>
      <c r="K19" s="70" t="s">
        <v>63</v>
      </c>
      <c r="L19" s="70" t="s">
        <v>64</v>
      </c>
      <c r="M19" s="70" t="s">
        <v>65</v>
      </c>
      <c r="N19" s="70" t="s">
        <v>66</v>
      </c>
      <c r="O19" s="70" t="s">
        <v>67</v>
      </c>
      <c r="P19" s="52" t="s">
        <v>68</v>
      </c>
    </row>
    <row r="20" spans="2:16" x14ac:dyDescent="0.2">
      <c r="B20" s="61" t="s">
        <v>15</v>
      </c>
      <c r="C20" s="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0">
        <f t="shared" ref="P20:P44" si="5">SUM(D20:O20)</f>
        <v>0</v>
      </c>
    </row>
    <row r="21" spans="2:16" x14ac:dyDescent="0.2">
      <c r="B21" s="61" t="s">
        <v>16</v>
      </c>
      <c r="C21" s="9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0">
        <f t="shared" si="5"/>
        <v>0</v>
      </c>
    </row>
    <row r="22" spans="2:16" x14ac:dyDescent="0.2">
      <c r="B22" s="61" t="s">
        <v>17</v>
      </c>
      <c r="C22" s="9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0">
        <f t="shared" si="5"/>
        <v>0</v>
      </c>
    </row>
    <row r="23" spans="2:16" x14ac:dyDescent="0.2">
      <c r="B23" s="61" t="s">
        <v>18</v>
      </c>
      <c r="C23" s="9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0">
        <f t="shared" si="5"/>
        <v>0</v>
      </c>
    </row>
    <row r="24" spans="2:16" x14ac:dyDescent="0.2">
      <c r="B24" s="61" t="s">
        <v>19</v>
      </c>
      <c r="C24" s="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0">
        <f t="shared" si="5"/>
        <v>0</v>
      </c>
    </row>
    <row r="25" spans="2:16" x14ac:dyDescent="0.2">
      <c r="B25" s="24" t="s">
        <v>20</v>
      </c>
      <c r="C25" s="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0">
        <f t="shared" si="5"/>
        <v>0</v>
      </c>
    </row>
    <row r="26" spans="2:16" ht="11.25" customHeight="1" x14ac:dyDescent="0.2">
      <c r="B26" s="61" t="s">
        <v>21</v>
      </c>
      <c r="C26" s="9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0">
        <f t="shared" si="5"/>
        <v>0</v>
      </c>
    </row>
    <row r="27" spans="2:16" x14ac:dyDescent="0.2">
      <c r="B27" s="61" t="s">
        <v>22</v>
      </c>
      <c r="C27" s="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0">
        <f t="shared" si="5"/>
        <v>0</v>
      </c>
    </row>
    <row r="28" spans="2:16" x14ac:dyDescent="0.2">
      <c r="B28" s="61" t="s">
        <v>23</v>
      </c>
      <c r="C28" s="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0">
        <f t="shared" si="5"/>
        <v>0</v>
      </c>
    </row>
    <row r="29" spans="2:16" x14ac:dyDescent="0.2">
      <c r="B29" s="61" t="s">
        <v>24</v>
      </c>
      <c r="C29" s="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0">
        <f t="shared" si="5"/>
        <v>0</v>
      </c>
    </row>
    <row r="30" spans="2:16" x14ac:dyDescent="0.2">
      <c r="B30" s="61" t="s">
        <v>25</v>
      </c>
      <c r="C30" s="9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0">
        <f t="shared" si="5"/>
        <v>0</v>
      </c>
    </row>
    <row r="31" spans="2:16" x14ac:dyDescent="0.2">
      <c r="B31" s="61" t="s">
        <v>26</v>
      </c>
      <c r="C31" s="9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20">
        <f t="shared" si="5"/>
        <v>0</v>
      </c>
    </row>
    <row r="32" spans="2:16" x14ac:dyDescent="0.2">
      <c r="B32" s="61" t="s">
        <v>27</v>
      </c>
      <c r="C32" s="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0">
        <f t="shared" si="5"/>
        <v>0</v>
      </c>
    </row>
    <row r="33" spans="2:16" x14ac:dyDescent="0.2">
      <c r="B33" s="61" t="s">
        <v>28</v>
      </c>
      <c r="C33" s="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0">
        <f t="shared" si="5"/>
        <v>0</v>
      </c>
    </row>
    <row r="34" spans="2:16" x14ac:dyDescent="0.2">
      <c r="B34" s="61" t="s">
        <v>29</v>
      </c>
      <c r="C34" s="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0">
        <f t="shared" si="5"/>
        <v>0</v>
      </c>
    </row>
    <row r="35" spans="2:16" x14ac:dyDescent="0.2">
      <c r="B35" s="61" t="s">
        <v>30</v>
      </c>
      <c r="C35" s="9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0">
        <f t="shared" si="5"/>
        <v>0</v>
      </c>
    </row>
    <row r="36" spans="2:16" ht="11.25" customHeight="1" x14ac:dyDescent="0.2">
      <c r="B36" s="61" t="s">
        <v>31</v>
      </c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20">
        <f t="shared" si="5"/>
        <v>0</v>
      </c>
    </row>
    <row r="37" spans="2:16" x14ac:dyDescent="0.2">
      <c r="B37" s="61" t="s">
        <v>32</v>
      </c>
      <c r="C37" s="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20">
        <f t="shared" si="5"/>
        <v>0</v>
      </c>
    </row>
    <row r="38" spans="2:16" x14ac:dyDescent="0.2">
      <c r="B38" s="61" t="s">
        <v>33</v>
      </c>
      <c r="C38" s="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20">
        <f t="shared" si="5"/>
        <v>0</v>
      </c>
    </row>
    <row r="39" spans="2:16" ht="11.25" customHeight="1" x14ac:dyDescent="0.2">
      <c r="B39" s="61" t="s">
        <v>34</v>
      </c>
      <c r="C39" s="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20">
        <f t="shared" si="5"/>
        <v>0</v>
      </c>
    </row>
    <row r="40" spans="2:16" ht="11.25" customHeight="1" x14ac:dyDescent="0.2">
      <c r="B40" s="62" t="s">
        <v>35</v>
      </c>
      <c r="C40" s="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20">
        <f t="shared" si="5"/>
        <v>0</v>
      </c>
    </row>
    <row r="41" spans="2:16" x14ac:dyDescent="0.2">
      <c r="B41" s="25" t="s">
        <v>36</v>
      </c>
      <c r="C41" s="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20">
        <f t="shared" si="5"/>
        <v>0</v>
      </c>
    </row>
    <row r="42" spans="2:16" x14ac:dyDescent="0.2">
      <c r="B42" s="25" t="s">
        <v>36</v>
      </c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20">
        <f t="shared" si="5"/>
        <v>0</v>
      </c>
    </row>
    <row r="43" spans="2:16" x14ac:dyDescent="0.2">
      <c r="B43" s="25" t="s">
        <v>36</v>
      </c>
      <c r="C43" s="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20">
        <f t="shared" si="5"/>
        <v>0</v>
      </c>
    </row>
    <row r="44" spans="2:16" x14ac:dyDescent="0.2">
      <c r="B44" s="25" t="s">
        <v>37</v>
      </c>
      <c r="C44" s="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20">
        <f t="shared" si="5"/>
        <v>0</v>
      </c>
    </row>
    <row r="45" spans="2:16" x14ac:dyDescent="0.2">
      <c r="B45" s="47" t="s">
        <v>38</v>
      </c>
      <c r="C45" s="36"/>
      <c r="D45" s="38">
        <f>SUBTOTAL(109,Izdaci[sij-18])</f>
        <v>0</v>
      </c>
      <c r="E45" s="38">
        <f>SUBTOTAL(109,Izdaci[vlj-18])</f>
        <v>0</v>
      </c>
      <c r="F45" s="38">
        <f>SUBTOTAL(109,Izdaci[ožu-18])</f>
        <v>0</v>
      </c>
      <c r="G45" s="38">
        <f>SUBTOTAL(109,Izdaci[tra-18])</f>
        <v>0</v>
      </c>
      <c r="H45" s="38">
        <f>SUBTOTAL(109,Izdaci[svi-18])</f>
        <v>0</v>
      </c>
      <c r="I45" s="38">
        <f>SUBTOTAL(109,Izdaci[lip-18])</f>
        <v>0</v>
      </c>
      <c r="J45" s="38">
        <f>SUBTOTAL(109,Izdaci[srp-18])</f>
        <v>0</v>
      </c>
      <c r="K45" s="38">
        <f>SUBTOTAL(109,Izdaci[kol-18])</f>
        <v>0</v>
      </c>
      <c r="L45" s="38">
        <f>SUBTOTAL(109,Izdaci[ruj-18])</f>
        <v>0</v>
      </c>
      <c r="M45" s="38">
        <f>SUBTOTAL(109,Izdaci[lis-18])</f>
        <v>0</v>
      </c>
      <c r="N45" s="38">
        <f>SUBTOTAL(109,Izdaci[stu-18])</f>
        <v>0</v>
      </c>
      <c r="O45" s="38">
        <f>SUBTOTAL(109,Izdaci[pro-18])</f>
        <v>0</v>
      </c>
      <c r="P45" s="37">
        <f>SUBTOTAL(109,Izdaci[Zbroj])</f>
        <v>0</v>
      </c>
    </row>
    <row r="46" spans="2:16" x14ac:dyDescent="0.2">
      <c r="B46" s="49" t="s">
        <v>14</v>
      </c>
      <c r="C46" s="43" t="s">
        <v>54</v>
      </c>
      <c r="D46" s="71" t="s">
        <v>56</v>
      </c>
      <c r="E46" s="71" t="s">
        <v>57</v>
      </c>
      <c r="F46" s="71" t="s">
        <v>58</v>
      </c>
      <c r="G46" s="71" t="s">
        <v>59</v>
      </c>
      <c r="H46" s="71" t="s">
        <v>60</v>
      </c>
      <c r="I46" s="71" t="s">
        <v>61</v>
      </c>
      <c r="J46" s="71" t="s">
        <v>62</v>
      </c>
      <c r="K46" s="71" t="s">
        <v>63</v>
      </c>
      <c r="L46" s="71" t="s">
        <v>64</v>
      </c>
      <c r="M46" s="71" t="s">
        <v>65</v>
      </c>
      <c r="N46" s="71" t="s">
        <v>66</v>
      </c>
      <c r="O46" s="71" t="s">
        <v>67</v>
      </c>
      <c r="P46" s="53" t="s">
        <v>68</v>
      </c>
    </row>
    <row r="47" spans="2:16" x14ac:dyDescent="0.2">
      <c r="B47" s="42" t="s">
        <v>39</v>
      </c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1">
        <f t="shared" ref="P47:P52" si="6">SUM(D47:O47)</f>
        <v>0</v>
      </c>
    </row>
    <row r="48" spans="2:16" x14ac:dyDescent="0.2">
      <c r="B48" s="42" t="s">
        <v>40</v>
      </c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1">
        <f t="shared" si="6"/>
        <v>0</v>
      </c>
    </row>
    <row r="49" spans="2:16" x14ac:dyDescent="0.2">
      <c r="B49" s="42" t="s">
        <v>41</v>
      </c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1">
        <f t="shared" si="6"/>
        <v>0</v>
      </c>
    </row>
    <row r="50" spans="2:16" x14ac:dyDescent="0.2">
      <c r="B50" s="42" t="s">
        <v>42</v>
      </c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>
        <f t="shared" si="6"/>
        <v>0</v>
      </c>
    </row>
    <row r="51" spans="2:16" x14ac:dyDescent="0.2">
      <c r="B51" s="42" t="s">
        <v>43</v>
      </c>
      <c r="C51" s="39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>
        <f t="shared" si="6"/>
        <v>0</v>
      </c>
    </row>
    <row r="52" spans="2:16" x14ac:dyDescent="0.2">
      <c r="B52" s="64" t="s">
        <v>44</v>
      </c>
      <c r="C52" s="48"/>
      <c r="D52" s="65">
        <f>Izdaci[[#Totals],[sij-18]]+SUBTOTAL(109,IsplaćeniNovac[sij-18])</f>
        <v>0</v>
      </c>
      <c r="E52" s="65">
        <f>Izdaci[[#Totals],[vlj-18]]+SUBTOTAL(109,IsplaćeniNovac[vlj-18])</f>
        <v>0</v>
      </c>
      <c r="F52" s="65">
        <f>Izdaci[[#Totals],[ožu-18]]+SUBTOTAL(109,IsplaćeniNovac[ožu-18])</f>
        <v>0</v>
      </c>
      <c r="G52" s="44">
        <f>Izdaci[[#Totals],[tra-18]]+SUBTOTAL(109,IsplaćeniNovac[tra-18])</f>
        <v>0</v>
      </c>
      <c r="H52" s="44">
        <f>Izdaci[[#Totals],[svi-18]]+SUBTOTAL(109,IsplaćeniNovac[svi-18])</f>
        <v>0</v>
      </c>
      <c r="I52" s="44">
        <f>Izdaci[[#Totals],[lip-18]]+SUBTOTAL(109,IsplaćeniNovac[lip-18])</f>
        <v>0</v>
      </c>
      <c r="J52" s="44">
        <f>Izdaci[[#Totals],[srp-18]]+SUBTOTAL(109,IsplaćeniNovac[srp-18])</f>
        <v>0</v>
      </c>
      <c r="K52" s="44">
        <f>Izdaci[[#Totals],[kol-18]]+SUBTOTAL(109,IsplaćeniNovac[kol-18])</f>
        <v>0</v>
      </c>
      <c r="L52" s="44">
        <f>Izdaci[[#Totals],[ruj-18]]+SUBTOTAL(109,IsplaćeniNovac[ruj-18])</f>
        <v>0</v>
      </c>
      <c r="M52" s="44">
        <f>Izdaci[[#Totals],[lis-18]]+SUBTOTAL(109,IsplaćeniNovac[lis-18])</f>
        <v>0</v>
      </c>
      <c r="N52" s="44">
        <f>Izdaci[[#Totals],[stu-18]]+SUBTOTAL(109,IsplaćeniNovac[stu-18])</f>
        <v>0</v>
      </c>
      <c r="O52" s="44">
        <f>Izdaci[[#Totals],[pro-18]]+SUBTOTAL(109,IsplaćeniNovac[pro-18])</f>
        <v>0</v>
      </c>
      <c r="P52" s="65">
        <f t="shared" si="6"/>
        <v>0</v>
      </c>
    </row>
    <row r="53" spans="2:16" x14ac:dyDescent="0.2">
      <c r="B53" s="50" t="s">
        <v>45</v>
      </c>
      <c r="C53" s="20">
        <f>C17</f>
        <v>0</v>
      </c>
      <c r="D53" s="20">
        <f>D17-IsplaćeniNovac[[#Totals],[sij-18]]</f>
        <v>0</v>
      </c>
      <c r="E53" s="20">
        <f>E17-IsplaćeniNovac[[#Totals],[vlj-18]]</f>
        <v>0</v>
      </c>
      <c r="F53" s="20">
        <f>F17-IsplaćeniNovac[[#Totals],[ožu-18]]</f>
        <v>0</v>
      </c>
      <c r="G53" s="20">
        <f>G17-IsplaćeniNovac[[#Totals],[tra-18]]</f>
        <v>0</v>
      </c>
      <c r="H53" s="20">
        <f>H17-IsplaćeniNovac[[#Totals],[svi-18]]</f>
        <v>0</v>
      </c>
      <c r="I53" s="20">
        <f>I17-IsplaćeniNovac[[#Totals],[lip-18]]</f>
        <v>0</v>
      </c>
      <c r="J53" s="20">
        <f>J17-IsplaćeniNovac[[#Totals],[srp-18]]</f>
        <v>0</v>
      </c>
      <c r="K53" s="20">
        <f>K17-IsplaćeniNovac[[#Totals],[kol-18]]</f>
        <v>0</v>
      </c>
      <c r="L53" s="20">
        <f>L17-IsplaćeniNovac[[#Totals],[ruj-18]]</f>
        <v>0</v>
      </c>
      <c r="M53" s="20">
        <f>M17-IsplaćeniNovac[[#Totals],[lis-18]]</f>
        <v>0</v>
      </c>
      <c r="N53" s="20">
        <f>N17-IsplaćeniNovac[[#Totals],[stu-18]]</f>
        <v>0</v>
      </c>
      <c r="O53" s="20">
        <f>O17-IsplaćeniNovac[[#Totals],[pro-18]]</f>
        <v>0</v>
      </c>
      <c r="P53" s="51"/>
    </row>
    <row r="54" spans="2:16" x14ac:dyDescent="0.2"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2:16" x14ac:dyDescent="0.2">
      <c r="B55" s="28" t="s">
        <v>46</v>
      </c>
      <c r="C55" s="29" t="s">
        <v>54</v>
      </c>
      <c r="D55" s="70" t="s">
        <v>56</v>
      </c>
      <c r="E55" s="70" t="s">
        <v>57</v>
      </c>
      <c r="F55" s="70" t="s">
        <v>58</v>
      </c>
      <c r="G55" s="70" t="s">
        <v>59</v>
      </c>
      <c r="H55" s="70" t="s">
        <v>60</v>
      </c>
      <c r="I55" s="70" t="s">
        <v>61</v>
      </c>
      <c r="J55" s="70" t="s">
        <v>62</v>
      </c>
      <c r="K55" s="70" t="s">
        <v>63</v>
      </c>
      <c r="L55" s="70" t="s">
        <v>64</v>
      </c>
      <c r="M55" s="70" t="s">
        <v>65</v>
      </c>
      <c r="N55" s="70" t="s">
        <v>66</v>
      </c>
      <c r="O55" s="70" t="s">
        <v>67</v>
      </c>
      <c r="P55" s="54" t="s">
        <v>68</v>
      </c>
    </row>
    <row r="56" spans="2:16" x14ac:dyDescent="0.2">
      <c r="B56" s="26" t="s">
        <v>47</v>
      </c>
      <c r="C56" s="3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27">
        <f>SUM(OstaliOperativniPodaci[[#This Row],[sij-18]:[pro-18]])</f>
        <v>0</v>
      </c>
    </row>
    <row r="57" spans="2:16" x14ac:dyDescent="0.2">
      <c r="B57" s="30" t="s">
        <v>48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27">
        <f>SUM(OstaliOperativniPodaci[[#This Row],[sij-18]:[pro-18]])</f>
        <v>0</v>
      </c>
    </row>
    <row r="58" spans="2:16" x14ac:dyDescent="0.2">
      <c r="B58" s="30" t="s">
        <v>49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27">
        <f>SUM(OstaliOperativniPodaci[[#This Row],[sij-18]:[pro-18]])</f>
        <v>0</v>
      </c>
    </row>
    <row r="59" spans="2:16" x14ac:dyDescent="0.2">
      <c r="B59" s="30" t="s">
        <v>50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27">
        <f>SUM(OstaliOperativniPodaci[[#This Row],[sij-18]:[pro-18]])</f>
        <v>0</v>
      </c>
    </row>
    <row r="60" spans="2:16" x14ac:dyDescent="0.2">
      <c r="B60" s="30" t="s">
        <v>51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27">
        <f>SUM(OstaliOperativniPodaci[[#This Row],[sij-18]:[pro-18]])</f>
        <v>0</v>
      </c>
    </row>
    <row r="61" spans="2:16" x14ac:dyDescent="0.2">
      <c r="B61" s="31" t="s">
        <v>52</v>
      </c>
      <c r="C61" s="34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27">
        <f>SUM(OstaliOperativniPodaci[[#This Row],[sij-18]:[pro-18]])</f>
        <v>0</v>
      </c>
    </row>
  </sheetData>
  <sheetProtection insertColumns="0" insertRows="0"/>
  <mergeCells count="2">
    <mergeCell ref="B1:P1"/>
    <mergeCell ref="B2:P2"/>
  </mergeCells>
  <phoneticPr fontId="0" type="noConversion"/>
  <conditionalFormatting sqref="C7:O7">
    <cfRule type="cellIs" dxfId="45" priority="1" stopIfTrue="1" operator="lessThanOrEqual">
      <formula>$C$4</formula>
    </cfRule>
  </conditionalFormatting>
  <dataValidations count="27">
    <dataValidation type="decimal" allowBlank="1" showInputMessage="1" sqref="C7 D4:P4" xr:uid="{00000000-0002-0000-0000-000000000000}">
      <formula1>-10000000</formula1>
      <formula2>10000000</formula2>
    </dataValidation>
    <dataValidation type="decimal" operator="lessThanOrEqual" allowBlank="1" showInputMessage="1" showErrorMessage="1" sqref="C17:O17 C53:O53" xr:uid="{00000000-0002-0000-0000-000001000000}">
      <formula1>10000000</formula1>
    </dataValidation>
    <dataValidation type="date" allowBlank="1" showInputMessage="1" showErrorMessage="1" error="Unesite valjani datum." prompt="U ovu ćeliju upišite početni datum" sqref="C3" xr:uid="{00000000-0002-0000-0000-000002000000}">
      <formula1>1</formula1>
      <formula2>73415</formula2>
    </dataValidation>
    <dataValidation type="decimal" operator="lessThanOrEqual" allowBlank="1" showInputMessage="1" sqref="D7:O7" xr:uid="{00000000-0002-0000-0000-000003000000}">
      <formula1>10000000</formula1>
    </dataValidation>
    <dataValidation type="decimal" errorStyle="warning" operator="lessThanOrEqual" allowBlank="1" showInputMessage="1" showErrorMessage="1" error="Unesite broj veći od nule" sqref="P10:P15 P20:P44 P47:P51 P56:P61" xr:uid="{00000000-0002-0000-0000-000004000000}">
      <formula1>10000000</formula1>
    </dataValidation>
    <dataValidation allowBlank="1" showInputMessage="1" showErrorMessage="1" prompt="Stvorite projekciju protoka novca za malu tvrtku na ovom radnom listu. Unesite pojedinosti u tablice s nazivom Novac u blagajni, Novčani primici, Izdaci, Isplaćeni novac, Ostali operativni podaci" sqref="A1" xr:uid="{00000000-0002-0000-0000-000005000000}"/>
    <dataValidation allowBlank="1" showInputMessage="1" showErrorMessage="1" prompt="U ovoj se ćeliji nalazi naziv ovog radnog lista. U ćeliju ispod unesite naziv tvrtke" sqref="B1:P1" xr:uid="{00000000-0002-0000-0000-000006000000}"/>
    <dataValidation allowBlank="1" showInputMessage="1" showErrorMessage="1" prompt="U ovu ćeliju unesite naziv tvrtke, početni datum u ćeliju C3 i minimalno upozorenje za saldo u ćeliju C4" sqref="B2:P2" xr:uid="{00000000-0002-0000-0000-000007000000}"/>
    <dataValidation allowBlank="1" showInputMessage="1" showErrorMessage="1" prompt="U ćeliju s desne strane upišite početni datum" sqref="B3" xr:uid="{00000000-0002-0000-0000-000008000000}"/>
    <dataValidation allowBlank="1" showInputMessage="1" showErrorMessage="1" prompt="U ćeliju s desne strane upišite minimalno upozorenje za saldo" sqref="B4" xr:uid="{00000000-0002-0000-0000-000009000000}"/>
    <dataValidation type="decimal" operator="lessThanOrEqual" allowBlank="1" showInputMessage="1" showErrorMessage="1" error="Unesite broj veći od nule." prompt="U ovu ćeliju unesite minimalno upozorenje za saldo i pojedinosti u tablicu Novac u blagajni, počevši u ćeliji C6. Naljepnica početka mjeseca za Novac u blagajni nalazi se u ćeliji B7" sqref="C4" xr:uid="{00000000-0002-0000-0000-00000A000000}">
      <formula1>10000000</formula1>
    </dataValidation>
    <dataValidation allowBlank="1" showInputMessage="1" showErrorMessage="1" prompt="U tablicu s desne strane unesite pojedinosti" sqref="B6" xr:uid="{00000000-0002-0000-0000-00000B000000}"/>
    <dataValidation allowBlank="1" showInputMessage="1" showErrorMessage="1" prompt="U ćeliju s desne strane unesite Novac u blagajni na početku mjeseca" sqref="B7" xr:uid="{00000000-0002-0000-0000-00000C000000}"/>
    <dataValidation operator="greaterThanOrEqual" allowBlank="1" showInputMessage="1" showErrorMessage="1" error="Unesite broj veći od nule." prompt="U ćeliju ispod unesite Novac u blagajni na početku" sqref="C6" xr:uid="{00000000-0002-0000-0000-00000D000000}"/>
    <dataValidation allowBlank="1" showInputMessage="1" prompt="U ćeliji ispod automatski se izračunava novac u blagajni za ovaj mjesec" sqref="D6:O6" xr:uid="{00000000-0002-0000-0000-00000E000000}"/>
    <dataValidation allowBlank="1" showInputMessage="1" showErrorMessage="1" prompt="Unesite pojedinosti u tablicu Novčani primici u nastavku" sqref="B8" xr:uid="{00000000-0002-0000-0000-00000F000000}"/>
    <dataValidation allowBlank="1" showInputMessage="1" showErrorMessage="1" prompt="U ovaj stupac pod ovim naslovom unesite ili izmijenite stavke novčanih primitaka" sqref="B9" xr:uid="{00000000-0002-0000-0000-000010000000}"/>
    <dataValidation allowBlank="1" showInputMessage="1" prompt="U ovaj stupac pod ovim naslovom unesite vrijednosti za ovaj mjesec" sqref="D55:O55 E9:O9 D19:O19 D46:O46" xr:uid="{00000000-0002-0000-0000-000011000000}"/>
    <dataValidation allowBlank="1" showInputMessage="1" prompt="Ukupan zbroj automatski se izračunava u ovom stupcu pod ovim naslovom. Ukupni novčani primici i ukupan raspoloživi novac automatski se izračunavaju na kraju" sqref="P9" xr:uid="{00000000-0002-0000-0000-000012000000}"/>
    <dataValidation allowBlank="1" showInputMessage="1" showErrorMessage="1" prompt="Unesite pojedinosti u donju tablicu Izdaci i u tablicu Isplaćeni novac koja započinje ćelijom B46" sqref="B18" xr:uid="{00000000-0002-0000-0000-000013000000}"/>
    <dataValidation allowBlank="1" showInputMessage="1" showErrorMessage="1" prompt="U ovaj stupac pod ovim naslovom unesite ili izmijenite stavke isplaćenog novca" sqref="B19 B46" xr:uid="{00000000-0002-0000-0000-000014000000}"/>
    <dataValidation allowBlank="1" showInputMessage="1" showErrorMessage="1" prompt="Ukupan zbroj automatski se izračunava u ovom stupcu pod ovim naslovom. Podzbroj se automatski izračunava na kraju" sqref="P19" xr:uid="{00000000-0002-0000-0000-000015000000}"/>
    <dataValidation allowBlank="1" showInputMessage="1" showErrorMessage="1" prompt="Ukupan zbroj automatski se izračunava u ovom stupcu pod ovim naslovom. Ukupan isplaćeni novac i novac u blagajni na kraju mjeseca automatski se izračunavaju na kraju" sqref="P46" xr:uid="{00000000-0002-0000-0000-000016000000}"/>
    <dataValidation allowBlank="1" showInputMessage="1" showErrorMessage="1" prompt="U ovaj stupac pod ovim naslovom unesite ili izmijenite stavke ostalih operativnih podataka" sqref="B55" xr:uid="{00000000-0002-0000-0000-000017000000}"/>
    <dataValidation allowBlank="1" showInputMessage="1" showErrorMessage="1" prompt="U ovom stupcu pod ovim naslovom automatski se izračunava ukupan zbroj" sqref="P55" xr:uid="{00000000-0002-0000-0000-000018000000}"/>
    <dataValidation allowBlank="1" showInputMessage="1" showErrorMessage="1" prompt="U ovaj stupac pod ovim naslovom unesite vrijednosti za ovaj mjesec" sqref="D9" xr:uid="{00000000-0002-0000-0000-000019000000}"/>
    <dataValidation type="decimal" allowBlank="1" showInputMessage="1" showErrorMessage="1" sqref="D10:O15 D20:O44 D47:O51 D56:O61 C57:C60" xr:uid="{00000000-0002-0000-0000-00001A000000}">
      <formula1>-10000000</formula1>
      <formula2>10000000</formula2>
    </dataValidation>
  </dataValidations>
  <printOptions horizontalCentered="1"/>
  <pageMargins left="0" right="0" top="0.5" bottom="0.25" header="0" footer="0"/>
  <pageSetup paperSize="9" scale="75" orientation="landscape" r:id="rId1"/>
  <headerFooter alignWithMargins="0"/>
  <ignoredErrors>
    <ignoredError sqref="P20:P44" emptyCellReference="1"/>
  </ignoredErrors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B2:Q38"/>
  <sheetViews>
    <sheetView showGridLines="0" workbookViewId="0"/>
  </sheetViews>
  <sheetFormatPr defaultColWidth="9.33203125" defaultRowHeight="11.25" x14ac:dyDescent="0.2"/>
  <cols>
    <col min="1" max="1" width="9.33203125" style="10"/>
    <col min="2" max="2" width="30.1640625" style="10" customWidth="1"/>
    <col min="3" max="3" width="9.33203125" style="10"/>
    <col min="4" max="4" width="13.33203125" style="10" customWidth="1"/>
    <col min="5" max="16384" width="9.33203125" style="10"/>
  </cols>
  <sheetData>
    <row r="2" spans="2:17" x14ac:dyDescent="0.2">
      <c r="B2" s="74" t="s">
        <v>55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2:17" x14ac:dyDescent="0.2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x14ac:dyDescent="0.2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2:17" x14ac:dyDescent="0.2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2:17" x14ac:dyDescent="0.2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2:17" x14ac:dyDescent="0.2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2:17" x14ac:dyDescent="0.2"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</row>
    <row r="9" spans="2:17" x14ac:dyDescent="0.2"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</row>
    <row r="10" spans="2:17" x14ac:dyDescent="0.2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</row>
    <row r="11" spans="2:17" x14ac:dyDescent="0.2"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</row>
    <row r="12" spans="2:17" x14ac:dyDescent="0.2"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2:17" x14ac:dyDescent="0.2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2:17" x14ac:dyDescent="0.2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2:17" x14ac:dyDescent="0.2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2:17" x14ac:dyDescent="0.2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2:17" x14ac:dyDescent="0.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2:17" x14ac:dyDescent="0.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2:17" x14ac:dyDescent="0.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2:17" x14ac:dyDescent="0.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2:17" x14ac:dyDescent="0.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2:17" x14ac:dyDescent="0.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2:17" x14ac:dyDescent="0.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2:17" x14ac:dyDescent="0.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2:17" x14ac:dyDescent="0.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2:17" x14ac:dyDescent="0.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2:17" x14ac:dyDescent="0.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2:17" x14ac:dyDescent="0.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x14ac:dyDescent="0.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2:17" x14ac:dyDescent="0.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2:17" x14ac:dyDescent="0.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2:17" x14ac:dyDescent="0.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7" x14ac:dyDescent="0.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 x14ac:dyDescent="0.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2:17" x14ac:dyDescent="0.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7" spans="2:17" ht="12.75" x14ac:dyDescent="0.2">
      <c r="B37" s="73" t="s">
        <v>3</v>
      </c>
      <c r="C37" s="73"/>
      <c r="D37" s="66">
        <f>[0]!Minimum_novca</f>
        <v>0</v>
      </c>
    </row>
    <row r="38" spans="2:17" ht="12.75" x14ac:dyDescent="0.2">
      <c r="B38" s="2"/>
      <c r="C38" s="18"/>
    </row>
  </sheetData>
  <mergeCells count="2">
    <mergeCell ref="B37:C37"/>
    <mergeCell ref="B2:Q35"/>
  </mergeCells>
  <phoneticPr fontId="3" type="noConversion"/>
  <dataValidations count="3">
    <dataValidation allowBlank="1" showInputMessage="1" showErrorMessage="1" prompt="Grafikon u ćeliji B2 i minimalno upozorenje za saldo u ćeliji D37 automatski se ažuriraju na ovom radnom listu" sqref="A1" xr:uid="{00000000-0002-0000-0100-000000000000}"/>
    <dataValidation allowBlank="1" showInputMessage="1" showErrorMessage="1" prompt="Minimalno upozorenje za saldo automatski se ažurira u ćeliji s desne strane" sqref="B37:C37" xr:uid="{00000000-0002-0000-0100-000001000000}"/>
    <dataValidation allowBlank="1" showInputMessage="1" showErrorMessage="1" prompt="Minimalno upozorenje za saldo automatski se ažurira u ovoj ćeliji" sqref="D37" xr:uid="{00000000-0002-0000-0100-000002000000}"/>
  </dataValidations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51595D-F41B-4D93-B579-8EF94377C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2E6D7E-13F1-464C-9225-372C9DE461E2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863D64DB-3A2E-4E7A-AABA-D3030C824D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Protok novca</vt:lpstr>
      <vt:lpstr>Grafikon protoka novca</vt:lpstr>
      <vt:lpstr>'Protok novca'!Ispis_naslova</vt:lpstr>
      <vt:lpstr>Minimum_novca</vt:lpstr>
      <vt:lpstr>Naziv_tvrtke</vt:lpstr>
      <vt:lpstr>Početak_novca</vt:lpstr>
      <vt:lpstr>Početni_datum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2019-03-04T05:37:55Z</dcterms:created>
  <dcterms:modified xsi:type="dcterms:W3CDTF">2019-04-24T09:33:06Z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