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xr:revisionPtr revIDLastSave="0" documentId="13_ncr:1_{1CB117D7-552D-4D36-85D0-1EB1782E86DB}" xr6:coauthVersionLast="36" xr6:coauthVersionMax="43" xr10:uidLastSave="{00000000-0000-0000-0000-000000000000}"/>
  <bookViews>
    <workbookView xWindow="810" yWindow="-120" windowWidth="28920" windowHeight="16110" xr2:uid="{00000000-000D-0000-FFFF-FFFF00000000}"/>
  </bookViews>
  <sheets>
    <sheet name="Chiffre d’affaires (ventes)" sheetId="2" r:id="rId1"/>
    <sheet name="Coût des ventes" sheetId="3" r:id="rId2"/>
    <sheet name="Dépenses" sheetId="4" r:id="rId3"/>
  </sheets>
  <definedNames>
    <definedName name="FYMonthNo">IF(FYMonthStart="JANV",1,IF(FYMonthStart="FÉVR.",2,IF(FYMonthStart="MARS.",3,IF(FYMonthStart="AVR.",4,IF(FYMonthStart="MAI",5,IF(FYMonthStart="JUIN",6,IF(FYMonthStart="JUIL.",7,IF(FYMonthStart="AOÛT",8,IF(FYMonthStart="SEPT.",9,IF(FYMonthStart="OCT.",10,IF(FYMonthStart="NOV.",11,12)))))))))))</definedName>
    <definedName name="FYMonthStart">'Chiffre d’affaires (ventes)'!$F$2</definedName>
    <definedName name="FYStartYear">'Chiffre d’affaires (ventes)'!$G$2</definedName>
    <definedName name="Nom_Entreprise">'Chiffre d’affaires (ventes)'!$B$1</definedName>
    <definedName name="_xlnm.Print_Titles" localSheetId="0">'Chiffre d’affaires (ventes)'!$5:$6</definedName>
    <definedName name="_xlnm.Print_Titles" localSheetId="1">'Coût des ventes'!$5:$6</definedName>
    <definedName name="_xlnm.Print_Titles" localSheetId="2">Dépenses!$5:$6</definedName>
    <definedName name="Titre_Feuille_Calcul">'Chiffre d’affaires (ventes)'!$B$3</definedName>
    <definedName name="Titre_Période_Prévisions">'Chiffre d’affaires (ventes)'!$B$2</definedName>
    <definedName name="Titre1">Chiffre_d’affaires[[#Headers],[CHIFFRE D’AFFAIRES (VENTES)]]</definedName>
    <definedName name="Titre2">CoûtdesVentes[[#Headers],[COÛT DES VENTES]]</definedName>
    <definedName name="Titre3">tblDépenses[[#Headers],[DÉPENSES]]</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14" i="2" l="1"/>
  <c r="E14" i="2"/>
  <c r="F14" i="2"/>
  <c r="T8" i="2" s="1"/>
  <c r="G14" i="2"/>
  <c r="H14" i="2"/>
  <c r="V8" i="2" s="1"/>
  <c r="I14" i="2"/>
  <c r="J14" i="2"/>
  <c r="X8" i="2" s="1"/>
  <c r="K14" i="2"/>
  <c r="L14" i="2"/>
  <c r="Z8" i="2" s="1"/>
  <c r="M14" i="2"/>
  <c r="N14" i="2"/>
  <c r="AB8" i="2" s="1"/>
  <c r="O14" i="2"/>
  <c r="D14" i="2"/>
  <c r="P8" i="2"/>
  <c r="P9" i="2"/>
  <c r="P10" i="2"/>
  <c r="P11" i="2"/>
  <c r="P12" i="2"/>
  <c r="P13" i="2"/>
  <c r="P7" i="2"/>
  <c r="R13" i="2" l="1"/>
  <c r="R11" i="2"/>
  <c r="R9" i="2"/>
  <c r="R7" i="2"/>
  <c r="S12" i="2"/>
  <c r="S10" i="2"/>
  <c r="S8" i="2"/>
  <c r="T13" i="2"/>
  <c r="T11" i="2"/>
  <c r="T9" i="2"/>
  <c r="T7" i="2"/>
  <c r="U12" i="2"/>
  <c r="U10" i="2"/>
  <c r="U8" i="2"/>
  <c r="AC7" i="2"/>
  <c r="AA7" i="2"/>
  <c r="Y7" i="2"/>
  <c r="W7" i="2"/>
  <c r="AC13" i="2"/>
  <c r="AA13" i="2"/>
  <c r="Y13" i="2"/>
  <c r="W13" i="2"/>
  <c r="AC12" i="2"/>
  <c r="AA12" i="2"/>
  <c r="Y12" i="2"/>
  <c r="W12" i="2"/>
  <c r="AC11" i="2"/>
  <c r="AA11" i="2"/>
  <c r="Y11" i="2"/>
  <c r="W11" i="2"/>
  <c r="AC10" i="2"/>
  <c r="AA10" i="2"/>
  <c r="Y10" i="2"/>
  <c r="W10" i="2"/>
  <c r="AC9" i="2"/>
  <c r="AA9" i="2"/>
  <c r="Y9" i="2"/>
  <c r="W9" i="2"/>
  <c r="AC8" i="2"/>
  <c r="AA8" i="2"/>
  <c r="Y8" i="2"/>
  <c r="W8" i="2"/>
  <c r="N16" i="3"/>
  <c r="J16" i="3"/>
  <c r="R12" i="2"/>
  <c r="R10" i="2"/>
  <c r="R8" i="2"/>
  <c r="S13" i="2"/>
  <c r="S11" i="2"/>
  <c r="S9" i="2"/>
  <c r="S7" i="2"/>
  <c r="T12" i="2"/>
  <c r="T10" i="2"/>
  <c r="U13" i="2"/>
  <c r="U11" i="2"/>
  <c r="U9" i="2"/>
  <c r="U7" i="2"/>
  <c r="AB7" i="2"/>
  <c r="Z7" i="2"/>
  <c r="X7" i="2"/>
  <c r="V7" i="2"/>
  <c r="AB13" i="2"/>
  <c r="Z13" i="2"/>
  <c r="X13" i="2"/>
  <c r="V13" i="2"/>
  <c r="AB12" i="2"/>
  <c r="Z12" i="2"/>
  <c r="X12" i="2"/>
  <c r="V12" i="2"/>
  <c r="AB11" i="2"/>
  <c r="Z11" i="2"/>
  <c r="X11" i="2"/>
  <c r="V11" i="2"/>
  <c r="AB10" i="2"/>
  <c r="Z10" i="2"/>
  <c r="X10" i="2"/>
  <c r="V10" i="2"/>
  <c r="AB9" i="2"/>
  <c r="Z9" i="2"/>
  <c r="X9" i="2"/>
  <c r="V9" i="2"/>
  <c r="P14" i="2"/>
  <c r="Q14" i="3"/>
  <c r="B1" i="4"/>
  <c r="B2" i="4"/>
  <c r="B2" i="3"/>
  <c r="B1" i="3"/>
  <c r="G2" i="2"/>
  <c r="B3" i="3"/>
  <c r="B3" i="4"/>
  <c r="F2" i="4"/>
  <c r="F2" i="3"/>
  <c r="Q26" i="4"/>
  <c r="O26" i="4"/>
  <c r="N26" i="4"/>
  <c r="M26" i="4"/>
  <c r="L26" i="4"/>
  <c r="K26" i="4"/>
  <c r="J26" i="4"/>
  <c r="I26" i="4"/>
  <c r="H26" i="4"/>
  <c r="G26" i="4"/>
  <c r="F26" i="4"/>
  <c r="E26" i="4"/>
  <c r="D26" i="4"/>
  <c r="P25" i="4"/>
  <c r="P24" i="4"/>
  <c r="P23" i="4"/>
  <c r="P22" i="4"/>
  <c r="P21" i="4"/>
  <c r="P20" i="4"/>
  <c r="P19" i="4"/>
  <c r="P18" i="4"/>
  <c r="P17" i="4"/>
  <c r="P16" i="4"/>
  <c r="P15" i="4"/>
  <c r="P14" i="4"/>
  <c r="P13" i="4"/>
  <c r="P12" i="4"/>
  <c r="P11" i="4"/>
  <c r="P10" i="4"/>
  <c r="P9" i="4"/>
  <c r="P8" i="4"/>
  <c r="P7" i="4"/>
  <c r="O14" i="3"/>
  <c r="O16" i="3" s="1"/>
  <c r="O28" i="4" s="1"/>
  <c r="N14" i="3"/>
  <c r="AB10" i="3" s="1"/>
  <c r="M14" i="3"/>
  <c r="AA11" i="3" s="1"/>
  <c r="L14" i="3"/>
  <c r="Z8" i="3" s="1"/>
  <c r="K14" i="3"/>
  <c r="Y9" i="3" s="1"/>
  <c r="J14" i="3"/>
  <c r="X10" i="3" s="1"/>
  <c r="X9" i="3"/>
  <c r="X12" i="3"/>
  <c r="I14" i="3"/>
  <c r="W11" i="3" s="1"/>
  <c r="H14" i="3"/>
  <c r="H16" i="3" s="1"/>
  <c r="V7" i="3"/>
  <c r="G14" i="3"/>
  <c r="U13" i="3" s="1"/>
  <c r="F14" i="3"/>
  <c r="T13" i="3" s="1"/>
  <c r="E14" i="3"/>
  <c r="S8" i="3" s="1"/>
  <c r="D14" i="3"/>
  <c r="D16" i="3" s="1"/>
  <c r="D28" i="4" s="1"/>
  <c r="P13" i="3"/>
  <c r="P12" i="3"/>
  <c r="P11" i="3"/>
  <c r="U10" i="3"/>
  <c r="P10" i="3"/>
  <c r="P9" i="3"/>
  <c r="P8" i="3"/>
  <c r="P7" i="3"/>
  <c r="U8" i="3"/>
  <c r="U7" i="3"/>
  <c r="U9" i="3"/>
  <c r="U11" i="3"/>
  <c r="U12" i="3"/>
  <c r="AB11" i="3"/>
  <c r="S11" i="3"/>
  <c r="V13" i="3"/>
  <c r="V11" i="3"/>
  <c r="V9" i="3"/>
  <c r="R11" i="3"/>
  <c r="Z13" i="3"/>
  <c r="Z9" i="3"/>
  <c r="Z10" i="3"/>
  <c r="V8" i="3"/>
  <c r="V10" i="3"/>
  <c r="V12" i="3"/>
  <c r="W13" i="3"/>
  <c r="Y12" i="3"/>
  <c r="AC13" i="3"/>
  <c r="AC10" i="3"/>
  <c r="AC8" i="3"/>
  <c r="AC11" i="3"/>
  <c r="AC9" i="3"/>
  <c r="S7" i="4" l="1"/>
  <c r="S9" i="4"/>
  <c r="S11" i="4"/>
  <c r="S13" i="4"/>
  <c r="S15" i="4"/>
  <c r="S17" i="4"/>
  <c r="S19" i="4"/>
  <c r="S21" i="4"/>
  <c r="S23" i="4"/>
  <c r="S25" i="4"/>
  <c r="S8" i="4"/>
  <c r="S12" i="4"/>
  <c r="S16" i="4"/>
  <c r="S20" i="4"/>
  <c r="S24" i="4"/>
  <c r="S10" i="4"/>
  <c r="S14" i="4"/>
  <c r="S18" i="4"/>
  <c r="S22" i="4"/>
  <c r="U8" i="4"/>
  <c r="U10" i="4"/>
  <c r="U12" i="4"/>
  <c r="U14" i="4"/>
  <c r="U16" i="4"/>
  <c r="U18" i="4"/>
  <c r="U20" i="4"/>
  <c r="U22" i="4"/>
  <c r="U24" i="4"/>
  <c r="U9" i="4"/>
  <c r="U13" i="4"/>
  <c r="U17" i="4"/>
  <c r="U21" i="4"/>
  <c r="U25" i="4"/>
  <c r="U11" i="4"/>
  <c r="U19" i="4"/>
  <c r="U7" i="4"/>
  <c r="U15" i="4"/>
  <c r="U23" i="4"/>
  <c r="W8" i="4"/>
  <c r="W10" i="4"/>
  <c r="W12" i="4"/>
  <c r="W14" i="4"/>
  <c r="W16" i="4"/>
  <c r="W18" i="4"/>
  <c r="W20" i="4"/>
  <c r="W22" i="4"/>
  <c r="W24" i="4"/>
  <c r="W7" i="4"/>
  <c r="W11" i="4"/>
  <c r="W15" i="4"/>
  <c r="W19" i="4"/>
  <c r="W23" i="4"/>
  <c r="W9" i="4"/>
  <c r="W17" i="4"/>
  <c r="W25" i="4"/>
  <c r="W13" i="4"/>
  <c r="W21" i="4"/>
  <c r="Y8" i="4"/>
  <c r="Y10" i="4"/>
  <c r="Y12" i="4"/>
  <c r="Y14" i="4"/>
  <c r="Y16" i="4"/>
  <c r="Y18" i="4"/>
  <c r="Y20" i="4"/>
  <c r="Y22" i="4"/>
  <c r="Y24" i="4"/>
  <c r="Y9" i="4"/>
  <c r="Y13" i="4"/>
  <c r="Y17" i="4"/>
  <c r="Y21" i="4"/>
  <c r="Y25" i="4"/>
  <c r="Y7" i="4"/>
  <c r="Y15" i="4"/>
  <c r="Y23" i="4"/>
  <c r="Y11" i="4"/>
  <c r="Y19" i="4"/>
  <c r="AA8" i="4"/>
  <c r="AA10" i="4"/>
  <c r="AA12" i="4"/>
  <c r="AA14" i="4"/>
  <c r="AA16" i="4"/>
  <c r="AA18" i="4"/>
  <c r="AA20" i="4"/>
  <c r="AA22" i="4"/>
  <c r="AA24" i="4"/>
  <c r="AA7" i="4"/>
  <c r="AA11" i="4"/>
  <c r="AA15" i="4"/>
  <c r="AA19" i="4"/>
  <c r="AA23" i="4"/>
  <c r="AA9" i="4"/>
  <c r="AA13" i="4"/>
  <c r="AA17" i="4"/>
  <c r="AA21" i="4"/>
  <c r="AA25" i="4"/>
  <c r="AC7" i="4"/>
  <c r="AC8" i="4"/>
  <c r="AC10" i="4"/>
  <c r="AC12" i="4"/>
  <c r="AC14" i="4"/>
  <c r="AC16" i="4"/>
  <c r="AC18" i="4"/>
  <c r="AC20" i="4"/>
  <c r="AC22" i="4"/>
  <c r="AC24" i="4"/>
  <c r="AC9" i="4"/>
  <c r="AC13" i="4"/>
  <c r="AC17" i="4"/>
  <c r="AC21" i="4"/>
  <c r="AC25" i="4"/>
  <c r="AC11" i="4"/>
  <c r="AC15" i="4"/>
  <c r="AC19" i="4"/>
  <c r="AC23" i="4"/>
  <c r="AD7" i="2"/>
  <c r="X14" i="2"/>
  <c r="AB14" i="2"/>
  <c r="F16" i="3"/>
  <c r="Y14" i="2"/>
  <c r="AC14" i="2"/>
  <c r="T14" i="2"/>
  <c r="E16" i="3"/>
  <c r="I16" i="3"/>
  <c r="M16" i="3"/>
  <c r="R10" i="3"/>
  <c r="AC7" i="3"/>
  <c r="AC14" i="3" s="1"/>
  <c r="AC12" i="3"/>
  <c r="R13" i="3"/>
  <c r="W10" i="3"/>
  <c r="Y10" i="3"/>
  <c r="R12" i="3"/>
  <c r="R8" i="4"/>
  <c r="R10" i="4"/>
  <c r="R12" i="4"/>
  <c r="R14" i="4"/>
  <c r="R16" i="4"/>
  <c r="R18" i="4"/>
  <c r="R20" i="4"/>
  <c r="R22" i="4"/>
  <c r="R24" i="4"/>
  <c r="R9" i="4"/>
  <c r="R13" i="4"/>
  <c r="R17" i="4"/>
  <c r="R21" i="4"/>
  <c r="R25" i="4"/>
  <c r="R7" i="4"/>
  <c r="R11" i="4"/>
  <c r="R15" i="4"/>
  <c r="R19" i="4"/>
  <c r="R23" i="4"/>
  <c r="T8" i="4"/>
  <c r="T10" i="4"/>
  <c r="T12" i="4"/>
  <c r="T14" i="4"/>
  <c r="T16" i="4"/>
  <c r="T18" i="4"/>
  <c r="T20" i="4"/>
  <c r="T22" i="4"/>
  <c r="T24" i="4"/>
  <c r="T7" i="4"/>
  <c r="T11" i="4"/>
  <c r="T15" i="4"/>
  <c r="T19" i="4"/>
  <c r="T23" i="4"/>
  <c r="T9" i="4"/>
  <c r="T13" i="4"/>
  <c r="T17" i="4"/>
  <c r="T21" i="4"/>
  <c r="T25" i="4"/>
  <c r="V7" i="4"/>
  <c r="V9" i="4"/>
  <c r="V11" i="4"/>
  <c r="V13" i="4"/>
  <c r="V15" i="4"/>
  <c r="V17" i="4"/>
  <c r="V19" i="4"/>
  <c r="V21" i="4"/>
  <c r="V23" i="4"/>
  <c r="V25" i="4"/>
  <c r="V8" i="4"/>
  <c r="V12" i="4"/>
  <c r="V16" i="4"/>
  <c r="V20" i="4"/>
  <c r="V24" i="4"/>
  <c r="V14" i="4"/>
  <c r="V22" i="4"/>
  <c r="V10" i="4"/>
  <c r="V18" i="4"/>
  <c r="X7" i="4"/>
  <c r="X9" i="4"/>
  <c r="X11" i="4"/>
  <c r="X13" i="4"/>
  <c r="X15" i="4"/>
  <c r="X17" i="4"/>
  <c r="X19" i="4"/>
  <c r="X21" i="4"/>
  <c r="X23" i="4"/>
  <c r="X25" i="4"/>
  <c r="X10" i="4"/>
  <c r="X14" i="4"/>
  <c r="X18" i="4"/>
  <c r="X22" i="4"/>
  <c r="X12" i="4"/>
  <c r="X20" i="4"/>
  <c r="X8" i="4"/>
  <c r="X16" i="4"/>
  <c r="X24" i="4"/>
  <c r="Z7" i="4"/>
  <c r="Z9" i="4"/>
  <c r="Z11" i="4"/>
  <c r="Z13" i="4"/>
  <c r="Z15" i="4"/>
  <c r="Z17" i="4"/>
  <c r="Z19" i="4"/>
  <c r="Z21" i="4"/>
  <c r="Z23" i="4"/>
  <c r="Z25" i="4"/>
  <c r="Z8" i="4"/>
  <c r="Z12" i="4"/>
  <c r="Z16" i="4"/>
  <c r="Z20" i="4"/>
  <c r="Z24" i="4"/>
  <c r="Z10" i="4"/>
  <c r="Z18" i="4"/>
  <c r="Z14" i="4"/>
  <c r="Z22" i="4"/>
  <c r="AB7" i="4"/>
  <c r="AB9" i="4"/>
  <c r="AB11" i="4"/>
  <c r="AB13" i="4"/>
  <c r="AB15" i="4"/>
  <c r="AB17" i="4"/>
  <c r="AB19" i="4"/>
  <c r="AB21" i="4"/>
  <c r="AB23" i="4"/>
  <c r="AB25" i="4"/>
  <c r="AB10" i="4"/>
  <c r="AB14" i="4"/>
  <c r="AB18" i="4"/>
  <c r="AB22" i="4"/>
  <c r="AB8" i="4"/>
  <c r="AB12" i="4"/>
  <c r="AB16" i="4"/>
  <c r="AB20" i="4"/>
  <c r="AB24" i="4"/>
  <c r="V14" i="2"/>
  <c r="Z14" i="2"/>
  <c r="U14" i="2"/>
  <c r="S14" i="2"/>
  <c r="L16" i="3"/>
  <c r="L28" i="4" s="1"/>
  <c r="W14" i="2"/>
  <c r="AA14" i="2"/>
  <c r="R14" i="2"/>
  <c r="G16" i="3"/>
  <c r="G28" i="4" s="1"/>
  <c r="K16" i="3"/>
  <c r="O5" i="3"/>
  <c r="AC5" i="3" s="1"/>
  <c r="M5" i="3"/>
  <c r="AA5" i="3" s="1"/>
  <c r="K5" i="3"/>
  <c r="Y5" i="3" s="1"/>
  <c r="I5" i="3"/>
  <c r="W5" i="3" s="1"/>
  <c r="G5" i="3"/>
  <c r="U5" i="3" s="1"/>
  <c r="E5" i="3"/>
  <c r="S5" i="3" s="1"/>
  <c r="N5" i="3"/>
  <c r="AB5" i="3" s="1"/>
  <c r="L5" i="3"/>
  <c r="Z5" i="3" s="1"/>
  <c r="J5" i="3"/>
  <c r="X5" i="3" s="1"/>
  <c r="H5" i="3"/>
  <c r="V5" i="3" s="1"/>
  <c r="F5" i="3"/>
  <c r="T5" i="3" s="1"/>
  <c r="D5" i="3"/>
  <c r="R5" i="3" s="1"/>
  <c r="AD8" i="2"/>
  <c r="AD11" i="2"/>
  <c r="AD10" i="2"/>
  <c r="AD9" i="2"/>
  <c r="AD13" i="2"/>
  <c r="AD12" i="2"/>
  <c r="D5" i="4"/>
  <c r="R5" i="4" s="1"/>
  <c r="O5" i="2"/>
  <c r="AC5" i="2" s="1"/>
  <c r="M5" i="2"/>
  <c r="AA5" i="2" s="1"/>
  <c r="K5" i="2"/>
  <c r="Y5" i="2" s="1"/>
  <c r="I5" i="2"/>
  <c r="W5" i="2" s="1"/>
  <c r="G5" i="2"/>
  <c r="U5" i="2" s="1"/>
  <c r="E5" i="2"/>
  <c r="S5" i="2" s="1"/>
  <c r="N5" i="2"/>
  <c r="AB5" i="2" s="1"/>
  <c r="L5" i="2"/>
  <c r="Z5" i="2" s="1"/>
  <c r="J5" i="2"/>
  <c r="X5" i="2" s="1"/>
  <c r="H5" i="2"/>
  <c r="V5" i="2" s="1"/>
  <c r="F5" i="2"/>
  <c r="T5" i="2" s="1"/>
  <c r="D5" i="2"/>
  <c r="R5" i="2" s="1"/>
  <c r="O5" i="4"/>
  <c r="AC5" i="4" s="1"/>
  <c r="M5" i="4"/>
  <c r="AA5" i="4" s="1"/>
  <c r="K5" i="4"/>
  <c r="Y5" i="4" s="1"/>
  <c r="I5" i="4"/>
  <c r="W5" i="4" s="1"/>
  <c r="G5" i="4"/>
  <c r="U5" i="4" s="1"/>
  <c r="E5" i="4"/>
  <c r="S5" i="4" s="1"/>
  <c r="N5" i="4"/>
  <c r="AB5" i="4" s="1"/>
  <c r="L5" i="4"/>
  <c r="Z5" i="4" s="1"/>
  <c r="J5" i="4"/>
  <c r="X5" i="4" s="1"/>
  <c r="H5" i="4"/>
  <c r="V5" i="4" s="1"/>
  <c r="F5" i="4"/>
  <c r="T5" i="4" s="1"/>
  <c r="R26" i="4"/>
  <c r="V14" i="3"/>
  <c r="AB26" i="4"/>
  <c r="R7" i="3"/>
  <c r="R8" i="3"/>
  <c r="W7" i="3"/>
  <c r="Z12" i="3"/>
  <c r="Z7" i="3"/>
  <c r="Z11" i="3"/>
  <c r="R9" i="3"/>
  <c r="W8" i="3"/>
  <c r="W12" i="3"/>
  <c r="W9" i="3"/>
  <c r="S26" i="4"/>
  <c r="V26" i="4"/>
  <c r="Z26" i="4"/>
  <c r="X13" i="3"/>
  <c r="X11" i="3"/>
  <c r="X8" i="3"/>
  <c r="P26" i="4"/>
  <c r="AD7" i="4" s="1"/>
  <c r="AA13" i="3"/>
  <c r="T12" i="3"/>
  <c r="T9" i="3"/>
  <c r="Y11" i="3"/>
  <c r="T8" i="3"/>
  <c r="AA9" i="3"/>
  <c r="AA10" i="3"/>
  <c r="Y13" i="3"/>
  <c r="T10" i="3"/>
  <c r="AA7" i="3"/>
  <c r="Y8" i="3"/>
  <c r="AA8" i="3"/>
  <c r="K28" i="4"/>
  <c r="T11" i="3"/>
  <c r="T7" i="3"/>
  <c r="AA12" i="3"/>
  <c r="Y7" i="3"/>
  <c r="P14" i="3"/>
  <c r="AD7" i="3" s="1"/>
  <c r="U14" i="3"/>
  <c r="S12" i="3"/>
  <c r="S9" i="3"/>
  <c r="AB12" i="3"/>
  <c r="AB8" i="3"/>
  <c r="AB13" i="3"/>
  <c r="S7" i="3"/>
  <c r="AB9" i="3"/>
  <c r="S10" i="3"/>
  <c r="AB7" i="3"/>
  <c r="X7" i="3"/>
  <c r="S13" i="3"/>
  <c r="M28" i="4"/>
  <c r="J28" i="4"/>
  <c r="E28" i="4"/>
  <c r="I28" i="4"/>
  <c r="G2" i="4"/>
  <c r="N28" i="4"/>
  <c r="H28" i="4"/>
  <c r="G2" i="3"/>
  <c r="AD14" i="2" l="1"/>
  <c r="Z14" i="3"/>
  <c r="W14" i="3"/>
  <c r="P16" i="3"/>
  <c r="AC26" i="4"/>
  <c r="Y26" i="4"/>
  <c r="W26" i="4"/>
  <c r="AD23" i="4"/>
  <c r="AD19" i="4"/>
  <c r="AD15" i="4"/>
  <c r="AD11" i="4"/>
  <c r="AD24" i="4"/>
  <c r="AD20" i="4"/>
  <c r="AD16" i="4"/>
  <c r="AD12" i="4"/>
  <c r="AD8" i="4"/>
  <c r="AD25" i="4"/>
  <c r="AD21" i="4"/>
  <c r="AD17" i="4"/>
  <c r="AD13" i="4"/>
  <c r="AD9" i="4"/>
  <c r="AD22" i="4"/>
  <c r="AD18" i="4"/>
  <c r="AD14" i="4"/>
  <c r="AD10" i="4"/>
  <c r="X14" i="3"/>
  <c r="AD10" i="3"/>
  <c r="AD11" i="3"/>
  <c r="AA14" i="3"/>
  <c r="X26" i="4"/>
  <c r="R14" i="3"/>
  <c r="U26" i="4"/>
  <c r="AA26" i="4"/>
  <c r="AD13" i="3"/>
  <c r="T14" i="3"/>
  <c r="AD12" i="3"/>
  <c r="AD9" i="3"/>
  <c r="Y14" i="3"/>
  <c r="AD8" i="3"/>
  <c r="AD14" i="3" s="1"/>
  <c r="T26" i="4"/>
  <c r="AB14" i="3"/>
  <c r="S14" i="3"/>
  <c r="T16" i="3"/>
  <c r="F28" i="4"/>
  <c r="AD26" i="4" l="1"/>
  <c r="S16" i="3"/>
  <c r="U16" i="3"/>
  <c r="AB16" i="3"/>
  <c r="AC16" i="3"/>
  <c r="Y16" i="3"/>
  <c r="AA16" i="3"/>
  <c r="V16" i="3"/>
  <c r="W16" i="3"/>
  <c r="R16" i="3"/>
  <c r="AD16" i="3"/>
  <c r="X16" i="3"/>
  <c r="Z16" i="3"/>
  <c r="P28" i="4"/>
  <c r="T28" i="4" s="1"/>
  <c r="S28" i="4" l="1"/>
  <c r="AB28" i="4"/>
  <c r="AD28" i="4"/>
  <c r="R28" i="4"/>
  <c r="AC28" i="4"/>
  <c r="AA28" i="4"/>
  <c r="W28" i="4"/>
  <c r="U28" i="4"/>
  <c r="Z28" i="4"/>
  <c r="V28" i="4"/>
  <c r="Y28" i="4"/>
  <c r="X28" i="4"/>
</calcChain>
</file>

<file path=xl/sharedStrings.xml><?xml version="1.0" encoding="utf-8"?>
<sst xmlns="http://schemas.openxmlformats.org/spreadsheetml/2006/main" count="161" uniqueCount="77">
  <si>
    <t>Nom de la société</t>
  </si>
  <si>
    <t>Douze mois</t>
  </si>
  <si>
    <t>Projection des pertes et profits</t>
  </si>
  <si>
    <t>CHIFFRE D’AFFAIRES (VENTES)</t>
  </si>
  <si>
    <t>Chiffre d’affaires 1</t>
  </si>
  <si>
    <t>Chiffre d’affaires 2</t>
  </si>
  <si>
    <t>Chiffre d’affaires 3</t>
  </si>
  <si>
    <t>Chiffre d’affaires 4</t>
  </si>
  <si>
    <t>Chiffre d’affaires 5</t>
  </si>
  <si>
    <t>Chiffre d’affaires 6</t>
  </si>
  <si>
    <t>Chiffre d’affaires 7</t>
  </si>
  <si>
    <t>TOTAL DES VENTES</t>
  </si>
  <si>
    <t>TENDANCE</t>
  </si>
  <si>
    <t>Jan.</t>
  </si>
  <si>
    <t>Début de l’exercice :</t>
  </si>
  <si>
    <t>Fév.</t>
  </si>
  <si>
    <t>Mar.</t>
  </si>
  <si>
    <t>Avr.</t>
  </si>
  <si>
    <t>Mai</t>
  </si>
  <si>
    <t>Juin</t>
  </si>
  <si>
    <t>Juil.</t>
  </si>
  <si>
    <t>Août</t>
  </si>
  <si>
    <t>Sept.</t>
  </si>
  <si>
    <t>Oct.</t>
  </si>
  <si>
    <t>Nov.</t>
  </si>
  <si>
    <t>Déc.</t>
  </si>
  <si>
    <t>ANNUEL</t>
  </si>
  <si>
    <t>Annuel</t>
  </si>
  <si>
    <t>% index</t>
  </si>
  <si>
    <t>% jan.</t>
  </si>
  <si>
    <t>% fév.</t>
  </si>
  <si>
    <t>% mar.</t>
  </si>
  <si>
    <t>% avr.</t>
  </si>
  <si>
    <t>% mai</t>
  </si>
  <si>
    <t>% juin</t>
  </si>
  <si>
    <t>% juil.</t>
  </si>
  <si>
    <t>% août</t>
  </si>
  <si>
    <t>% sept.</t>
  </si>
  <si>
    <t>% oct.</t>
  </si>
  <si>
    <t>% nov.</t>
  </si>
  <si>
    <t>% déc.</t>
  </si>
  <si>
    <t>% année</t>
  </si>
  <si>
    <t>COÛT DES VENTES</t>
  </si>
  <si>
    <t>Coût 1</t>
  </si>
  <si>
    <t>Coût 2</t>
  </si>
  <si>
    <t>Coût 3</t>
  </si>
  <si>
    <t>Coût 4</t>
  </si>
  <si>
    <t>Coût 5</t>
  </si>
  <si>
    <t>Coût 6</t>
  </si>
  <si>
    <t>Coût 7</t>
  </si>
  <si>
    <t>COÛT TOTAL DES VENTES</t>
  </si>
  <si>
    <t>Marge brute</t>
  </si>
  <si>
    <t>Exercice :</t>
  </si>
  <si>
    <t>DÉPENSES</t>
  </si>
  <si>
    <t xml:space="preserve">Dépenses salariales </t>
  </si>
  <si>
    <t xml:space="preserve">Charges sociales </t>
  </si>
  <si>
    <t>Services extérieurs</t>
  </si>
  <si>
    <t>Fournitures (bureau et exploitation)</t>
  </si>
  <si>
    <t>Réparations et entretien</t>
  </si>
  <si>
    <t>Publicité</t>
  </si>
  <si>
    <t>Voiture, livraison et transport</t>
  </si>
  <si>
    <t>Comptabilité et juridique</t>
  </si>
  <si>
    <t>Loyer</t>
  </si>
  <si>
    <t>Téléphone</t>
  </si>
  <si>
    <t>Charges</t>
  </si>
  <si>
    <t>Assurance</t>
  </si>
  <si>
    <t>Taxes (immobilier, etc.)</t>
  </si>
  <si>
    <t>Intérêts</t>
  </si>
  <si>
    <t>Amortissement</t>
  </si>
  <si>
    <t>Autres dépenses (à préciser)</t>
  </si>
  <si>
    <t>Divers (non spécifié)</t>
  </si>
  <si>
    <t>DÉPENSES TOTALES</t>
  </si>
  <si>
    <t>Bénéfices nets</t>
  </si>
  <si>
    <t xml:space="preserve"> </t>
  </si>
  <si>
    <t>JANV</t>
  </si>
  <si>
    <t>INDEX %</t>
  </si>
  <si>
    <t>ANNÉE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</si>
</sst>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2" formatCode="_(&quot;$&quot;* #,##0_);_(&quot;$&quot;* \(#,##0\);_(&quot;$&quot;* &quot;-&quot;_);_(@_)"/>
    <numFmt numFmtId="41" formatCode="_(* #,##0_);_(* \(#,##0\);_(* &quot;-&quot;_);_(@_)"/>
    <numFmt numFmtId="43" formatCode="_(* #,##0.00_);_(* \(#,##0.00\);_(* &quot;-&quot;??_);_(@_)"/>
    <numFmt numFmtId="164" formatCode="_-* #,##0\ &quot;€&quot;_-;\-* #,##0\ &quot;€&quot;_-;_-* &quot;-&quot;\ &quot;€&quot;_-;_-@_-"/>
    <numFmt numFmtId="165" formatCode=";;;"/>
    <numFmt numFmtId="166" formatCode="[$-409]mmm\-yy;@"/>
    <numFmt numFmtId="167" formatCode="[$-40C]mmm\-yy;@"/>
    <numFmt numFmtId="168" formatCode="_ * #,##0_)\ [$$-C0C]_ ;_ * \(#,##0\)\ [$$-C0C]_ ;_ * &quot;-&quot;_)\ [$$-C0C]_ ;_ @_ "/>
    <numFmt numFmtId="169" formatCode="_ * #,##0.00_)\ [$$-C0C]_ ;_ * \(#,##0.00\)\ [$$-C0C]_ ;_ * &quot;-&quot;??_)\ [$$-C0C]_ ;_ @_ "/>
  </numFmts>
  <fonts count="34" x14ac:knownFonts="1">
    <font>
      <sz val="11"/>
      <color theme="1"/>
      <name val="Cambria"/>
      <family val="2"/>
      <scheme val="minor"/>
    </font>
    <font>
      <sz val="11"/>
      <color theme="1"/>
      <name val="Cambria"/>
      <family val="2"/>
      <scheme val="minor"/>
    </font>
    <font>
      <b/>
      <sz val="12"/>
      <color theme="0"/>
      <name val="Cambria"/>
      <family val="2"/>
      <scheme val="minor"/>
    </font>
    <font>
      <b/>
      <sz val="12"/>
      <color theme="8"/>
      <name val="Calibri"/>
      <family val="1"/>
      <scheme val="major"/>
    </font>
    <font>
      <sz val="10"/>
      <color theme="1"/>
      <name val="Cambria"/>
      <family val="2"/>
      <scheme val="minor"/>
    </font>
    <font>
      <b/>
      <sz val="26"/>
      <color theme="3"/>
      <name val="Cambria"/>
      <family val="2"/>
      <scheme val="minor"/>
    </font>
    <font>
      <b/>
      <sz val="22"/>
      <color theme="3"/>
      <name val="Cambria"/>
      <family val="2"/>
      <scheme val="minor"/>
    </font>
    <font>
      <b/>
      <sz val="12"/>
      <color theme="3"/>
      <name val="Cambria"/>
      <family val="2"/>
      <scheme val="minor"/>
    </font>
    <font>
      <b/>
      <i/>
      <sz val="22"/>
      <color theme="7"/>
      <name val="Calibri"/>
      <family val="1"/>
      <scheme val="major"/>
    </font>
    <font>
      <b/>
      <sz val="11"/>
      <color theme="8"/>
      <name val="Cambria"/>
      <family val="2"/>
      <scheme val="minor"/>
    </font>
    <font>
      <b/>
      <sz val="11"/>
      <color theme="0"/>
      <name val="Cambria"/>
      <family val="2"/>
      <scheme val="minor"/>
    </font>
    <font>
      <sz val="11"/>
      <color theme="3"/>
      <name val="Calibri"/>
      <family val="1"/>
      <scheme val="major"/>
    </font>
    <font>
      <sz val="11"/>
      <name val="Cambria"/>
      <family val="2"/>
      <scheme val="minor"/>
    </font>
    <font>
      <b/>
      <i/>
      <sz val="16"/>
      <color theme="7" tint="-0.24994659260841701"/>
      <name val="Calibri"/>
      <family val="1"/>
      <scheme val="major"/>
    </font>
    <font>
      <b/>
      <i/>
      <sz val="22"/>
      <color theme="7" tint="-0.24994659260841701"/>
      <name val="Calibri"/>
      <family val="1"/>
      <scheme val="major"/>
    </font>
    <font>
      <sz val="22"/>
      <color theme="3"/>
      <name val="Cambria"/>
      <family val="2"/>
      <charset val="238"/>
      <scheme val="minor"/>
    </font>
    <font>
      <b/>
      <sz val="11"/>
      <color theme="1"/>
      <name val="Calibri"/>
      <family val="2"/>
      <charset val="238"/>
      <scheme val="major"/>
    </font>
    <font>
      <sz val="11"/>
      <color theme="0"/>
      <name val="Cambria"/>
      <family val="2"/>
      <scheme val="minor"/>
    </font>
    <font>
      <b/>
      <sz val="11"/>
      <color theme="0"/>
      <name val="Cambria"/>
      <family val="1"/>
      <charset val="238"/>
      <scheme val="minor"/>
    </font>
    <font>
      <b/>
      <sz val="12"/>
      <color theme="1"/>
      <name val="Cambria"/>
      <family val="1"/>
      <charset val="238"/>
      <scheme val="minor"/>
    </font>
    <font>
      <sz val="11"/>
      <color theme="4" tint="-0.499984740745262"/>
      <name val="Cambria"/>
      <family val="1"/>
      <charset val="238"/>
      <scheme val="minor"/>
    </font>
    <font>
      <sz val="22"/>
      <color theme="1"/>
      <name val="Cambria"/>
      <family val="2"/>
      <charset val="238"/>
      <scheme val="minor"/>
    </font>
    <font>
      <sz val="24"/>
      <color theme="1"/>
      <name val="Calibri"/>
      <family val="2"/>
      <charset val="238"/>
      <scheme val="major"/>
    </font>
    <font>
      <i/>
      <sz val="16"/>
      <color theme="5" tint="-0.499984740745262"/>
      <name val="Cambria"/>
      <family val="1"/>
      <charset val="238"/>
      <scheme val="minor"/>
    </font>
    <font>
      <sz val="11"/>
      <color theme="5" tint="-0.499984740745262"/>
      <name val="Cambria"/>
      <family val="1"/>
      <charset val="238"/>
      <scheme val="minor"/>
    </font>
    <font>
      <i/>
      <sz val="11"/>
      <color theme="5" tint="-0.499984740745262"/>
      <name val="Cambria"/>
      <family val="1"/>
      <charset val="238"/>
      <scheme val="minor"/>
    </font>
    <font>
      <i/>
      <sz val="16"/>
      <color theme="4" tint="-0.499984740745262"/>
      <name val="Cambria"/>
      <family val="1"/>
      <charset val="238"/>
      <scheme val="minor"/>
    </font>
    <font>
      <i/>
      <sz val="11"/>
      <color theme="4" tint="-0.499984740745262"/>
      <name val="Cambria"/>
      <family val="1"/>
      <charset val="238"/>
      <scheme val="minor"/>
    </font>
    <font>
      <i/>
      <sz val="16"/>
      <color theme="9" tint="-0.499984740745262"/>
      <name val="Cambria"/>
      <family val="1"/>
      <charset val="238"/>
      <scheme val="minor"/>
    </font>
    <font>
      <sz val="11"/>
      <color theme="9" tint="-0.499984740745262"/>
      <name val="Cambria"/>
      <family val="1"/>
      <charset val="238"/>
      <scheme val="minor"/>
    </font>
    <font>
      <i/>
      <sz val="11"/>
      <color theme="9" tint="-0.499984740745262"/>
      <name val="Cambria"/>
      <family val="1"/>
      <charset val="238"/>
      <scheme val="minor"/>
    </font>
    <font>
      <b/>
      <sz val="11"/>
      <color theme="1"/>
      <name val="Calibri"/>
      <family val="2"/>
      <scheme val="major"/>
    </font>
    <font>
      <b/>
      <sz val="12"/>
      <color theme="1"/>
      <name val="Cambria"/>
      <family val="1"/>
      <scheme val="minor"/>
    </font>
    <font>
      <b/>
      <sz val="12"/>
      <color theme="1"/>
      <name val="Cambria"/>
      <family val="2"/>
      <scheme val="minor"/>
    </font>
  </fonts>
  <fills count="9">
    <fill>
      <patternFill patternType="none"/>
    </fill>
    <fill>
      <patternFill patternType="gray125"/>
    </fill>
    <fill>
      <patternFill patternType="solid">
        <fgColor theme="3"/>
        <bgColor indexed="64"/>
      </patternFill>
    </fill>
    <fill>
      <patternFill patternType="solid">
        <fgColor theme="4" tint="0.39997558519241921"/>
        <bgColor indexed="64"/>
      </patternFill>
    </fill>
    <fill>
      <patternFill patternType="solid">
        <fgColor rgb="FFFFFFCC"/>
      </patternFill>
    </fill>
    <fill>
      <patternFill patternType="solid">
        <fgColor theme="5" tint="0.39994506668294322"/>
        <bgColor indexed="64"/>
      </patternFill>
    </fill>
    <fill>
      <patternFill patternType="solid">
        <fgColor theme="6" tint="0.39994506668294322"/>
        <bgColor indexed="64"/>
      </patternFill>
    </fill>
    <fill>
      <patternFill patternType="solid">
        <fgColor theme="0"/>
        <bgColor indexed="64"/>
      </patternFill>
    </fill>
    <fill>
      <patternFill patternType="solid">
        <fgColor theme="9" tint="-0.499984740745262"/>
        <bgColor indexed="64"/>
      </patternFill>
    </fill>
  </fills>
  <borders count="42">
    <border>
      <left/>
      <right/>
      <top/>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bottom style="thin">
        <color auto="1"/>
      </bottom>
      <diagonal/>
    </border>
    <border>
      <left/>
      <right/>
      <top/>
      <bottom style="dotted">
        <color theme="3"/>
      </bottom>
      <diagonal/>
    </border>
    <border>
      <left/>
      <right/>
      <top style="thin">
        <color theme="0"/>
      </top>
      <bottom/>
      <diagonal/>
    </border>
    <border>
      <left/>
      <right/>
      <top/>
      <bottom style="thin">
        <color theme="0" tint="-0.249977111117893"/>
      </bottom>
      <diagonal/>
    </border>
    <border>
      <left/>
      <right/>
      <top style="thin">
        <color theme="0" tint="-0.249977111117893"/>
      </top>
      <bottom/>
      <diagonal/>
    </border>
    <border>
      <left style="thin">
        <color theme="5" tint="-0.249977111117893"/>
      </left>
      <right style="thin">
        <color theme="5" tint="-0.249977111117893"/>
      </right>
      <top style="thin">
        <color theme="5" tint="-0.249977111117893"/>
      </top>
      <bottom/>
      <diagonal/>
    </border>
    <border>
      <left style="thin">
        <color theme="5" tint="-0.249977111117893"/>
      </left>
      <right style="thin">
        <color theme="5" tint="-0.249977111117893"/>
      </right>
      <top/>
      <bottom/>
      <diagonal/>
    </border>
    <border>
      <left/>
      <right style="thin">
        <color theme="5" tint="-0.249977111117893"/>
      </right>
      <top style="thin">
        <color theme="5" tint="-0.249977111117893"/>
      </top>
      <bottom/>
      <diagonal/>
    </border>
    <border>
      <left style="thin">
        <color theme="5" tint="-0.249977111117893"/>
      </left>
      <right/>
      <top/>
      <bottom/>
      <diagonal/>
    </border>
    <border>
      <left/>
      <right style="thin">
        <color theme="5" tint="-0.249977111117893"/>
      </right>
      <top/>
      <bottom/>
      <diagonal/>
    </border>
    <border>
      <left style="thin">
        <color theme="5" tint="-0.249977111117893"/>
      </left>
      <right/>
      <top/>
      <bottom style="thin">
        <color theme="5" tint="-0.249977111117893"/>
      </bottom>
      <diagonal/>
    </border>
    <border>
      <left style="dotted">
        <color theme="5" tint="0.39997558519241921"/>
      </left>
      <right style="dotted">
        <color theme="5" tint="0.39997558519241921"/>
      </right>
      <top/>
      <bottom/>
      <diagonal/>
    </border>
    <border>
      <left style="thin">
        <color theme="5" tint="-0.249977111117893"/>
      </left>
      <right style="dotted">
        <color theme="5" tint="0.39997558519241921"/>
      </right>
      <top style="thin">
        <color theme="5" tint="-0.249977111117893"/>
      </top>
      <bottom/>
      <diagonal/>
    </border>
    <border>
      <left style="dotted">
        <color theme="5" tint="0.39997558519241921"/>
      </left>
      <right style="dotted">
        <color theme="5" tint="0.39997558519241921"/>
      </right>
      <top style="thin">
        <color theme="5" tint="-0.249977111117893"/>
      </top>
      <bottom/>
      <diagonal/>
    </border>
    <border>
      <left/>
      <right style="thin">
        <color theme="4" tint="-0.249977111117893"/>
      </right>
      <top/>
      <bottom/>
      <diagonal/>
    </border>
    <border>
      <left style="thin">
        <color theme="4" tint="-0.249977111117893"/>
      </left>
      <right/>
      <top/>
      <bottom/>
      <diagonal/>
    </border>
    <border>
      <left style="thin">
        <color theme="4" tint="-0.249977111117893"/>
      </left>
      <right/>
      <top/>
      <bottom style="thin">
        <color theme="4" tint="-0.249977111117893"/>
      </bottom>
      <diagonal/>
    </border>
    <border>
      <left/>
      <right/>
      <top/>
      <bottom style="thin">
        <color theme="4" tint="-0.249977111117893"/>
      </bottom>
      <diagonal/>
    </border>
    <border>
      <left/>
      <right style="thin">
        <color theme="4" tint="-0.249977111117893"/>
      </right>
      <top/>
      <bottom style="thin">
        <color theme="4" tint="-0.249977111117893"/>
      </bottom>
      <diagonal/>
    </border>
    <border>
      <left style="dotted">
        <color theme="4" tint="0.39997558519241921"/>
      </left>
      <right style="dotted">
        <color theme="4" tint="0.39997558519241921"/>
      </right>
      <top/>
      <bottom/>
      <diagonal/>
    </border>
    <border>
      <left style="thin">
        <color theme="4" tint="-0.249977111117893"/>
      </left>
      <right style="thin">
        <color theme="4" tint="-0.249977111117893"/>
      </right>
      <top style="thin">
        <color theme="4" tint="-0.249977111117893"/>
      </top>
      <bottom/>
      <diagonal/>
    </border>
    <border>
      <left style="thin">
        <color theme="4" tint="-0.249977111117893"/>
      </left>
      <right style="thin">
        <color theme="4" tint="-0.249977111117893"/>
      </right>
      <top/>
      <bottom/>
      <diagonal/>
    </border>
    <border>
      <left style="thin">
        <color theme="4" tint="-0.249977111117893"/>
      </left>
      <right style="thin">
        <color theme="4" tint="-0.249977111117893"/>
      </right>
      <top/>
      <bottom style="thin">
        <color theme="4" tint="-0.249977111117893"/>
      </bottom>
      <diagonal/>
    </border>
    <border>
      <left style="thin">
        <color theme="4" tint="-0.249977111117893"/>
      </left>
      <right style="dotted">
        <color theme="4" tint="0.39997558519241921"/>
      </right>
      <top style="thin">
        <color theme="4" tint="-0.249977111117893"/>
      </top>
      <bottom/>
      <diagonal/>
    </border>
    <border>
      <left style="dotted">
        <color theme="4" tint="0.39997558519241921"/>
      </left>
      <right style="dotted">
        <color theme="4" tint="0.39997558519241921"/>
      </right>
      <top style="thin">
        <color theme="4" tint="-0.249977111117893"/>
      </top>
      <bottom/>
      <diagonal/>
    </border>
    <border>
      <left style="dotted">
        <color theme="4" tint="0.39997558519241921"/>
      </left>
      <right style="thin">
        <color theme="4" tint="-0.249977111117893"/>
      </right>
      <top style="thin">
        <color theme="4" tint="-0.249977111117893"/>
      </top>
      <bottom/>
      <diagonal/>
    </border>
    <border>
      <left style="thin">
        <color theme="0"/>
      </left>
      <right style="thin">
        <color theme="0"/>
      </right>
      <top style="thin">
        <color theme="0"/>
      </top>
      <bottom style="thin">
        <color theme="0"/>
      </bottom>
      <diagonal/>
    </border>
    <border>
      <left style="dotted">
        <color theme="6" tint="0.59999389629810485"/>
      </left>
      <right style="dotted">
        <color theme="6" tint="0.59999389629810485"/>
      </right>
      <top/>
      <bottom/>
      <diagonal/>
    </border>
    <border>
      <left style="thin">
        <color theme="9" tint="-0.499984740745262"/>
      </left>
      <right style="dotted">
        <color theme="6" tint="0.59999389629810485"/>
      </right>
      <top style="thin">
        <color theme="9" tint="-0.499984740745262"/>
      </top>
      <bottom/>
      <diagonal/>
    </border>
    <border>
      <left style="dotted">
        <color theme="6" tint="0.59999389629810485"/>
      </left>
      <right style="dotted">
        <color theme="6" tint="0.59999389629810485"/>
      </right>
      <top style="thin">
        <color theme="9" tint="-0.499984740745262"/>
      </top>
      <bottom/>
      <diagonal/>
    </border>
    <border>
      <left/>
      <right style="thin">
        <color theme="9" tint="-0.499984740745262"/>
      </right>
      <top style="thin">
        <color theme="9" tint="-0.499984740745262"/>
      </top>
      <bottom/>
      <diagonal/>
    </border>
    <border>
      <left style="thin">
        <color theme="9" tint="-0.499984740745262"/>
      </left>
      <right/>
      <top/>
      <bottom/>
      <diagonal/>
    </border>
    <border>
      <left/>
      <right style="thin">
        <color theme="9" tint="-0.499984740745262"/>
      </right>
      <top/>
      <bottom/>
      <diagonal/>
    </border>
    <border>
      <left style="thin">
        <color theme="9" tint="-0.499984740745262"/>
      </left>
      <right style="thin">
        <color theme="9" tint="-0.499984740745262"/>
      </right>
      <top style="thin">
        <color theme="9" tint="-0.499984740745262"/>
      </top>
      <bottom/>
      <diagonal/>
    </border>
    <border>
      <left style="thin">
        <color theme="9" tint="-0.499984740745262"/>
      </left>
      <right style="thin">
        <color theme="9" tint="-0.499984740745262"/>
      </right>
      <top/>
      <bottom/>
      <diagonal/>
    </border>
    <border>
      <left style="thin">
        <color theme="9" tint="-0.499984740745262"/>
      </left>
      <right style="thin">
        <color theme="9" tint="-0.499984740745262"/>
      </right>
      <top/>
      <bottom style="thin">
        <color theme="9" tint="-0.499984740745262"/>
      </bottom>
      <diagonal/>
    </border>
    <border>
      <left/>
      <right style="thin">
        <color auto="1"/>
      </right>
      <top/>
      <bottom/>
      <diagonal/>
    </border>
    <border>
      <left/>
      <right/>
      <top/>
      <bottom style="thin">
        <color theme="5" tint="-0.249977111117893"/>
      </bottom>
      <diagonal/>
    </border>
    <border>
      <left style="thin">
        <color theme="5" tint="-0.249977111117893"/>
      </left>
      <right style="thin">
        <color theme="5" tint="-0.249977111117893"/>
      </right>
      <top/>
      <bottom style="thin">
        <color theme="5" tint="-0.249977111117893"/>
      </bottom>
      <diagonal/>
    </border>
    <border>
      <left/>
      <right style="thin">
        <color theme="5" tint="-0.249977111117893"/>
      </right>
      <top/>
      <bottom style="thin">
        <color theme="5" tint="-0.249977111117893"/>
      </bottom>
      <diagonal/>
    </border>
  </borders>
  <cellStyleXfs count="19">
    <xf numFmtId="0" fontId="0" fillId="0" borderId="0"/>
    <xf numFmtId="9" fontId="12" fillId="0" borderId="0" applyFill="0" applyBorder="0" applyProtection="0">
      <alignment horizontal="right"/>
    </xf>
    <xf numFmtId="0" fontId="6" fillId="0" borderId="0" applyNumberFormat="0" applyFill="0" applyBorder="0" applyProtection="0">
      <alignment vertical="center"/>
    </xf>
    <xf numFmtId="0" fontId="13" fillId="0" borderId="3" applyProtection="0">
      <alignment vertical="center"/>
    </xf>
    <xf numFmtId="43" fontId="1" fillId="0" borderId="0" applyFont="0" applyFill="0" applyBorder="0" applyAlignment="0" applyProtection="0"/>
    <xf numFmtId="41" fontId="1" fillId="0" borderId="0" applyFont="0" applyFill="0" applyBorder="0" applyAlignment="0" applyProtection="0"/>
    <xf numFmtId="164" fontId="12" fillId="0" borderId="0" applyFill="0" applyBorder="0" applyAlignment="0" applyProtection="0"/>
    <xf numFmtId="0" fontId="1" fillId="4" borderId="1" applyNumberFormat="0" applyFont="0" applyAlignment="0" applyProtection="0"/>
    <xf numFmtId="0" fontId="2" fillId="2" borderId="0">
      <alignment horizontal="right" vertical="center" indent="1"/>
    </xf>
    <xf numFmtId="164" fontId="10" fillId="2" borderId="0" applyBorder="0" applyAlignment="0" applyProtection="0"/>
    <xf numFmtId="9" fontId="10" fillId="2" borderId="0" applyBorder="0" applyAlignment="0" applyProtection="0"/>
    <xf numFmtId="0" fontId="1" fillId="0" borderId="0">
      <alignment horizontal="right" wrapText="1" indent="1"/>
    </xf>
    <xf numFmtId="0" fontId="14" fillId="0" borderId="0" applyFill="0" applyProtection="0">
      <alignment horizontal="right" vertical="center"/>
    </xf>
    <xf numFmtId="0" fontId="3" fillId="0" borderId="0" applyFill="0" applyProtection="0">
      <alignment horizontal="right" vertical="center"/>
    </xf>
    <xf numFmtId="167" fontId="11" fillId="0" borderId="2" applyFill="0" applyProtection="0">
      <alignment horizontal="center" vertical="center"/>
    </xf>
    <xf numFmtId="0" fontId="7" fillId="0" borderId="0">
      <alignment horizontal="right" indent="1"/>
    </xf>
    <xf numFmtId="42" fontId="1" fillId="5" borderId="0" applyNumberFormat="0" applyFont="0" applyAlignment="0">
      <alignment horizontal="center"/>
    </xf>
    <xf numFmtId="42" fontId="12" fillId="3" borderId="4" applyNumberFormat="0" applyFont="0" applyAlignment="0"/>
    <xf numFmtId="42" fontId="12" fillId="6" borderId="4" applyNumberFormat="0" applyFont="0" applyAlignment="0"/>
  </cellStyleXfs>
  <cellXfs count="108">
    <xf numFmtId="0" fontId="0" fillId="0" borderId="0" xfId="0"/>
    <xf numFmtId="0" fontId="5" fillId="0" borderId="0" xfId="0" applyFont="1" applyAlignment="1">
      <alignment vertical="center"/>
    </xf>
    <xf numFmtId="0" fontId="9" fillId="0" borderId="0" xfId="0" applyFont="1"/>
    <xf numFmtId="0" fontId="8" fillId="0" borderId="0" xfId="0" applyFont="1" applyAlignment="1">
      <alignment horizontal="right" vertical="center"/>
    </xf>
    <xf numFmtId="0" fontId="2" fillId="2" borderId="0" xfId="8">
      <alignment horizontal="right" vertical="center" indent="1"/>
    </xf>
    <xf numFmtId="0" fontId="0" fillId="0" borderId="0" xfId="0" applyAlignment="1">
      <alignment horizontal="center"/>
    </xf>
    <xf numFmtId="0" fontId="14" fillId="0" borderId="0" xfId="12">
      <alignment horizontal="right" vertical="center"/>
    </xf>
    <xf numFmtId="0" fontId="3" fillId="0" borderId="0" xfId="13">
      <alignment horizontal="right" vertical="center"/>
    </xf>
    <xf numFmtId="165" fontId="0" fillId="0" borderId="0" xfId="0" applyNumberFormat="1" applyAlignment="1">
      <alignment horizontal="center"/>
    </xf>
    <xf numFmtId="9" fontId="12" fillId="0" borderId="0" xfId="1" applyAlignment="1">
      <alignment horizontal="right" vertical="center"/>
    </xf>
    <xf numFmtId="9" fontId="0" fillId="0" borderId="0" xfId="0" applyNumberFormat="1" applyAlignment="1">
      <alignment horizontal="right" vertical="center" shrinkToFit="1"/>
    </xf>
    <xf numFmtId="0" fontId="0" fillId="0" borderId="5" xfId="0" applyBorder="1"/>
    <xf numFmtId="0" fontId="5" fillId="0" borderId="5" xfId="0" applyFont="1" applyBorder="1" applyAlignment="1">
      <alignment vertical="center"/>
    </xf>
    <xf numFmtId="0" fontId="9" fillId="0" borderId="5" xfId="0" applyFont="1" applyBorder="1"/>
    <xf numFmtId="0" fontId="1" fillId="0" borderId="0" xfId="11" applyAlignment="1">
      <alignment horizontal="right" vertical="center" wrapText="1" indent="1"/>
    </xf>
    <xf numFmtId="0" fontId="4" fillId="0" borderId="0" xfId="16" applyNumberFormat="1" applyFont="1" applyFill="1" applyAlignment="1">
      <alignment horizontal="center" vertical="center"/>
    </xf>
    <xf numFmtId="0" fontId="5" fillId="0" borderId="6" xfId="0" applyFont="1" applyBorder="1" applyAlignment="1">
      <alignment vertical="center"/>
    </xf>
    <xf numFmtId="0" fontId="0" fillId="0" borderId="6" xfId="0" applyBorder="1"/>
    <xf numFmtId="0" fontId="0" fillId="0" borderId="0" xfId="0" applyAlignment="1">
      <alignment horizontal="right" vertical="center" indent="1"/>
    </xf>
    <xf numFmtId="165" fontId="0" fillId="0" borderId="8" xfId="0" applyNumberFormat="1" applyBorder="1" applyAlignment="1">
      <alignment horizontal="center"/>
    </xf>
    <xf numFmtId="165" fontId="0" fillId="0" borderId="10" xfId="0" applyNumberFormat="1" applyBorder="1" applyAlignment="1">
      <alignment horizontal="center"/>
    </xf>
    <xf numFmtId="165" fontId="0" fillId="0" borderId="11" xfId="0" applyNumberFormat="1" applyBorder="1" applyAlignment="1">
      <alignment horizontal="center"/>
    </xf>
    <xf numFmtId="9" fontId="12" fillId="0" borderId="10" xfId="1" applyBorder="1" applyAlignment="1">
      <alignment horizontal="right" vertical="center"/>
    </xf>
    <xf numFmtId="9" fontId="0" fillId="0" borderId="12" xfId="0" applyNumberFormat="1" applyBorder="1" applyAlignment="1">
      <alignment horizontal="right" vertical="center" shrinkToFit="1"/>
    </xf>
    <xf numFmtId="167" fontId="16" fillId="7" borderId="13" xfId="14" applyFont="1" applyFill="1" applyBorder="1">
      <alignment horizontal="center" vertical="center"/>
    </xf>
    <xf numFmtId="167" fontId="16" fillId="7" borderId="11" xfId="14" applyFont="1" applyFill="1" applyBorder="1">
      <alignment horizontal="center" vertical="center"/>
    </xf>
    <xf numFmtId="167" fontId="16" fillId="7" borderId="7" xfId="14" applyFont="1" applyFill="1" applyBorder="1">
      <alignment horizontal="center" vertical="center"/>
    </xf>
    <xf numFmtId="167" fontId="16" fillId="7" borderId="0" xfId="14" applyFont="1" applyFill="1" applyBorder="1">
      <alignment horizontal="center" vertical="center"/>
    </xf>
    <xf numFmtId="167" fontId="16" fillId="7" borderId="14" xfId="14" applyFont="1" applyFill="1" applyBorder="1">
      <alignment horizontal="center" vertical="center"/>
    </xf>
    <xf numFmtId="167" fontId="16" fillId="7" borderId="15" xfId="14" applyFont="1" applyFill="1" applyBorder="1">
      <alignment horizontal="center" vertical="center"/>
    </xf>
    <xf numFmtId="167" fontId="16" fillId="7" borderId="9" xfId="14" applyFont="1" applyFill="1" applyBorder="1">
      <alignment horizontal="center" vertical="center"/>
    </xf>
    <xf numFmtId="0" fontId="0" fillId="0" borderId="0" xfId="0" applyAlignment="1">
      <alignment horizontal="right" vertical="center" wrapText="1" indent="1"/>
    </xf>
    <xf numFmtId="165" fontId="0" fillId="0" borderId="16" xfId="0" applyNumberFormat="1" applyBorder="1" applyAlignment="1">
      <alignment horizontal="center"/>
    </xf>
    <xf numFmtId="9" fontId="12" fillId="0" borderId="16" xfId="1" applyBorder="1" applyAlignment="1">
      <alignment horizontal="right" vertical="center"/>
    </xf>
    <xf numFmtId="165" fontId="0" fillId="0" borderId="17" xfId="0" applyNumberFormat="1" applyBorder="1" applyAlignment="1">
      <alignment horizontal="center"/>
    </xf>
    <xf numFmtId="9" fontId="12" fillId="0" borderId="17" xfId="1" applyBorder="1" applyAlignment="1">
      <alignment horizontal="right" vertical="center"/>
    </xf>
    <xf numFmtId="9" fontId="0" fillId="0" borderId="18" xfId="0" applyNumberFormat="1" applyBorder="1" applyAlignment="1">
      <alignment horizontal="right" vertical="center" shrinkToFit="1"/>
    </xf>
    <xf numFmtId="9" fontId="0" fillId="0" borderId="19" xfId="0" applyNumberFormat="1" applyBorder="1" applyAlignment="1">
      <alignment horizontal="right" vertical="center" shrinkToFit="1"/>
    </xf>
    <xf numFmtId="9" fontId="0" fillId="0" borderId="20" xfId="0" applyNumberFormat="1" applyBorder="1" applyAlignment="1">
      <alignment vertical="center" shrinkToFit="1"/>
    </xf>
    <xf numFmtId="167" fontId="16" fillId="7" borderId="21" xfId="14" applyFont="1" applyFill="1" applyBorder="1">
      <alignment horizontal="center" vertical="center"/>
    </xf>
    <xf numFmtId="0" fontId="15" fillId="0" borderId="0" xfId="2" applyFont="1">
      <alignment vertical="center"/>
    </xf>
    <xf numFmtId="0" fontId="0" fillId="0" borderId="0" xfId="0" applyAlignment="1">
      <alignment horizontal="right" vertical="center" wrapText="1"/>
    </xf>
    <xf numFmtId="167" fontId="16" fillId="7" borderId="22" xfId="14" applyFont="1" applyFill="1" applyBorder="1">
      <alignment horizontal="center" vertical="center"/>
    </xf>
    <xf numFmtId="165" fontId="0" fillId="0" borderId="23" xfId="0" applyNumberFormat="1" applyBorder="1" applyAlignment="1">
      <alignment horizontal="center"/>
    </xf>
    <xf numFmtId="167" fontId="16" fillId="7" borderId="25" xfId="14" applyFont="1" applyFill="1" applyBorder="1">
      <alignment horizontal="center" vertical="center"/>
    </xf>
    <xf numFmtId="167" fontId="16" fillId="7" borderId="26" xfId="14" applyFont="1" applyFill="1" applyBorder="1">
      <alignment horizontal="center" vertical="center"/>
    </xf>
    <xf numFmtId="167" fontId="16" fillId="7" borderId="27" xfId="14" applyFont="1" applyFill="1" applyBorder="1">
      <alignment horizontal="center" vertical="center"/>
    </xf>
    <xf numFmtId="0" fontId="19" fillId="0" borderId="0" xfId="15" applyFont="1" applyAlignment="1">
      <alignment horizontal="center" vertical="center"/>
    </xf>
    <xf numFmtId="0" fontId="2" fillId="0" borderId="0" xfId="8" applyFill="1">
      <alignment horizontal="right" vertical="center" indent="1"/>
    </xf>
    <xf numFmtId="9" fontId="10" fillId="2" borderId="28" xfId="10" applyBorder="1" applyAlignment="1">
      <alignment vertical="center"/>
    </xf>
    <xf numFmtId="0" fontId="2" fillId="2" borderId="28" xfId="8" applyBorder="1">
      <alignment horizontal="right" vertical="center" indent="1"/>
    </xf>
    <xf numFmtId="0" fontId="20" fillId="0" borderId="0" xfId="0" applyFont="1"/>
    <xf numFmtId="0" fontId="21" fillId="0" borderId="5" xfId="2" applyFont="1" applyBorder="1">
      <alignment vertical="center"/>
    </xf>
    <xf numFmtId="0" fontId="22" fillId="0" borderId="5" xfId="12" applyFont="1" applyBorder="1" applyAlignment="1">
      <alignment horizontal="left" vertical="center"/>
    </xf>
    <xf numFmtId="9" fontId="12" fillId="0" borderId="33" xfId="1" applyBorder="1" applyAlignment="1">
      <alignment horizontal="right" vertical="center"/>
    </xf>
    <xf numFmtId="9" fontId="12" fillId="0" borderId="34" xfId="1" applyBorder="1" applyAlignment="1">
      <alignment horizontal="right" vertical="center"/>
    </xf>
    <xf numFmtId="0" fontId="18" fillId="8" borderId="0" xfId="8" applyFont="1" applyFill="1">
      <alignment horizontal="right" vertical="center" indent="1"/>
    </xf>
    <xf numFmtId="0" fontId="2" fillId="8" borderId="0" xfId="8" applyFill="1">
      <alignment horizontal="right" vertical="center" indent="1"/>
    </xf>
    <xf numFmtId="9" fontId="10" fillId="8" borderId="0" xfId="10" applyFill="1" applyAlignment="1">
      <alignment horizontal="right" vertical="center" indent="1"/>
    </xf>
    <xf numFmtId="0" fontId="23" fillId="0" borderId="0" xfId="3" applyFont="1" applyBorder="1">
      <alignment vertical="center"/>
    </xf>
    <xf numFmtId="0" fontId="24" fillId="0" borderId="0" xfId="0" applyFont="1"/>
    <xf numFmtId="0" fontId="25" fillId="0" borderId="0" xfId="13" applyFont="1">
      <alignment horizontal="right" vertical="center"/>
    </xf>
    <xf numFmtId="0" fontId="25" fillId="0" borderId="0" xfId="13" applyFont="1" applyAlignment="1">
      <alignment horizontal="center" vertical="center" wrapText="1"/>
    </xf>
    <xf numFmtId="0" fontId="26" fillId="0" borderId="0" xfId="3" applyFont="1" applyBorder="1">
      <alignment vertical="center"/>
    </xf>
    <xf numFmtId="0" fontId="27" fillId="0" borderId="0" xfId="13" applyFont="1">
      <alignment horizontal="right" vertical="center"/>
    </xf>
    <xf numFmtId="0" fontId="27" fillId="0" borderId="0" xfId="13" applyFont="1" applyAlignment="1">
      <alignment horizontal="center" vertical="center" wrapText="1"/>
    </xf>
    <xf numFmtId="0" fontId="28" fillId="0" borderId="0" xfId="3" applyFont="1" applyBorder="1">
      <alignment vertical="center"/>
    </xf>
    <xf numFmtId="0" fontId="29" fillId="0" borderId="0" xfId="0" applyFont="1"/>
    <xf numFmtId="0" fontId="30" fillId="0" borderId="0" xfId="13" applyFont="1">
      <alignment horizontal="right" vertical="center"/>
    </xf>
    <xf numFmtId="0" fontId="30" fillId="0" borderId="0" xfId="13" applyFont="1" applyAlignment="1">
      <alignment horizontal="center" vertical="center" wrapText="1"/>
    </xf>
    <xf numFmtId="166" fontId="31" fillId="0" borderId="0" xfId="0" applyNumberFormat="1" applyFont="1" applyAlignment="1">
      <alignment horizontal="center" vertical="center"/>
    </xf>
    <xf numFmtId="166" fontId="31" fillId="0" borderId="35" xfId="0" applyNumberFormat="1" applyFont="1" applyBorder="1" applyAlignment="1">
      <alignment horizontal="center" vertical="center"/>
    </xf>
    <xf numFmtId="166" fontId="31" fillId="0" borderId="30" xfId="0" applyNumberFormat="1" applyFont="1" applyBorder="1" applyAlignment="1">
      <alignment horizontal="center" vertical="center"/>
    </xf>
    <xf numFmtId="166" fontId="31" fillId="0" borderId="31" xfId="0" applyNumberFormat="1" applyFont="1" applyBorder="1" applyAlignment="1">
      <alignment horizontal="center" vertical="center"/>
    </xf>
    <xf numFmtId="166" fontId="31" fillId="0" borderId="32" xfId="0" applyNumberFormat="1" applyFont="1" applyBorder="1" applyAlignment="1">
      <alignment horizontal="center" vertical="center"/>
    </xf>
    <xf numFmtId="0" fontId="32" fillId="0" borderId="0" xfId="15" applyFont="1" applyAlignment="1">
      <alignment horizontal="center" vertical="center"/>
    </xf>
    <xf numFmtId="0" fontId="33" fillId="0" borderId="0" xfId="15" applyFont="1" applyAlignment="1">
      <alignment horizontal="center" vertical="center"/>
    </xf>
    <xf numFmtId="165" fontId="17" fillId="0" borderId="0" xfId="0" applyNumberFormat="1" applyFont="1"/>
    <xf numFmtId="165" fontId="17" fillId="0" borderId="36" xfId="0" applyNumberFormat="1" applyFont="1" applyBorder="1"/>
    <xf numFmtId="165" fontId="17" fillId="0" borderId="33" xfId="0" applyNumberFormat="1" applyFont="1" applyBorder="1"/>
    <xf numFmtId="165" fontId="17" fillId="0" borderId="34" xfId="0" applyNumberFormat="1" applyFont="1" applyBorder="1" applyAlignment="1">
      <alignment wrapText="1"/>
    </xf>
    <xf numFmtId="0" fontId="0" fillId="0" borderId="0" xfId="0" applyAlignment="1">
      <alignment horizontal="right" vertical="center"/>
    </xf>
    <xf numFmtId="9" fontId="0" fillId="0" borderId="0" xfId="0" applyNumberFormat="1" applyAlignment="1">
      <alignment vertical="center"/>
    </xf>
    <xf numFmtId="9" fontId="0" fillId="0" borderId="38" xfId="0" applyNumberFormat="1" applyBorder="1" applyAlignment="1">
      <alignment vertical="center"/>
    </xf>
    <xf numFmtId="0" fontId="0" fillId="0" borderId="17" xfId="0" applyBorder="1"/>
    <xf numFmtId="9" fontId="0" fillId="0" borderId="8" xfId="0" applyNumberFormat="1" applyBorder="1" applyAlignment="1">
      <alignment horizontal="right" vertical="center" shrinkToFit="1"/>
    </xf>
    <xf numFmtId="9" fontId="0" fillId="0" borderId="39" xfId="0" applyNumberFormat="1" applyBorder="1" applyAlignment="1">
      <alignment horizontal="right" vertical="center" shrinkToFit="1"/>
    </xf>
    <xf numFmtId="167" fontId="31" fillId="0" borderId="29" xfId="0" applyNumberFormat="1" applyFont="1" applyBorder="1" applyAlignment="1">
      <alignment horizontal="center" vertical="center"/>
    </xf>
    <xf numFmtId="167" fontId="31" fillId="0" borderId="0" xfId="0" applyNumberFormat="1" applyFont="1" applyAlignment="1">
      <alignment horizontal="center" vertical="center"/>
    </xf>
    <xf numFmtId="9" fontId="12" fillId="0" borderId="36" xfId="1" applyBorder="1" applyAlignment="1">
      <alignment horizontal="right" vertical="center"/>
    </xf>
    <xf numFmtId="9" fontId="12" fillId="0" borderId="11" xfId="1" applyBorder="1" applyAlignment="1">
      <alignment horizontal="right" vertical="center"/>
    </xf>
    <xf numFmtId="9" fontId="0" fillId="0" borderId="41" xfId="0" applyNumberFormat="1" applyBorder="1" applyAlignment="1">
      <alignment horizontal="right" vertical="center" shrinkToFit="1"/>
    </xf>
    <xf numFmtId="168" fontId="12" fillId="0" borderId="0" xfId="6" applyNumberFormat="1" applyAlignment="1">
      <alignment vertical="center"/>
    </xf>
    <xf numFmtId="168" fontId="12" fillId="0" borderId="8" xfId="6" applyNumberFormat="1" applyBorder="1" applyAlignment="1">
      <alignment horizontal="center" vertical="center"/>
    </xf>
    <xf numFmtId="168" fontId="0" fillId="0" borderId="0" xfId="0" applyNumberFormat="1" applyAlignment="1">
      <alignment vertical="center" shrinkToFit="1"/>
    </xf>
    <xf numFmtId="168" fontId="0" fillId="0" borderId="40" xfId="0" applyNumberFormat="1" applyBorder="1" applyAlignment="1">
      <alignment vertical="center" shrinkToFit="1"/>
    </xf>
    <xf numFmtId="169" fontId="12" fillId="0" borderId="0" xfId="6" applyNumberFormat="1" applyAlignment="1">
      <alignment vertical="center"/>
    </xf>
    <xf numFmtId="169" fontId="12" fillId="0" borderId="23" xfId="6" applyNumberFormat="1" applyBorder="1" applyAlignment="1">
      <alignment horizontal="center" vertical="center"/>
    </xf>
    <xf numFmtId="169" fontId="0" fillId="0" borderId="0" xfId="0" applyNumberFormat="1" applyAlignment="1">
      <alignment vertical="center" shrinkToFit="1"/>
    </xf>
    <xf numFmtId="169" fontId="0" fillId="0" borderId="24" xfId="0" applyNumberFormat="1" applyBorder="1" applyAlignment="1">
      <alignment vertical="center" shrinkToFit="1"/>
    </xf>
    <xf numFmtId="169" fontId="0" fillId="0" borderId="0" xfId="0" applyNumberFormat="1"/>
    <xf numFmtId="169" fontId="10" fillId="2" borderId="28" xfId="9" applyNumberFormat="1" applyBorder="1" applyAlignment="1">
      <alignment horizontal="right" vertical="center" indent="1"/>
    </xf>
    <xf numFmtId="169" fontId="12" fillId="0" borderId="36" xfId="6" applyNumberFormat="1" applyBorder="1" applyAlignment="1">
      <alignment vertical="center"/>
    </xf>
    <xf numFmtId="169" fontId="12" fillId="0" borderId="0" xfId="6" applyNumberFormat="1" applyAlignment="1">
      <alignment vertical="center" shrinkToFit="1"/>
    </xf>
    <xf numFmtId="169" fontId="12" fillId="0" borderId="36" xfId="6" applyNumberFormat="1" applyBorder="1" applyAlignment="1">
      <alignment vertical="center" shrinkToFit="1"/>
    </xf>
    <xf numFmtId="169" fontId="0" fillId="0" borderId="37" xfId="0" applyNumberFormat="1" applyBorder="1" applyAlignment="1">
      <alignment vertical="center" shrinkToFit="1"/>
    </xf>
    <xf numFmtId="169" fontId="0" fillId="0" borderId="0" xfId="0" applyNumberFormat="1" applyAlignment="1">
      <alignment horizontal="center"/>
    </xf>
    <xf numFmtId="169" fontId="10" fillId="8" borderId="0" xfId="9" applyNumberFormat="1" applyFill="1" applyAlignment="1">
      <alignment horizontal="right" vertical="center" indent="1"/>
    </xf>
  </cellXfs>
  <cellStyles count="19">
    <cellStyle name="Bénéfices" xfId="8" xr:uid="{00000000-0005-0000-0000-00000C000000}"/>
    <cellStyle name="Détails du tableau" xfId="11" xr:uid="{00000000-0005-0000-0000-000010000000}"/>
    <cellStyle name="Montant des bénéfices" xfId="9" xr:uid="{00000000-0005-0000-0000-00000D000000}"/>
    <cellStyle name="Pourcentage de marge" xfId="10" xr:uid="{00000000-0005-0000-0000-00000E000000}"/>
    <cellStyle name="Remplissage Chiffre d’affaires" xfId="16" xr:uid="{00000000-0005-0000-0000-00000F000000}"/>
    <cellStyle name="Remplissage Coût des ventes" xfId="17" xr:uid="{00000000-0005-0000-0000-000002000000}"/>
    <cellStyle name="Remplissage Dépenses" xfId="18" xr:uid="{00000000-0005-0000-0000-000004000000}"/>
    <cellStyle name="Titre de tableau 1" xfId="15" xr:uid="{00000000-0005-0000-0000-000011000000}"/>
    <cellStyle name="千位分隔" xfId="4" builtinId="3" customBuiltin="1"/>
    <cellStyle name="千位分隔[0]" xfId="5" builtinId="6" customBuiltin="1"/>
    <cellStyle name="常规" xfId="0" builtinId="0" customBuiltin="1"/>
    <cellStyle name="标题" xfId="2" builtinId="15" customBuiltin="1"/>
    <cellStyle name="标题 1" xfId="3" builtinId="16" customBuiltin="1"/>
    <cellStyle name="标题 2" xfId="12" builtinId="17" customBuiltin="1"/>
    <cellStyle name="标题 3" xfId="13" builtinId="18" customBuiltin="1"/>
    <cellStyle name="标题 4" xfId="14" builtinId="19" customBuiltin="1"/>
    <cellStyle name="注释" xfId="7" builtinId="10" customBuiltin="1"/>
    <cellStyle name="百分比" xfId="1" builtinId="5" customBuiltin="1"/>
    <cellStyle name="货币[0]" xfId="6" builtinId="7" customBuiltin="1"/>
  </cellStyles>
  <dxfs count="196">
    <dxf>
      <numFmt numFmtId="13" formatCode="0%"/>
      <alignment horizontal="general" vertical="center" textRotation="0" wrapText="0" indent="0" justifyLastLine="0" shrinkToFit="0" readingOrder="0"/>
      <border diagonalUp="0" diagonalDown="0" outline="0">
        <left/>
        <right style="thin">
          <color auto="1"/>
        </right>
        <top/>
        <bottom/>
      </border>
    </dxf>
    <dxf>
      <numFmt numFmtId="13" formatCode="0%"/>
      <alignment vertical="center" textRotation="0" wrapText="0" indent="0" justifyLastLine="0" readingOrder="0"/>
    </dxf>
    <dxf>
      <numFmt numFmtId="13" formatCode="0%"/>
      <alignment horizontal="general" vertical="center" textRotation="0" wrapText="0" indent="0" justifyLastLine="0" shrinkToFit="0" readingOrder="0"/>
    </dxf>
    <dxf>
      <numFmt numFmtId="13" formatCode="0%"/>
      <alignment vertical="center" textRotation="0" wrapText="0" indent="0" justifyLastLine="0" readingOrder="0"/>
    </dxf>
    <dxf>
      <numFmt numFmtId="13" formatCode="0%"/>
      <alignment horizontal="general" vertical="center" textRotation="0" wrapText="0" indent="0" justifyLastLine="0" shrinkToFit="0" readingOrder="0"/>
    </dxf>
    <dxf>
      <numFmt numFmtId="13" formatCode="0%"/>
      <alignment vertical="center" textRotation="0" wrapText="0" indent="0" justifyLastLine="0" readingOrder="0"/>
    </dxf>
    <dxf>
      <numFmt numFmtId="13" formatCode="0%"/>
      <alignment horizontal="general" vertical="center" textRotation="0" wrapText="0" indent="0" justifyLastLine="0" shrinkToFit="0" readingOrder="0"/>
    </dxf>
    <dxf>
      <numFmt numFmtId="13" formatCode="0%"/>
      <alignment vertical="center" textRotation="0" wrapText="0" indent="0" justifyLastLine="0" readingOrder="0"/>
    </dxf>
    <dxf>
      <numFmt numFmtId="13" formatCode="0%"/>
      <alignment horizontal="general" vertical="center" textRotation="0" wrapText="0" indent="0" justifyLastLine="0" shrinkToFit="0" readingOrder="0"/>
    </dxf>
    <dxf>
      <numFmt numFmtId="13" formatCode="0%"/>
      <alignment vertical="center" textRotation="0" wrapText="0" indent="0" justifyLastLine="0" readingOrder="0"/>
    </dxf>
    <dxf>
      <numFmt numFmtId="13" formatCode="0%"/>
      <alignment horizontal="general" vertical="center" textRotation="0" wrapText="0" indent="0" justifyLastLine="0" shrinkToFit="0" readingOrder="0"/>
    </dxf>
    <dxf>
      <numFmt numFmtId="13" formatCode="0%"/>
      <alignment vertical="center" textRotation="0" wrapText="0" indent="0" justifyLastLine="0" readingOrder="0"/>
    </dxf>
    <dxf>
      <numFmt numFmtId="13" formatCode="0%"/>
      <alignment horizontal="general" vertical="center" textRotation="0" wrapText="0" indent="0" justifyLastLine="0" shrinkToFit="0" readingOrder="0"/>
    </dxf>
    <dxf>
      <numFmt numFmtId="13" formatCode="0%"/>
      <alignment vertical="center" textRotation="0" wrapText="0" indent="0" justifyLastLine="0" readingOrder="0"/>
    </dxf>
    <dxf>
      <numFmt numFmtId="13" formatCode="0%"/>
      <alignment horizontal="general" vertical="center" textRotation="0" wrapText="0" indent="0" justifyLastLine="0" shrinkToFit="0" readingOrder="0"/>
    </dxf>
    <dxf>
      <numFmt numFmtId="13" formatCode="0%"/>
      <alignment vertical="center" textRotation="0" wrapText="0" indent="0" justifyLastLine="0" readingOrder="0"/>
    </dxf>
    <dxf>
      <numFmt numFmtId="13" formatCode="0%"/>
      <alignment horizontal="general" vertical="center" textRotation="0" wrapText="0" indent="0" justifyLastLine="0" shrinkToFit="0" readingOrder="0"/>
    </dxf>
    <dxf>
      <numFmt numFmtId="13" formatCode="0%"/>
      <alignment vertical="center" textRotation="0" wrapText="0" indent="0" justifyLastLine="0" readingOrder="0"/>
    </dxf>
    <dxf>
      <numFmt numFmtId="13" formatCode="0%"/>
      <alignment horizontal="general" vertical="center" textRotation="0" wrapText="0" indent="0" justifyLastLine="0" shrinkToFit="0" readingOrder="0"/>
    </dxf>
    <dxf>
      <numFmt numFmtId="13" formatCode="0%"/>
      <alignment vertical="center" textRotation="0" wrapText="0" indent="0" justifyLastLine="0" readingOrder="0"/>
    </dxf>
    <dxf>
      <numFmt numFmtId="13" formatCode="0%"/>
      <alignment horizontal="general" vertical="center" textRotation="0" wrapText="0" indent="0" justifyLastLine="0" shrinkToFit="0" readingOrder="0"/>
    </dxf>
    <dxf>
      <numFmt numFmtId="13" formatCode="0%"/>
      <alignment vertical="center" textRotation="0" wrapText="0" indent="0" justifyLastLine="0" readingOrder="0"/>
    </dxf>
    <dxf>
      <numFmt numFmtId="13" formatCode="0%"/>
      <alignment horizontal="general" vertical="center" textRotation="0" wrapText="0" indent="0" justifyLastLine="0" shrinkToFit="0" readingOrder="0"/>
    </dxf>
    <dxf>
      <numFmt numFmtId="13" formatCode="0%"/>
      <alignment vertical="center" textRotation="0" wrapText="0" indent="0" justifyLastLine="0" readingOrder="0"/>
    </dxf>
    <dxf>
      <numFmt numFmtId="13" formatCode="0%"/>
      <alignment horizontal="general" vertical="center" textRotation="0" wrapText="0" indent="0" justifyLastLine="0" shrinkToFit="0" readingOrder="0"/>
    </dxf>
    <dxf>
      <numFmt numFmtId="13" formatCode="0%"/>
      <alignment vertical="center" textRotation="0" wrapText="0" indent="0" justifyLastLine="0" readingOrder="0"/>
    </dxf>
    <dxf>
      <border diagonalUp="0" diagonalDown="0">
        <left style="thin">
          <color theme="9" tint="-0.499984740745262"/>
        </left>
        <right style="thin">
          <color theme="9" tint="-0.499984740745262"/>
        </right>
        <top/>
        <bottom/>
      </border>
    </dxf>
    <dxf>
      <alignment horizontal="right" vertical="center" textRotation="0" wrapText="0" indent="0" justifyLastLine="0" shrinkToFit="0" readingOrder="0"/>
    </dxf>
    <dxf>
      <numFmt numFmtId="164" formatCode="_-* #,##0\ &quot;€&quot;_-;\-* #,##0\ &quot;€&quot;_-;_-* &quot;-&quot;\ &quot;€&quot;_-;_-@_-"/>
      <alignment horizontal="general" vertical="center" textRotation="0" wrapText="0" indent="0" justifyLastLine="0" shrinkToFit="1" readingOrder="0"/>
      <border diagonalUp="0" diagonalDown="0" outline="0">
        <left style="thin">
          <color theme="9" tint="-0.499984740745262"/>
        </left>
        <right style="thin">
          <color theme="9" tint="-0.499984740745262"/>
        </right>
        <top/>
        <bottom style="thin">
          <color theme="9" tint="-0.499984740745262"/>
        </bottom>
      </border>
    </dxf>
    <dxf>
      <numFmt numFmtId="169" formatCode="_ * #,##0.00_)\ [$$-C0C]_ ;_ * \(#,##0.00\)\ [$$-C0C]_ ;_ * &quot;-&quot;??_)\ [$$-C0C]_ ;_ @_ "/>
      <alignment vertical="center" textRotation="0" wrapText="0" indent="0" justifyLastLine="0" readingOrder="0"/>
    </dxf>
    <dxf>
      <numFmt numFmtId="164" formatCode="_-* #,##0\ &quot;€&quot;_-;\-* #,##0\ &quot;€&quot;_-;_-* &quot;-&quot;\ &quot;€&quot;_-;_-@_-"/>
      <alignment horizontal="general" vertical="center" textRotation="0" wrapText="0" indent="0" justifyLastLine="0" shrinkToFit="1" readingOrder="0"/>
    </dxf>
    <dxf>
      <numFmt numFmtId="169" formatCode="_ * #,##0.00_)\ [$$-C0C]_ ;_ * \(#,##0.00\)\ [$$-C0C]_ ;_ * &quot;-&quot;??_)\ [$$-C0C]_ ;_ @_ "/>
      <alignment vertical="center" textRotation="0" wrapText="0" indent="0" justifyLastLine="0" readingOrder="0"/>
    </dxf>
    <dxf>
      <numFmt numFmtId="164" formatCode="_-* #,##0\ &quot;€&quot;_-;\-* #,##0\ &quot;€&quot;_-;_-* &quot;-&quot;\ &quot;€&quot;_-;_-@_-"/>
      <alignment horizontal="general" vertical="center" textRotation="0" wrapText="0" indent="0" justifyLastLine="0" shrinkToFit="1" readingOrder="0"/>
    </dxf>
    <dxf>
      <numFmt numFmtId="169" formatCode="_ * #,##0.00_)\ [$$-C0C]_ ;_ * \(#,##0.00\)\ [$$-C0C]_ ;_ * &quot;-&quot;??_)\ [$$-C0C]_ ;_ @_ "/>
      <alignment vertical="center" textRotation="0" wrapText="0" indent="0" justifyLastLine="0" readingOrder="0"/>
    </dxf>
    <dxf>
      <numFmt numFmtId="164" formatCode="_-* #,##0\ &quot;€&quot;_-;\-* #,##0\ &quot;€&quot;_-;_-* &quot;-&quot;\ &quot;€&quot;_-;_-@_-"/>
      <alignment horizontal="general" vertical="center" textRotation="0" wrapText="0" indent="0" justifyLastLine="0" shrinkToFit="1" readingOrder="0"/>
    </dxf>
    <dxf>
      <numFmt numFmtId="169" formatCode="_ * #,##0.00_)\ [$$-C0C]_ ;_ * \(#,##0.00\)\ [$$-C0C]_ ;_ * &quot;-&quot;??_)\ [$$-C0C]_ ;_ @_ "/>
      <alignment vertical="center" textRotation="0" wrapText="0" indent="0" justifyLastLine="0" readingOrder="0"/>
    </dxf>
    <dxf>
      <numFmt numFmtId="164" formatCode="_-* #,##0\ &quot;€&quot;_-;\-* #,##0\ &quot;€&quot;_-;_-* &quot;-&quot;\ &quot;€&quot;_-;_-@_-"/>
      <alignment horizontal="general" vertical="center" textRotation="0" wrapText="0" indent="0" justifyLastLine="0" shrinkToFit="1" readingOrder="0"/>
    </dxf>
    <dxf>
      <numFmt numFmtId="169" formatCode="_ * #,##0.00_)\ [$$-C0C]_ ;_ * \(#,##0.00\)\ [$$-C0C]_ ;_ * &quot;-&quot;??_)\ [$$-C0C]_ ;_ @_ "/>
      <alignment vertical="center" textRotation="0" wrapText="0" indent="0" justifyLastLine="0" readingOrder="0"/>
    </dxf>
    <dxf>
      <numFmt numFmtId="164" formatCode="_-* #,##0\ &quot;€&quot;_-;\-* #,##0\ &quot;€&quot;_-;_-* &quot;-&quot;\ &quot;€&quot;_-;_-@_-"/>
      <alignment horizontal="general" vertical="center" textRotation="0" wrapText="0" indent="0" justifyLastLine="0" shrinkToFit="1" readingOrder="0"/>
    </dxf>
    <dxf>
      <numFmt numFmtId="169" formatCode="_ * #,##0.00_)\ [$$-C0C]_ ;_ * \(#,##0.00\)\ [$$-C0C]_ ;_ * &quot;-&quot;??_)\ [$$-C0C]_ ;_ @_ "/>
      <alignment vertical="center" textRotation="0" wrapText="0" indent="0" justifyLastLine="0" readingOrder="0"/>
    </dxf>
    <dxf>
      <numFmt numFmtId="164" formatCode="_-* #,##0\ &quot;€&quot;_-;\-* #,##0\ &quot;€&quot;_-;_-* &quot;-&quot;\ &quot;€&quot;_-;_-@_-"/>
      <alignment horizontal="general" vertical="center" textRotation="0" wrapText="0" indent="0" justifyLastLine="0" shrinkToFit="1" readingOrder="0"/>
    </dxf>
    <dxf>
      <numFmt numFmtId="169" formatCode="_ * #,##0.00_)\ [$$-C0C]_ ;_ * \(#,##0.00\)\ [$$-C0C]_ ;_ * &quot;-&quot;??_)\ [$$-C0C]_ ;_ @_ "/>
      <alignment vertical="center" textRotation="0" wrapText="0" indent="0" justifyLastLine="0" readingOrder="0"/>
    </dxf>
    <dxf>
      <numFmt numFmtId="164" formatCode="_-* #,##0\ &quot;€&quot;_-;\-* #,##0\ &quot;€&quot;_-;_-* &quot;-&quot;\ &quot;€&quot;_-;_-@_-"/>
      <alignment horizontal="general" vertical="center" textRotation="0" wrapText="0" indent="0" justifyLastLine="0" shrinkToFit="1" readingOrder="0"/>
    </dxf>
    <dxf>
      <numFmt numFmtId="169" formatCode="_ * #,##0.00_)\ [$$-C0C]_ ;_ * \(#,##0.00\)\ [$$-C0C]_ ;_ * &quot;-&quot;??_)\ [$$-C0C]_ ;_ @_ "/>
      <alignment vertical="center" textRotation="0" wrapText="0" indent="0" justifyLastLine="0" readingOrder="0"/>
    </dxf>
    <dxf>
      <numFmt numFmtId="164" formatCode="_-* #,##0\ &quot;€&quot;_-;\-* #,##0\ &quot;€&quot;_-;_-* &quot;-&quot;\ &quot;€&quot;_-;_-@_-"/>
      <alignment horizontal="general" vertical="center" textRotation="0" wrapText="0" indent="0" justifyLastLine="0" shrinkToFit="1" readingOrder="0"/>
    </dxf>
    <dxf>
      <numFmt numFmtId="169" formatCode="_ * #,##0.00_)\ [$$-C0C]_ ;_ * \(#,##0.00\)\ [$$-C0C]_ ;_ * &quot;-&quot;??_)\ [$$-C0C]_ ;_ @_ "/>
      <alignment vertical="center" textRotation="0" wrapText="0" indent="0" justifyLastLine="0" readingOrder="0"/>
    </dxf>
    <dxf>
      <numFmt numFmtId="164" formatCode="_-* #,##0\ &quot;€&quot;_-;\-* #,##0\ &quot;€&quot;_-;_-* &quot;-&quot;\ &quot;€&quot;_-;_-@_-"/>
      <alignment horizontal="general" vertical="center" textRotation="0" wrapText="0" indent="0" justifyLastLine="0" shrinkToFit="1" readingOrder="0"/>
    </dxf>
    <dxf>
      <numFmt numFmtId="169" formatCode="_ * #,##0.00_)\ [$$-C0C]_ ;_ * \(#,##0.00\)\ [$$-C0C]_ ;_ * &quot;-&quot;??_)\ [$$-C0C]_ ;_ @_ "/>
      <alignment vertical="center" textRotation="0" wrapText="0" indent="0" justifyLastLine="0" readingOrder="0"/>
    </dxf>
    <dxf>
      <numFmt numFmtId="164" formatCode="_-* #,##0\ &quot;€&quot;_-;\-* #,##0\ &quot;€&quot;_-;_-* &quot;-&quot;\ &quot;€&quot;_-;_-@_-"/>
      <alignment horizontal="general" vertical="center" textRotation="0" wrapText="0" indent="0" justifyLastLine="0" shrinkToFit="1" readingOrder="0"/>
    </dxf>
    <dxf>
      <numFmt numFmtId="169" formatCode="_ * #,##0.00_)\ [$$-C0C]_ ;_ * \(#,##0.00\)\ [$$-C0C]_ ;_ * &quot;-&quot;??_)\ [$$-C0C]_ ;_ @_ "/>
      <alignment vertical="center" textRotation="0" wrapText="0" indent="0" justifyLastLine="0" readingOrder="0"/>
    </dxf>
    <dxf>
      <numFmt numFmtId="164" formatCode="_-* #,##0\ &quot;€&quot;_-;\-* #,##0\ &quot;€&quot;_-;_-* &quot;-&quot;\ &quot;€&quot;_-;_-@_-"/>
      <alignment horizontal="general" vertical="center" textRotation="0" wrapText="0" indent="0" justifyLastLine="0" shrinkToFit="1" readingOrder="0"/>
    </dxf>
    <dxf>
      <numFmt numFmtId="169" formatCode="_ * #,##0.00_)\ [$$-C0C]_ ;_ * \(#,##0.00\)\ [$$-C0C]_ ;_ * &quot;-&quot;??_)\ [$$-C0C]_ ;_ @_ "/>
      <alignment vertical="center" textRotation="0" wrapText="0" indent="0" justifyLastLine="0" readingOrder="0"/>
    </dxf>
    <dxf>
      <numFmt numFmtId="164" formatCode="_-* #,##0\ &quot;€&quot;_-;\-* #,##0\ &quot;€&quot;_-;_-* &quot;-&quot;\ &quot;€&quot;_-;_-@_-"/>
      <alignment horizontal="general" vertical="center" textRotation="0" wrapText="0" indent="0" justifyLastLine="0" shrinkToFit="1" readingOrder="0"/>
    </dxf>
    <dxf>
      <numFmt numFmtId="169" formatCode="_ * #,##0.00_)\ [$$-C0C]_ ;_ * \(#,##0.00\)\ [$$-C0C]_ ;_ * &quot;-&quot;??_)\ [$$-C0C]_ ;_ @_ "/>
      <alignment vertical="center" textRotation="0" wrapText="0" indent="0" justifyLastLine="0" readingOrder="0"/>
    </dxf>
    <dxf>
      <alignment horizontal="right" vertical="center" textRotation="0" wrapText="0" indent="0" justifyLastLine="0" shrinkToFit="0" readingOrder="0"/>
    </dxf>
    <dxf>
      <alignment horizontal="right" vertical="center" textRotation="0" wrapText="1" indent="0" justifyLastLine="0" shrinkToFit="0" readingOrder="0"/>
    </dxf>
    <dxf>
      <alignment horizontal="right" vertical="center" textRotation="0" wrapText="0" indent="0" justifyLastLine="0" shrinkToFit="0" readingOrder="0"/>
      <border diagonalUp="0" diagonalDown="0">
        <left style="dotted">
          <color auto="1"/>
        </left>
        <right style="thin">
          <color theme="4" tint="-0.249977111117893"/>
        </right>
        <top/>
        <bottom/>
        <vertical style="dotted">
          <color auto="1"/>
        </vertical>
        <horizontal/>
      </border>
    </dxf>
    <dxf>
      <border diagonalUp="0" diagonalDown="0">
        <left style="dotted">
          <color auto="1"/>
        </left>
        <right style="thin">
          <color theme="4" tint="-0.249977111117893"/>
        </right>
        <top/>
        <bottom/>
        <vertical style="dotted">
          <color auto="1"/>
        </vertical>
        <horizontal/>
      </border>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border diagonalUp="0" diagonalDown="0">
        <left style="dotted">
          <color auto="1"/>
        </left>
        <right style="dotted">
          <color auto="1"/>
        </right>
        <top/>
        <bottom/>
        <vertical style="dotted">
          <color auto="1"/>
        </vertical>
        <horizontal/>
      </border>
    </dxf>
    <dxf>
      <alignment vertical="center" textRotation="0" wrapText="0" indent="0" justifyLastLine="0" shrinkToFit="0" readingOrder="0"/>
      <border diagonalUp="0" diagonalDown="0">
        <left style="dotted">
          <color auto="1"/>
        </left>
        <right style="dotted">
          <color auto="1"/>
        </right>
        <top/>
        <bottom/>
        <vertical style="dotted">
          <color auto="1"/>
        </vertical>
        <horizontal/>
      </border>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border diagonalUp="0" diagonalDown="0">
        <left style="dotted">
          <color auto="1"/>
        </left>
        <right style="dotted">
          <color auto="1"/>
        </right>
        <top/>
        <bottom/>
        <vertical style="dotted">
          <color auto="1"/>
        </vertical>
        <horizontal/>
      </border>
    </dxf>
    <dxf>
      <alignment vertical="center" textRotation="0" wrapText="0" indent="0" justifyLastLine="0" shrinkToFit="0" readingOrder="0"/>
      <border diagonalUp="0" diagonalDown="0">
        <left style="dotted">
          <color auto="1"/>
        </left>
        <right style="dotted">
          <color auto="1"/>
        </right>
        <top/>
        <bottom/>
        <vertical style="dotted">
          <color auto="1"/>
        </vertical>
        <horizontal/>
      </border>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border diagonalUp="0" diagonalDown="0">
        <left style="dotted">
          <color auto="1"/>
        </left>
        <right style="dotted">
          <color auto="1"/>
        </right>
        <top/>
        <bottom/>
        <vertical style="dotted">
          <color auto="1"/>
        </vertical>
        <horizontal/>
      </border>
    </dxf>
    <dxf>
      <alignment vertical="center" textRotation="0" wrapText="0" indent="0" justifyLastLine="0" shrinkToFit="0" readingOrder="0"/>
      <border diagonalUp="0" diagonalDown="0">
        <left style="dotted">
          <color auto="1"/>
        </left>
        <right style="dotted">
          <color auto="1"/>
        </right>
        <top/>
        <bottom/>
        <vertical style="dotted">
          <color auto="1"/>
        </vertical>
        <horizontal/>
      </border>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border diagonalUp="0" diagonalDown="0">
        <left style="dotted">
          <color auto="1"/>
        </left>
        <right style="dotted">
          <color auto="1"/>
        </right>
        <top/>
        <bottom/>
        <vertical style="dotted">
          <color auto="1"/>
        </vertical>
        <horizontal/>
      </border>
    </dxf>
    <dxf>
      <alignment vertical="center" textRotation="0" wrapText="0" indent="0" justifyLastLine="0" shrinkToFit="0" readingOrder="0"/>
      <border diagonalUp="0" diagonalDown="0">
        <left style="dotted">
          <color auto="1"/>
        </left>
        <right style="dotted">
          <color auto="1"/>
        </right>
        <top/>
        <bottom/>
        <vertical style="dotted">
          <color auto="1"/>
        </vertical>
        <horizontal/>
      </border>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border diagonalUp="0" diagonalDown="0">
        <left style="dotted">
          <color auto="1"/>
        </left>
        <right style="dotted">
          <color auto="1"/>
        </right>
        <top/>
        <bottom/>
        <vertical style="dotted">
          <color auto="1"/>
        </vertical>
        <horizontal/>
      </border>
    </dxf>
    <dxf>
      <alignment vertical="center" textRotation="0" wrapText="0" indent="0" justifyLastLine="0" shrinkToFit="0" readingOrder="0"/>
      <border diagonalUp="0" diagonalDown="0">
        <left style="dotted">
          <color auto="1"/>
        </left>
        <right style="dotted">
          <color auto="1"/>
        </right>
        <top/>
        <bottom/>
        <vertical style="dotted">
          <color auto="1"/>
        </vertical>
        <horizontal/>
      </border>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border diagonalUp="0" diagonalDown="0">
        <left style="dotted">
          <color auto="1"/>
        </left>
        <right style="dotted">
          <color auto="1"/>
        </right>
        <top/>
        <bottom/>
        <vertical style="dotted">
          <color auto="1"/>
        </vertical>
        <horizontal/>
      </border>
    </dxf>
    <dxf>
      <alignment vertical="center" textRotation="0" wrapText="0" indent="0" justifyLastLine="0" shrinkToFit="0" readingOrder="0"/>
      <border diagonalUp="0" diagonalDown="0">
        <left style="dotted">
          <color auto="1"/>
        </left>
        <right style="dotted">
          <color auto="1"/>
        </right>
        <top/>
        <bottom/>
        <vertical style="dotted">
          <color auto="1"/>
        </vertical>
        <horizontal/>
      </border>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border diagonalUp="0" diagonalDown="0">
        <left style="dotted">
          <color auto="1"/>
        </left>
        <right style="dotted">
          <color auto="1"/>
        </right>
        <top/>
        <bottom/>
        <vertical style="dotted">
          <color auto="1"/>
        </vertical>
        <horizontal/>
      </border>
    </dxf>
    <dxf>
      <alignment vertical="center" textRotation="0" wrapText="0" indent="0" justifyLastLine="0" shrinkToFit="0" readingOrder="0"/>
      <border diagonalUp="0" diagonalDown="0">
        <left style="dotted">
          <color auto="1"/>
        </left>
        <right style="dotted">
          <color auto="1"/>
        </right>
        <top/>
        <bottom/>
        <vertical style="dotted">
          <color auto="1"/>
        </vertical>
        <horizontal/>
      </border>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border diagonalUp="0" diagonalDown="0">
        <left style="dotted">
          <color auto="1"/>
        </left>
        <right style="dotted">
          <color auto="1"/>
        </right>
        <top/>
        <bottom/>
        <vertical style="dotted">
          <color auto="1"/>
        </vertical>
        <horizontal/>
      </border>
    </dxf>
    <dxf>
      <alignment vertical="center" textRotation="0" wrapText="0" indent="0" justifyLastLine="0" shrinkToFit="0" readingOrder="0"/>
      <border diagonalUp="0" diagonalDown="0">
        <left style="dotted">
          <color auto="1"/>
        </left>
        <right style="dotted">
          <color auto="1"/>
        </right>
        <top/>
        <bottom/>
        <vertical style="dotted">
          <color auto="1"/>
        </vertical>
        <horizontal/>
      </border>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border diagonalUp="0" diagonalDown="0">
        <left style="dotted">
          <color auto="1"/>
        </left>
        <right style="dotted">
          <color auto="1"/>
        </right>
        <top/>
        <bottom/>
        <vertical style="dotted">
          <color auto="1"/>
        </vertical>
        <horizontal/>
      </border>
    </dxf>
    <dxf>
      <alignment vertical="center" textRotation="0" wrapText="0" indent="0" justifyLastLine="0" shrinkToFit="0" readingOrder="0"/>
      <border diagonalUp="0" diagonalDown="0">
        <left style="dotted">
          <color auto="1"/>
        </left>
        <right style="dotted">
          <color auto="1"/>
        </right>
        <top/>
        <bottom/>
        <vertical style="dotted">
          <color auto="1"/>
        </vertical>
        <horizontal/>
      </border>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border diagonalUp="0" diagonalDown="0">
        <left style="dotted">
          <color auto="1"/>
        </left>
        <right style="dotted">
          <color auto="1"/>
        </right>
        <top/>
        <bottom/>
        <vertical style="dotted">
          <color auto="1"/>
        </vertical>
        <horizontal/>
      </border>
    </dxf>
    <dxf>
      <alignment vertical="center" textRotation="0" wrapText="0" indent="0" justifyLastLine="0" shrinkToFit="0" readingOrder="0"/>
      <border diagonalUp="0" diagonalDown="0">
        <left style="dotted">
          <color auto="1"/>
        </left>
        <right style="dotted">
          <color auto="1"/>
        </right>
        <top/>
        <bottom/>
        <vertical style="dotted">
          <color auto="1"/>
        </vertical>
        <horizontal/>
      </border>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border diagonalUp="0" diagonalDown="0">
        <left style="dotted">
          <color auto="1"/>
        </left>
        <right style="dotted">
          <color auto="1"/>
        </right>
        <top/>
        <bottom/>
        <vertical style="dotted">
          <color auto="1"/>
        </vertical>
        <horizontal/>
      </border>
    </dxf>
    <dxf>
      <alignment vertical="center" textRotation="0" wrapText="0" indent="0" justifyLastLine="0" shrinkToFit="0" readingOrder="0"/>
      <border diagonalUp="0" diagonalDown="0">
        <left style="dotted">
          <color auto="1"/>
        </left>
        <right style="dotted">
          <color auto="1"/>
        </right>
        <top/>
        <bottom/>
        <vertical style="dotted">
          <color auto="1"/>
        </vertical>
        <horizontal/>
      </border>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border diagonalUp="0" diagonalDown="0">
        <left style="thin">
          <color theme="4" tint="-0.249977111117893"/>
        </left>
        <right style="dotted">
          <color auto="1"/>
        </right>
        <top/>
        <bottom/>
        <vertical style="dotted">
          <color auto="1"/>
        </vertical>
        <horizontal/>
      </border>
    </dxf>
    <dxf>
      <alignment vertical="center" textRotation="0" wrapText="0" indent="0" justifyLastLine="0" shrinkToFit="0" readingOrder="0"/>
      <border diagonalUp="0" diagonalDown="0">
        <left style="thin">
          <color theme="4" tint="-0.249977111117893"/>
        </left>
        <right style="dotted">
          <color auto="1"/>
        </right>
        <top/>
        <bottom/>
        <vertical style="dotted">
          <color auto="1"/>
        </vertical>
        <horizontal/>
      </border>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border diagonalUp="0" diagonalDown="0" outline="0">
        <left/>
        <right/>
        <top/>
        <bottom/>
      </border>
    </dxf>
    <dxf>
      <alignment vertical="center" textRotation="0" wrapText="0" indent="0" justifyLastLine="0" shrinkToFit="0" readingOrder="0"/>
    </dxf>
    <dxf>
      <numFmt numFmtId="164" formatCode="_-* #,##0\ &quot;€&quot;_-;\-* #,##0\ &quot;€&quot;_-;_-* &quot;-&quot;\ &quot;€&quot;_-;_-@_-"/>
    </dxf>
    <dxf>
      <numFmt numFmtId="169" formatCode="_ * #,##0.00_)\ [$$-C0C]_ ;_ * \(#,##0.00\)\ [$$-C0C]_ ;_ * &quot;-&quot;??_)\ [$$-C0C]_ ;_ @_ "/>
      <alignmen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64" formatCode="_-* #,##0\ &quot;€&quot;_-;\-* #,##0\ &quot;€&quot;_-;_-* &quot;-&quot;\ &quot;€&quot;_-;_-@_-"/>
      <fill>
        <patternFill patternType="none">
          <fgColor indexed="64"/>
          <bgColor indexed="65"/>
        </patternFill>
      </fill>
      <alignment horizontal="general" vertical="center" textRotation="0" wrapText="0" indent="0" justifyLastLine="0" shrinkToFit="1" readingOrder="0"/>
    </dxf>
    <dxf>
      <numFmt numFmtId="169" formatCode="_ * #,##0.00_)\ [$$-C0C]_ ;_ * \(#,##0.00\)\ [$$-C0C]_ ;_ * &quot;-&quot;??_)\ [$$-C0C]_ ;_ @_ "/>
      <alignmen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64" formatCode="_-* #,##0\ &quot;€&quot;_-;\-* #,##0\ &quot;€&quot;_-;_-* &quot;-&quot;\ &quot;€&quot;_-;_-@_-"/>
      <fill>
        <patternFill patternType="none">
          <fgColor indexed="64"/>
          <bgColor indexed="65"/>
        </patternFill>
      </fill>
      <alignment horizontal="general" vertical="center" textRotation="0" wrapText="0" indent="0" justifyLastLine="0" shrinkToFit="1" readingOrder="0"/>
    </dxf>
    <dxf>
      <numFmt numFmtId="169" formatCode="_ * #,##0.00_)\ [$$-C0C]_ ;_ * \(#,##0.00\)\ [$$-C0C]_ ;_ * &quot;-&quot;??_)\ [$$-C0C]_ ;_ @_ "/>
      <alignmen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64" formatCode="_-* #,##0\ &quot;€&quot;_-;\-* #,##0\ &quot;€&quot;_-;_-* &quot;-&quot;\ &quot;€&quot;_-;_-@_-"/>
      <fill>
        <patternFill patternType="none">
          <fgColor indexed="64"/>
          <bgColor indexed="65"/>
        </patternFill>
      </fill>
      <alignment horizontal="general" vertical="center" textRotation="0" wrapText="0" indent="0" justifyLastLine="0" shrinkToFit="1" readingOrder="0"/>
    </dxf>
    <dxf>
      <numFmt numFmtId="169" formatCode="_ * #,##0.00_)\ [$$-C0C]_ ;_ * \(#,##0.00\)\ [$$-C0C]_ ;_ * &quot;-&quot;??_)\ [$$-C0C]_ ;_ @_ "/>
      <alignmen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64" formatCode="_-* #,##0\ &quot;€&quot;_-;\-* #,##0\ &quot;€&quot;_-;_-* &quot;-&quot;\ &quot;€&quot;_-;_-@_-"/>
      <fill>
        <patternFill patternType="none">
          <fgColor indexed="64"/>
          <bgColor indexed="65"/>
        </patternFill>
      </fill>
      <alignment horizontal="general" vertical="center" textRotation="0" wrapText="0" indent="0" justifyLastLine="0" shrinkToFit="1" readingOrder="0"/>
    </dxf>
    <dxf>
      <numFmt numFmtId="169" formatCode="_ * #,##0.00_)\ [$$-C0C]_ ;_ * \(#,##0.00\)\ [$$-C0C]_ ;_ * &quot;-&quot;??_)\ [$$-C0C]_ ;_ @_ "/>
      <alignmen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64" formatCode="_-* #,##0\ &quot;€&quot;_-;\-* #,##0\ &quot;€&quot;_-;_-* &quot;-&quot;\ &quot;€&quot;_-;_-@_-"/>
      <fill>
        <patternFill patternType="none">
          <fgColor indexed="64"/>
          <bgColor indexed="65"/>
        </patternFill>
      </fill>
      <alignment horizontal="general" vertical="center" textRotation="0" wrapText="0" indent="0" justifyLastLine="0" shrinkToFit="1" readingOrder="0"/>
    </dxf>
    <dxf>
      <numFmt numFmtId="169" formatCode="_ * #,##0.00_)\ [$$-C0C]_ ;_ * \(#,##0.00\)\ [$$-C0C]_ ;_ * &quot;-&quot;??_)\ [$$-C0C]_ ;_ @_ "/>
      <alignmen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64" formatCode="_-* #,##0\ &quot;€&quot;_-;\-* #,##0\ &quot;€&quot;_-;_-* &quot;-&quot;\ &quot;€&quot;_-;_-@_-"/>
      <fill>
        <patternFill patternType="none">
          <fgColor indexed="64"/>
          <bgColor indexed="65"/>
        </patternFill>
      </fill>
      <alignment horizontal="general" vertical="center" textRotation="0" wrapText="0" indent="0" justifyLastLine="0" shrinkToFit="1" readingOrder="0"/>
    </dxf>
    <dxf>
      <numFmt numFmtId="169" formatCode="_ * #,##0.00_)\ [$$-C0C]_ ;_ * \(#,##0.00\)\ [$$-C0C]_ ;_ * &quot;-&quot;??_)\ [$$-C0C]_ ;_ @_ "/>
      <alignmen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64" formatCode="_-* #,##0\ &quot;€&quot;_-;\-* #,##0\ &quot;€&quot;_-;_-* &quot;-&quot;\ &quot;€&quot;_-;_-@_-"/>
      <fill>
        <patternFill patternType="none">
          <fgColor indexed="64"/>
          <bgColor indexed="65"/>
        </patternFill>
      </fill>
      <alignment horizontal="general" vertical="center" textRotation="0" wrapText="0" indent="0" justifyLastLine="0" shrinkToFit="1" readingOrder="0"/>
    </dxf>
    <dxf>
      <numFmt numFmtId="169" formatCode="_ * #,##0.00_)\ [$$-C0C]_ ;_ * \(#,##0.00\)\ [$$-C0C]_ ;_ * &quot;-&quot;??_)\ [$$-C0C]_ ;_ @_ "/>
      <alignmen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64" formatCode="_-* #,##0\ &quot;€&quot;_-;\-* #,##0\ &quot;€&quot;_-;_-* &quot;-&quot;\ &quot;€&quot;_-;_-@_-"/>
      <fill>
        <patternFill patternType="none">
          <fgColor indexed="64"/>
          <bgColor indexed="65"/>
        </patternFill>
      </fill>
      <alignment horizontal="general" vertical="center" textRotation="0" wrapText="0" indent="0" justifyLastLine="0" shrinkToFit="1" readingOrder="0"/>
    </dxf>
    <dxf>
      <numFmt numFmtId="169" formatCode="_ * #,##0.00_)\ [$$-C0C]_ ;_ * \(#,##0.00\)\ [$$-C0C]_ ;_ * &quot;-&quot;??_)\ [$$-C0C]_ ;_ @_ "/>
      <alignmen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64" formatCode="_-* #,##0\ &quot;€&quot;_-;\-* #,##0\ &quot;€&quot;_-;_-* &quot;-&quot;\ &quot;€&quot;_-;_-@_-"/>
      <fill>
        <patternFill patternType="none">
          <fgColor indexed="64"/>
          <bgColor indexed="65"/>
        </patternFill>
      </fill>
      <alignment horizontal="general" vertical="center" textRotation="0" wrapText="0" indent="0" justifyLastLine="0" shrinkToFit="1" readingOrder="0"/>
    </dxf>
    <dxf>
      <numFmt numFmtId="169" formatCode="_ * #,##0.00_)\ [$$-C0C]_ ;_ * \(#,##0.00\)\ [$$-C0C]_ ;_ * &quot;-&quot;??_)\ [$$-C0C]_ ;_ @_ "/>
      <alignmen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64" formatCode="_-* #,##0\ &quot;€&quot;_-;\-* #,##0\ &quot;€&quot;_-;_-* &quot;-&quot;\ &quot;€&quot;_-;_-@_-"/>
      <fill>
        <patternFill patternType="none">
          <fgColor indexed="64"/>
          <bgColor indexed="65"/>
        </patternFill>
      </fill>
      <alignment horizontal="general" vertical="center" textRotation="0" wrapText="0" indent="0" justifyLastLine="0" shrinkToFit="1" readingOrder="0"/>
    </dxf>
    <dxf>
      <numFmt numFmtId="169" formatCode="_ * #,##0.00_)\ [$$-C0C]_ ;_ * \(#,##0.00\)\ [$$-C0C]_ ;_ * &quot;-&quot;??_)\ [$$-C0C]_ ;_ @_ "/>
      <alignmen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64" formatCode="_-* #,##0\ &quot;€&quot;_-;\-* #,##0\ &quot;€&quot;_-;_-* &quot;-&quot;\ &quot;€&quot;_-;_-@_-"/>
      <fill>
        <patternFill patternType="none">
          <fgColor indexed="64"/>
          <bgColor indexed="65"/>
        </patternFill>
      </fill>
      <alignment horizontal="general" vertical="center" textRotation="0" wrapText="0" indent="0" justifyLastLine="0" shrinkToFit="1" readingOrder="0"/>
    </dxf>
    <dxf>
      <numFmt numFmtId="169" formatCode="_ * #,##0.00_)\ [$$-C0C]_ ;_ * \(#,##0.00\)\ [$$-C0C]_ ;_ * &quot;-&quot;??_)\ [$$-C0C]_ ;_ @_ "/>
      <alignmen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64" formatCode="_-* #,##0\ &quot;€&quot;_-;\-* #,##0\ &quot;€&quot;_-;_-* &quot;-&quot;\ &quot;€&quot;_-;_-@_-"/>
      <fill>
        <patternFill patternType="none">
          <fgColor indexed="64"/>
          <bgColor indexed="65"/>
        </patternFill>
      </fill>
      <alignment horizontal="general" vertical="center" textRotation="0" wrapText="0" indent="0" justifyLastLine="0" shrinkToFit="1" readingOrder="0"/>
    </dxf>
    <dxf>
      <numFmt numFmtId="169" formatCode="_ * #,##0.00_)\ [$$-C0C]_ ;_ * \(#,##0.00\)\ [$$-C0C]_ ;_ * &quot;-&quot;??_)\ [$$-C0C]_ ;_ @_ "/>
      <alignment vertical="center" textRotation="0" wrapText="0" indent="0" justifyLastLine="0" shrinkToFit="0" readingOrder="0"/>
    </dxf>
    <dxf>
      <font>
        <b val="0"/>
        <i val="0"/>
        <strike val="0"/>
        <condense val="0"/>
        <extend val="0"/>
        <outline val="0"/>
        <shadow val="0"/>
        <u val="none"/>
        <vertAlign val="baseline"/>
        <sz val="11"/>
        <color theme="1"/>
        <name val="Cambria"/>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theme="1"/>
        <name val="Cambria"/>
        <scheme val="minor"/>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mbria"/>
        <scheme val="minor"/>
      </font>
      <fill>
        <patternFill patternType="none">
          <fgColor indexed="64"/>
          <bgColor indexed="65"/>
        </patternFill>
      </fill>
      <alignment horizontal="right" vertical="center" textRotation="0" wrapText="1" indent="1" justifyLastLine="0" shrinkToFit="0" readingOrder="0"/>
    </dxf>
    <dxf>
      <alignment horizontal="right" vertical="center" textRotation="0" wrapText="1" indent="1" justifyLastLine="0" shrinkToFit="0" readingOrder="0"/>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dxf>
    <dxf>
      <border outline="0">
        <right style="thin">
          <color theme="5" tint="-0.249977111117893"/>
        </right>
      </border>
    </dxf>
    <dxf>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65" formatCode=";;;"/>
      <fill>
        <patternFill patternType="none">
          <fgColor indexed="64"/>
          <bgColor indexed="65"/>
        </patternFill>
      </fill>
      <alignment horizontal="center" vertical="bottom" textRotation="0" wrapText="0" indent="0" justifyLastLine="0" shrinkToFit="0" readingOrder="0"/>
    </dxf>
    <dxf>
      <numFmt numFmtId="13" formatCode="0%"/>
      <alignment horizontal="right" vertical="center" textRotation="0" wrapText="0" indent="0" justifyLastLine="0" shrinkToFit="1" readingOrder="0"/>
      <border diagonalUp="0" diagonalDown="0">
        <left/>
        <right/>
        <top/>
        <bottom style="thin">
          <color theme="5" tint="-0.249977111117893"/>
        </bottom>
        <horizontal/>
      </border>
    </dxf>
    <dxf>
      <alignment horizontal="right" vertical="center" textRotation="0" wrapText="0" indent="0" justifyLastLine="0" shrinkToFit="0" readingOrder="0"/>
      <border diagonalUp="0" diagonalDown="0">
        <left/>
        <right style="thin">
          <color theme="5" tint="-0.249977111117893"/>
        </right>
        <top/>
        <bottom/>
        <vertical/>
        <horizontal/>
      </border>
    </dxf>
    <dxf>
      <numFmt numFmtId="13" formatCode="0%"/>
      <alignment horizontal="right" vertical="center" textRotation="0" wrapText="0" indent="0" justifyLastLine="0" shrinkToFit="1" readingOrder="0"/>
      <border diagonalUp="0" diagonalDown="0">
        <left/>
        <right/>
        <top/>
        <bottom style="thin">
          <color theme="5" tint="-0.249977111117893"/>
        </bottom>
        <horizontal/>
      </border>
    </dxf>
    <dxf>
      <fill>
        <patternFill patternType="none">
          <fgColor indexed="64"/>
          <bgColor auto="1"/>
        </patternFill>
      </fill>
      <alignment horizontal="right" vertical="center" textRotation="0" wrapText="0" indent="0" justifyLastLine="0" shrinkToFit="0" readingOrder="0"/>
    </dxf>
    <dxf>
      <numFmt numFmtId="13" formatCode="0%"/>
      <alignment horizontal="right" vertical="center" textRotation="0" wrapText="0" indent="0" justifyLastLine="0" shrinkToFit="1" readingOrder="0"/>
      <border diagonalUp="0" diagonalDown="0">
        <left/>
        <right/>
        <top/>
        <bottom style="thin">
          <color theme="5" tint="-0.249977111117893"/>
        </bottom>
        <horizontal/>
      </border>
    </dxf>
    <dxf>
      <fill>
        <patternFill patternType="none">
          <fgColor indexed="64"/>
          <bgColor auto="1"/>
        </patternFill>
      </fill>
      <alignment horizontal="right" vertical="center" textRotation="0" wrapText="0" indent="0" justifyLastLine="0" shrinkToFit="0" readingOrder="0"/>
    </dxf>
    <dxf>
      <numFmt numFmtId="13" formatCode="0%"/>
      <alignment horizontal="right" vertical="center" textRotation="0" wrapText="0" indent="0" justifyLastLine="0" shrinkToFit="1" readingOrder="0"/>
      <border diagonalUp="0" diagonalDown="0">
        <left/>
        <right/>
        <top/>
        <bottom style="thin">
          <color theme="5" tint="-0.249977111117893"/>
        </bottom>
        <vertical/>
        <horizontal/>
      </border>
    </dxf>
    <dxf>
      <fill>
        <patternFill patternType="none">
          <fgColor indexed="64"/>
          <bgColor auto="1"/>
        </patternFill>
      </fill>
      <alignment horizontal="right" vertical="center" textRotation="0" wrapText="0" indent="0" justifyLastLine="0" shrinkToFit="0" readingOrder="0"/>
    </dxf>
    <dxf>
      <numFmt numFmtId="13" formatCode="0%"/>
      <alignment horizontal="right" vertical="center" textRotation="0" wrapText="0" indent="0" justifyLastLine="0" shrinkToFit="1" readingOrder="0"/>
      <border diagonalUp="0" diagonalDown="0">
        <left/>
        <right/>
        <top/>
        <bottom style="thin">
          <color theme="5" tint="-0.249977111117893"/>
        </bottom>
        <vertical/>
        <horizontal/>
      </border>
    </dxf>
    <dxf>
      <fill>
        <patternFill patternType="none">
          <fgColor indexed="64"/>
          <bgColor auto="1"/>
        </patternFill>
      </fill>
      <alignment horizontal="right" vertical="center" textRotation="0" wrapText="0" indent="0" justifyLastLine="0" shrinkToFit="0" readingOrder="0"/>
    </dxf>
    <dxf>
      <numFmt numFmtId="13" formatCode="0%"/>
      <alignment horizontal="right" vertical="center" textRotation="0" wrapText="0" indent="0" justifyLastLine="0" shrinkToFit="1" readingOrder="0"/>
      <border diagonalUp="0" diagonalDown="0">
        <left/>
        <right/>
        <top/>
        <bottom style="thin">
          <color theme="5" tint="-0.249977111117893"/>
        </bottom>
        <vertical/>
        <horizontal/>
      </border>
    </dxf>
    <dxf>
      <fill>
        <patternFill patternType="none">
          <fgColor indexed="64"/>
          <bgColor auto="1"/>
        </patternFill>
      </fill>
      <alignment horizontal="right" vertical="center" textRotation="0" wrapText="0" indent="0" justifyLastLine="0" shrinkToFit="0" readingOrder="0"/>
    </dxf>
    <dxf>
      <numFmt numFmtId="13" formatCode="0%"/>
      <alignment horizontal="right" vertical="center" textRotation="0" wrapText="0" indent="0" justifyLastLine="0" shrinkToFit="1" readingOrder="0"/>
      <border diagonalUp="0" diagonalDown="0">
        <left/>
        <right/>
        <top/>
        <bottom style="thin">
          <color theme="5" tint="-0.249977111117893"/>
        </bottom>
        <vertical/>
        <horizontal/>
      </border>
    </dxf>
    <dxf>
      <fill>
        <patternFill patternType="none">
          <fgColor indexed="64"/>
          <bgColor auto="1"/>
        </patternFill>
      </fill>
      <alignment horizontal="right" vertical="center" textRotation="0" wrapText="0" indent="0" justifyLastLine="0" shrinkToFit="0" readingOrder="0"/>
    </dxf>
    <dxf>
      <numFmt numFmtId="13" formatCode="0%"/>
      <alignment horizontal="right" vertical="center" textRotation="0" wrapText="0" indent="0" justifyLastLine="0" shrinkToFit="1" readingOrder="0"/>
      <border diagonalUp="0" diagonalDown="0">
        <left/>
        <right/>
        <top/>
        <bottom style="thin">
          <color theme="5" tint="-0.249977111117893"/>
        </bottom>
        <vertical/>
        <horizontal/>
      </border>
    </dxf>
    <dxf>
      <fill>
        <patternFill patternType="none">
          <fgColor indexed="64"/>
          <bgColor auto="1"/>
        </patternFill>
      </fill>
      <alignment horizontal="right" vertical="center" textRotation="0" wrapText="0" indent="0" justifyLastLine="0" shrinkToFit="0" readingOrder="0"/>
    </dxf>
    <dxf>
      <numFmt numFmtId="13" formatCode="0%"/>
      <alignment horizontal="right" vertical="center" textRotation="0" wrapText="0" indent="0" justifyLastLine="0" shrinkToFit="1" readingOrder="0"/>
      <border diagonalUp="0" diagonalDown="0">
        <left/>
        <right/>
        <top/>
        <bottom style="thin">
          <color theme="5" tint="-0.249977111117893"/>
        </bottom>
        <vertical/>
        <horizontal/>
      </border>
    </dxf>
    <dxf>
      <fill>
        <patternFill patternType="none">
          <fgColor indexed="64"/>
          <bgColor auto="1"/>
        </patternFill>
      </fill>
      <alignment horizontal="right" vertical="center" textRotation="0" wrapText="0" indent="0" justifyLastLine="0" shrinkToFit="0" readingOrder="0"/>
    </dxf>
    <dxf>
      <numFmt numFmtId="13" formatCode="0%"/>
      <alignment horizontal="right" vertical="center" textRotation="0" wrapText="0" indent="0" justifyLastLine="0" shrinkToFit="1" readingOrder="0"/>
      <border diagonalUp="0" diagonalDown="0">
        <left/>
        <right/>
        <top/>
        <bottom style="thin">
          <color theme="5" tint="-0.249977111117893"/>
        </bottom>
        <horizontal/>
      </border>
    </dxf>
    <dxf>
      <numFmt numFmtId="13" formatCode="0%"/>
      <fill>
        <patternFill patternType="none">
          <fgColor indexed="64"/>
          <bgColor auto="1"/>
        </patternFill>
      </fill>
      <alignment horizontal="right" vertical="center" textRotation="0" wrapText="0" indent="0" justifyLastLine="0" shrinkToFit="0" readingOrder="0"/>
    </dxf>
    <dxf>
      <numFmt numFmtId="13" formatCode="0%"/>
      <alignment horizontal="right" vertical="center" textRotation="0" wrapText="0" indent="0" justifyLastLine="0" shrinkToFit="1" readingOrder="0"/>
      <border diagonalUp="0" diagonalDown="0">
        <left/>
        <right/>
        <top/>
        <bottom style="thin">
          <color theme="5" tint="-0.249977111117893"/>
        </bottom>
        <vertical/>
        <horizontal/>
      </border>
    </dxf>
    <dxf>
      <numFmt numFmtId="13" formatCode="0%"/>
      <fill>
        <patternFill patternType="none">
          <fgColor indexed="64"/>
          <bgColor auto="1"/>
        </patternFill>
      </fill>
      <alignment horizontal="right" vertical="center" textRotation="0" wrapText="0" indent="0" justifyLastLine="0" shrinkToFit="0" readingOrder="0"/>
    </dxf>
    <dxf>
      <numFmt numFmtId="13" formatCode="0%"/>
      <alignment horizontal="right" vertical="center" textRotation="0" wrapText="0" indent="0" justifyLastLine="0" shrinkToFit="1" readingOrder="0"/>
      <border diagonalUp="0" diagonalDown="0">
        <left/>
        <right/>
        <top/>
        <bottom style="thin">
          <color theme="5" tint="-0.249977111117893"/>
        </bottom>
        <horizontal/>
      </border>
    </dxf>
    <dxf>
      <numFmt numFmtId="13" formatCode="0%"/>
      <fill>
        <patternFill patternType="none">
          <fgColor indexed="64"/>
          <bgColor auto="1"/>
        </patternFill>
      </fill>
      <alignment horizontal="right" vertical="center" textRotation="0" wrapText="0" indent="0" justifyLastLine="0" shrinkToFit="0" readingOrder="0"/>
    </dxf>
    <dxf>
      <numFmt numFmtId="13" formatCode="0%"/>
      <alignment horizontal="right" vertical="center" textRotation="0" wrapText="0" indent="0" justifyLastLine="0" shrinkToFit="1" readingOrder="0"/>
      <border diagonalUp="0" diagonalDown="0" outline="0">
        <left style="thin">
          <color theme="5" tint="-0.249977111117893"/>
        </left>
        <right/>
        <top/>
        <bottom style="thin">
          <color theme="5" tint="-0.249977111117893"/>
        </bottom>
      </border>
    </dxf>
    <dxf>
      <numFmt numFmtId="13" formatCode="0%"/>
      <fill>
        <patternFill patternType="none">
          <fgColor indexed="64"/>
          <bgColor auto="1"/>
        </patternFill>
      </fill>
      <alignment horizontal="right" vertical="center" textRotation="0" wrapText="0" indent="0" justifyLastLine="0" shrinkToFit="0" readingOrder="0"/>
      <border diagonalUp="0" diagonalDown="0">
        <left style="thin">
          <color theme="5" tint="-0.249977111117893"/>
        </left>
        <top/>
        <bottom/>
      </border>
    </dxf>
    <dxf>
      <numFmt numFmtId="13" formatCode="0%"/>
      <alignment horizontal="right" vertical="center" textRotation="0" wrapText="0" indent="0" justifyLastLine="0" shrinkToFit="1" readingOrder="0"/>
      <border diagonalUp="0" diagonalDown="0">
        <left style="thin">
          <color theme="5" tint="-0.249977111117893"/>
        </left>
        <right style="thin">
          <color theme="5" tint="-0.249977111117893"/>
        </right>
        <top/>
        <bottom/>
        <vertical/>
        <horizontal/>
      </border>
    </dxf>
    <dxf>
      <alignment horizontal="right" vertical="center" textRotation="0" wrapText="0" indent="0" justifyLastLine="0" shrinkToFit="0" readingOrder="0"/>
    </dxf>
    <dxf>
      <numFmt numFmtId="164" formatCode="_-* #,##0\ &quot;€&quot;_-;\-* #,##0\ &quot;€&quot;_-;_-* &quot;-&quot;\ &quot;€&quot;_-;_-@_-"/>
      <alignment horizontal="general" vertical="center" textRotation="0" wrapText="0" indent="0" justifyLastLine="0" shrinkToFit="1" readingOrder="0"/>
      <border diagonalUp="0" diagonalDown="0">
        <left style="thin">
          <color theme="5" tint="-0.249977111117893"/>
        </left>
        <right style="thin">
          <color theme="5" tint="-0.249977111117893"/>
        </right>
        <top/>
        <bottom style="thin">
          <color theme="5" tint="-0.249977111117893"/>
        </bottom>
        <vertical/>
        <horizontal/>
      </border>
    </dxf>
    <dxf>
      <numFmt numFmtId="168" formatCode="_ * #,##0_)\ [$$-C0C]_ ;_ * \(#,##0\)\ [$$-C0C]_ ;_ * &quot;-&quot;_)\ [$$-C0C]_ ;_ @_ "/>
      <fill>
        <patternFill patternType="none">
          <fgColor indexed="64"/>
          <bgColor auto="1"/>
        </patternFill>
      </fill>
      <alignment vertical="center" textRotation="0" indent="0" justifyLastLine="0" shrinkToFit="0" readingOrder="0"/>
      <border diagonalUp="0" diagonalDown="0">
        <left style="thin">
          <color theme="5" tint="-0.249977111117893"/>
        </left>
        <right style="thin">
          <color theme="5" tint="-0.249977111117893"/>
        </right>
        <top/>
        <bottom/>
        <vertical/>
        <horizontal/>
      </border>
    </dxf>
    <dxf>
      <numFmt numFmtId="164" formatCode="_-* #,##0\ &quot;€&quot;_-;\-* #,##0\ &quot;€&quot;_-;_-* &quot;-&quot;\ &quot;€&quot;_-;_-@_-"/>
      <alignment horizontal="general" vertical="center" textRotation="0" wrapText="0" indent="0" justifyLastLine="0" shrinkToFit="1" readingOrder="0"/>
    </dxf>
    <dxf>
      <numFmt numFmtId="168" formatCode="_ * #,##0_)\ [$$-C0C]_ ;_ * \(#,##0\)\ [$$-C0C]_ ;_ * &quot;-&quot;_)\ [$$-C0C]_ ;_ @_ "/>
      <alignment vertical="center" textRotation="0" indent="0" justifyLastLine="0" shrinkToFit="0" readingOrder="0"/>
    </dxf>
    <dxf>
      <numFmt numFmtId="164" formatCode="_-* #,##0\ &quot;€&quot;_-;\-* #,##0\ &quot;€&quot;_-;_-* &quot;-&quot;\ &quot;€&quot;_-;_-@_-"/>
      <alignment horizontal="general" vertical="center" textRotation="0" wrapText="0" indent="0" justifyLastLine="0" shrinkToFit="1" readingOrder="0"/>
    </dxf>
    <dxf>
      <numFmt numFmtId="168" formatCode="_ * #,##0_)\ [$$-C0C]_ ;_ * \(#,##0\)\ [$$-C0C]_ ;_ * &quot;-&quot;_)\ [$$-C0C]_ ;_ @_ "/>
      <fill>
        <patternFill patternType="none">
          <fgColor indexed="64"/>
          <bgColor indexed="65"/>
        </patternFill>
      </fill>
      <alignment horizontal="general" vertical="center" textRotation="0" wrapText="0" indent="0" justifyLastLine="0" shrinkToFit="0" readingOrder="0"/>
    </dxf>
    <dxf>
      <numFmt numFmtId="164" formatCode="_-* #,##0\ &quot;€&quot;_-;\-* #,##0\ &quot;€&quot;_-;_-* &quot;-&quot;\ &quot;€&quot;_-;_-@_-"/>
      <alignment horizontal="general" vertical="center" textRotation="0" wrapText="0" indent="0" justifyLastLine="0" shrinkToFit="1" readingOrder="0"/>
    </dxf>
    <dxf>
      <numFmt numFmtId="168" formatCode="_ * #,##0_)\ [$$-C0C]_ ;_ * \(#,##0\)\ [$$-C0C]_ ;_ * &quot;-&quot;_)\ [$$-C0C]_ ;_ @_ "/>
      <fill>
        <patternFill patternType="none">
          <fgColor indexed="64"/>
          <bgColor indexed="65"/>
        </patternFill>
      </fill>
      <alignment horizontal="general" vertical="center" textRotation="0" wrapText="0" indent="0" justifyLastLine="0" shrinkToFit="0" readingOrder="0"/>
    </dxf>
    <dxf>
      <numFmt numFmtId="164" formatCode="_-* #,##0\ &quot;€&quot;_-;\-* #,##0\ &quot;€&quot;_-;_-* &quot;-&quot;\ &quot;€&quot;_-;_-@_-"/>
      <alignment horizontal="general" vertical="center" textRotation="0" wrapText="0" indent="0" justifyLastLine="0" shrinkToFit="1" readingOrder="0"/>
    </dxf>
    <dxf>
      <numFmt numFmtId="168" formatCode="_ * #,##0_)\ [$$-C0C]_ ;_ * \(#,##0\)\ [$$-C0C]_ ;_ * &quot;-&quot;_)\ [$$-C0C]_ ;_ @_ "/>
      <fill>
        <patternFill patternType="none">
          <fgColor indexed="64"/>
          <bgColor indexed="65"/>
        </patternFill>
      </fill>
      <alignment horizontal="general" vertical="center" textRotation="0" wrapText="0" indent="0" justifyLastLine="0" shrinkToFit="0" readingOrder="0"/>
    </dxf>
    <dxf>
      <numFmt numFmtId="164" formatCode="_-* #,##0\ &quot;€&quot;_-;\-* #,##0\ &quot;€&quot;_-;_-* &quot;-&quot;\ &quot;€&quot;_-;_-@_-"/>
      <alignment horizontal="general" vertical="center" textRotation="0" wrapText="0" indent="0" justifyLastLine="0" shrinkToFit="1" readingOrder="0"/>
    </dxf>
    <dxf>
      <numFmt numFmtId="168" formatCode="_ * #,##0_)\ [$$-C0C]_ ;_ * \(#,##0\)\ [$$-C0C]_ ;_ * &quot;-&quot;_)\ [$$-C0C]_ ;_ @_ "/>
      <fill>
        <patternFill patternType="none">
          <fgColor indexed="64"/>
          <bgColor indexed="65"/>
        </patternFill>
      </fill>
      <alignment horizontal="general" vertical="center" textRotation="0" wrapText="0" indent="0" justifyLastLine="0" shrinkToFit="0" readingOrder="0"/>
    </dxf>
    <dxf>
      <numFmt numFmtId="164" formatCode="_-* #,##0\ &quot;€&quot;_-;\-* #,##0\ &quot;€&quot;_-;_-* &quot;-&quot;\ &quot;€&quot;_-;_-@_-"/>
      <alignment horizontal="general" vertical="center" textRotation="0" wrapText="0" indent="0" justifyLastLine="0" shrinkToFit="1" readingOrder="0"/>
    </dxf>
    <dxf>
      <numFmt numFmtId="168" formatCode="_ * #,##0_)\ [$$-C0C]_ ;_ * \(#,##0\)\ [$$-C0C]_ ;_ * &quot;-&quot;_)\ [$$-C0C]_ ;_ @_ "/>
      <fill>
        <patternFill patternType="none">
          <fgColor indexed="64"/>
          <bgColor indexed="65"/>
        </patternFill>
      </fill>
      <alignment horizontal="general" vertical="center" textRotation="0" wrapText="0" indent="0" justifyLastLine="0" shrinkToFit="0" readingOrder="0"/>
    </dxf>
    <dxf>
      <numFmt numFmtId="164" formatCode="_-* #,##0\ &quot;€&quot;_-;\-* #,##0\ &quot;€&quot;_-;_-* &quot;-&quot;\ &quot;€&quot;_-;_-@_-"/>
      <alignment horizontal="general" vertical="center" textRotation="0" wrapText="0" indent="0" justifyLastLine="0" shrinkToFit="1" readingOrder="0"/>
    </dxf>
    <dxf>
      <numFmt numFmtId="168" formatCode="_ * #,##0_)\ [$$-C0C]_ ;_ * \(#,##0\)\ [$$-C0C]_ ;_ * &quot;-&quot;_)\ [$$-C0C]_ ;_ @_ "/>
      <fill>
        <patternFill patternType="none">
          <fgColor indexed="64"/>
          <bgColor indexed="65"/>
        </patternFill>
      </fill>
      <alignment horizontal="general" vertical="center" textRotation="0" wrapText="0" indent="0" justifyLastLine="0" shrinkToFit="0" readingOrder="0"/>
    </dxf>
    <dxf>
      <numFmt numFmtId="164" formatCode="_-* #,##0\ &quot;€&quot;_-;\-* #,##0\ &quot;€&quot;_-;_-* &quot;-&quot;\ &quot;€&quot;_-;_-@_-"/>
      <alignment horizontal="general" vertical="center" textRotation="0" wrapText="0" indent="0" justifyLastLine="0" shrinkToFit="1" readingOrder="0"/>
    </dxf>
    <dxf>
      <numFmt numFmtId="168" formatCode="_ * #,##0_)\ [$$-C0C]_ ;_ * \(#,##0\)\ [$$-C0C]_ ;_ * &quot;-&quot;_)\ [$$-C0C]_ ;_ @_ "/>
      <fill>
        <patternFill patternType="none">
          <fgColor indexed="64"/>
          <bgColor indexed="65"/>
        </patternFill>
      </fill>
      <alignment horizontal="general" vertical="center" textRotation="0" wrapText="0" indent="0" justifyLastLine="0" shrinkToFit="0" readingOrder="0"/>
    </dxf>
    <dxf>
      <numFmt numFmtId="164" formatCode="_-* #,##0\ &quot;€&quot;_-;\-* #,##0\ &quot;€&quot;_-;_-* &quot;-&quot;\ &quot;€&quot;_-;_-@_-"/>
      <alignment horizontal="general" vertical="center" textRotation="0" wrapText="0" indent="0" justifyLastLine="0" shrinkToFit="1" readingOrder="0"/>
    </dxf>
    <dxf>
      <numFmt numFmtId="168" formatCode="_ * #,##0_)\ [$$-C0C]_ ;_ * \(#,##0\)\ [$$-C0C]_ ;_ * &quot;-&quot;_)\ [$$-C0C]_ ;_ @_ "/>
      <fill>
        <patternFill patternType="none">
          <fgColor indexed="64"/>
          <bgColor indexed="65"/>
        </patternFill>
      </fill>
      <alignment horizontal="general" vertical="center" textRotation="0" wrapText="0" indent="0" justifyLastLine="0" shrinkToFit="0" readingOrder="0"/>
    </dxf>
    <dxf>
      <numFmt numFmtId="164" formatCode="_-* #,##0\ &quot;€&quot;_-;\-* #,##0\ &quot;€&quot;_-;_-* &quot;-&quot;\ &quot;€&quot;_-;_-@_-"/>
      <alignment horizontal="general" vertical="center" textRotation="0" wrapText="0" indent="0" justifyLastLine="0" shrinkToFit="1" readingOrder="0"/>
    </dxf>
    <dxf>
      <numFmt numFmtId="168" formatCode="_ * #,##0_)\ [$$-C0C]_ ;_ * \(#,##0\)\ [$$-C0C]_ ;_ * &quot;-&quot;_)\ [$$-C0C]_ ;_ @_ "/>
      <fill>
        <patternFill patternType="none">
          <fgColor indexed="64"/>
          <bgColor indexed="65"/>
        </patternFill>
      </fill>
      <alignment horizontal="general" vertical="center" textRotation="0" wrapText="0" indent="0" justifyLastLine="0" shrinkToFit="0" readingOrder="0"/>
    </dxf>
    <dxf>
      <numFmt numFmtId="164" formatCode="_-* #,##0\ &quot;€&quot;_-;\-* #,##0\ &quot;€&quot;_-;_-* &quot;-&quot;\ &quot;€&quot;_-;_-@_-"/>
      <alignment horizontal="general" vertical="center" textRotation="0" wrapText="0" indent="0" justifyLastLine="0" shrinkToFit="1" readingOrder="0"/>
    </dxf>
    <dxf>
      <numFmt numFmtId="168" formatCode="_ * #,##0_)\ [$$-C0C]_ ;_ * \(#,##0\)\ [$$-C0C]_ ;_ * &quot;-&quot;_)\ [$$-C0C]_ ;_ @_ "/>
      <fill>
        <patternFill patternType="none">
          <fgColor indexed="64"/>
          <bgColor indexed="65"/>
        </patternFill>
      </fill>
      <alignment horizontal="general" vertical="center" textRotation="0" wrapText="0" indent="0" justifyLastLine="0" shrinkToFit="0" readingOrder="0"/>
    </dxf>
    <dxf>
      <numFmt numFmtId="164" formatCode="_-* #,##0\ &quot;€&quot;_-;\-* #,##0\ &quot;€&quot;_-;_-* &quot;-&quot;\ &quot;€&quot;_-;_-@_-"/>
      <alignment horizontal="general" vertical="center" textRotation="0" wrapText="0" indent="0" justifyLastLine="0" shrinkToFit="1" readingOrder="0"/>
    </dxf>
    <dxf>
      <numFmt numFmtId="168" formatCode="_ * #,##0_)\ [$$-C0C]_ ;_ * \(#,##0\)\ [$$-C0C]_ ;_ * &quot;-&quot;_)\ [$$-C0C]_ ;_ @_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Cambria"/>
        <scheme val="minor"/>
      </font>
      <fill>
        <patternFill patternType="none">
          <fgColor indexed="64"/>
          <bgColor auto="1"/>
        </patternFill>
      </fill>
      <alignment horizontal="center" vertical="center" textRotation="0" wrapText="0" indent="0" justifyLastLine="0" shrinkToFit="0" readingOrder="0"/>
    </dxf>
    <dxf>
      <alignment horizontal="right" vertical="center" textRotation="0" wrapText="0" indent="1" justifyLastLine="0" shrinkToFit="0" readingOrder="0"/>
    </dxf>
    <dxf>
      <alignment horizontal="right" vertical="center" textRotation="0" wrapText="1" indent="1" justifyLastLine="0" shrinkToFit="0" readingOrder="0"/>
    </dxf>
    <dxf>
      <numFmt numFmtId="13" formatCode="0%"/>
      <alignment horizontal="right" vertical="center" textRotation="0" wrapText="0" indent="0" justifyLastLine="0" shrinkToFit="1" readingOrder="0"/>
    </dxf>
    <dxf>
      <alignment vertical="center" textRotation="0" indent="0" justifyLastLine="0" shrinkToFit="0" readingOrder="0"/>
    </dxf>
    <dxf>
      <fill>
        <patternFill>
          <bgColor theme="4" tint="0.79998168889431442"/>
        </patternFill>
      </fill>
      <border>
        <left style="dotted">
          <color theme="4" tint="0.39994506668294322"/>
        </left>
        <right style="dotted">
          <color theme="4" tint="0.39994506668294322"/>
        </right>
        <top style="thin">
          <color theme="4" tint="0.39994506668294322"/>
        </top>
        <bottom style="thin">
          <color theme="4" tint="0.39994506668294322"/>
        </bottom>
        <vertical style="dotted">
          <color theme="4" tint="0.39994506668294322"/>
        </vertical>
        <horizontal style="thin">
          <color theme="4" tint="0.39994506668294322"/>
        </horizontal>
      </border>
    </dxf>
    <dxf>
      <border>
        <left style="dotted">
          <color theme="4" tint="0.39994506668294322"/>
        </left>
        <right style="dotted">
          <color theme="4" tint="0.39994506668294322"/>
        </right>
        <top style="thin">
          <color theme="4" tint="0.39994506668294322"/>
        </top>
        <bottom style="thin">
          <color theme="4" tint="0.39994506668294322"/>
        </bottom>
        <vertical style="dotted">
          <color theme="4" tint="0.39994506668294322"/>
        </vertical>
        <horizontal style="thin">
          <color theme="4" tint="0.39994506668294322"/>
        </horizontal>
      </border>
    </dxf>
    <dxf>
      <font>
        <b/>
        <i val="0"/>
        <color theme="1"/>
      </font>
      <fill>
        <patternFill patternType="solid">
          <bgColor theme="4" tint="0.39994506668294322"/>
        </patternFill>
      </fill>
      <border>
        <left style="dotted">
          <color theme="0"/>
        </left>
        <right style="dotted">
          <color theme="0"/>
        </right>
        <top style="dotted">
          <color theme="0"/>
        </top>
        <vertical style="dotted">
          <color theme="0"/>
        </vertical>
        <horizontal/>
      </border>
    </dxf>
    <dxf>
      <font>
        <b/>
        <i val="0"/>
        <color theme="3"/>
      </font>
      <fill>
        <patternFill patternType="none">
          <bgColor auto="1"/>
        </patternFill>
      </fill>
      <border diagonalUp="0" diagonalDown="0">
        <left style="dotted">
          <color theme="4" tint="0.39994506668294322"/>
        </left>
        <right style="dotted">
          <color theme="4" tint="0.39994506668294322"/>
        </right>
        <top/>
        <bottom style="thin">
          <color theme="4" tint="0.39994506668294322"/>
        </bottom>
        <vertical style="dotted">
          <color theme="4" tint="0.39994506668294322"/>
        </vertical>
        <horizontal/>
      </border>
    </dxf>
    <dxf>
      <fill>
        <patternFill>
          <bgColor theme="9" tint="0.59996337778862885"/>
        </patternFill>
      </fill>
      <border>
        <left style="dotted">
          <color theme="9" tint="0.39994506668294322"/>
        </left>
        <right style="dotted">
          <color theme="9" tint="0.39994506668294322"/>
        </right>
        <top style="thin">
          <color theme="9" tint="0.39994506668294322"/>
        </top>
        <bottom style="thin">
          <color theme="9" tint="0.39994506668294322"/>
        </bottom>
        <vertical style="dotted">
          <color theme="9" tint="0.39994506668294322"/>
        </vertical>
        <horizontal style="thin">
          <color theme="9" tint="0.39994506668294322"/>
        </horizontal>
      </border>
    </dxf>
    <dxf>
      <border>
        <left style="dotted">
          <color theme="9" tint="0.39994506668294322"/>
        </left>
        <right style="dotted">
          <color theme="9" tint="0.39994506668294322"/>
        </right>
        <top style="thin">
          <color theme="9" tint="0.39994506668294322"/>
        </top>
        <bottom style="thin">
          <color theme="9" tint="0.39994506668294322"/>
        </bottom>
        <vertical style="dotted">
          <color theme="9" tint="0.39994506668294322"/>
        </vertical>
        <horizontal style="thin">
          <color theme="9" tint="0.39994506668294322"/>
        </horizontal>
      </border>
    </dxf>
    <dxf>
      <font>
        <b/>
        <i val="0"/>
        <color theme="1"/>
      </font>
      <fill>
        <patternFill patternType="solid">
          <bgColor theme="9" tint="0.39994506668294322"/>
        </patternFill>
      </fill>
      <border>
        <left style="dotted">
          <color theme="0"/>
        </left>
        <right style="dotted">
          <color theme="0"/>
        </right>
        <top style="dotted">
          <color theme="0"/>
        </top>
        <vertical style="dotted">
          <color theme="0"/>
        </vertical>
        <horizontal/>
      </border>
    </dxf>
    <dxf>
      <font>
        <b/>
        <i val="0"/>
        <color theme="3"/>
      </font>
      <fill>
        <patternFill patternType="none">
          <bgColor auto="1"/>
        </patternFill>
      </fill>
      <border diagonalUp="0" diagonalDown="0">
        <left style="dotted">
          <color theme="9" tint="0.39994506668294322"/>
        </left>
        <right style="dotted">
          <color theme="9" tint="0.39994506668294322"/>
        </right>
        <top/>
        <bottom style="thin">
          <color theme="9" tint="0.39994506668294322"/>
        </bottom>
        <vertical style="dotted">
          <color theme="9" tint="0.39994506668294322"/>
        </vertical>
        <horizontal/>
      </border>
    </dxf>
    <dxf>
      <border>
        <left style="thin">
          <color theme="6"/>
        </left>
        <right style="thin">
          <color theme="6"/>
        </right>
        <top style="thin">
          <color theme="6"/>
        </top>
        <bottom style="thin">
          <color theme="6"/>
        </bottom>
        <vertical/>
        <horizontal/>
      </border>
    </dxf>
    <dxf>
      <border>
        <left/>
        <right style="dotted">
          <color theme="6" tint="0.39994506668294322"/>
        </right>
        <top style="thin">
          <color theme="6" tint="0.39994506668294322"/>
        </top>
        <bottom style="thin">
          <color theme="6" tint="0.39994506668294322"/>
        </bottom>
        <vertical style="dotted">
          <color theme="6" tint="0.39994506668294322"/>
        </vertical>
        <horizontal style="thin">
          <color theme="6" tint="0.39994506668294322"/>
        </horizontal>
      </border>
    </dxf>
    <dxf>
      <border>
        <left/>
        <right style="dotted">
          <color theme="6" tint="0.39994506668294322"/>
        </right>
        <top style="thin">
          <color theme="6" tint="0.39994506668294322"/>
        </top>
        <bottom style="thin">
          <color theme="6" tint="0.39994506668294322"/>
        </bottom>
        <vertical style="dotted">
          <color theme="6" tint="0.39994506668294322"/>
        </vertical>
        <horizontal/>
      </border>
    </dxf>
    <dxf>
      <font>
        <b/>
        <i val="0"/>
        <color theme="3"/>
      </font>
      <fill>
        <patternFill patternType="none">
          <bgColor auto="1"/>
        </patternFill>
      </fill>
      <border>
        <vertical/>
        <horizontal/>
      </border>
    </dxf>
    <dxf>
      <font>
        <b/>
        <i val="0"/>
        <color theme="3"/>
      </font>
      <fill>
        <patternFill patternType="none">
          <bgColor auto="1"/>
        </patternFill>
      </fill>
      <border diagonalUp="0" diagonalDown="0">
        <left/>
        <right/>
        <top/>
        <bottom/>
        <vertical/>
        <horizontal/>
      </border>
    </dxf>
    <dxf>
      <border>
        <vertical/>
        <horizontal/>
      </border>
    </dxf>
    <dxf>
      <fill>
        <patternFill>
          <bgColor theme="5" tint="0.79998168889431442"/>
        </patternFill>
      </fill>
      <border>
        <left style="dotted">
          <color theme="5" tint="0.39991454817346722"/>
        </left>
        <right style="dotted">
          <color theme="5" tint="0.39991454817346722"/>
        </right>
        <top style="thin">
          <color theme="5" tint="0.39994506668294322"/>
        </top>
        <bottom style="thin">
          <color theme="5" tint="0.39994506668294322"/>
        </bottom>
        <vertical style="dotted">
          <color theme="5" tint="0.39994506668294322"/>
        </vertical>
        <horizontal style="thin">
          <color theme="5" tint="0.39994506668294322"/>
        </horizontal>
      </border>
    </dxf>
    <dxf>
      <border>
        <left style="dotted">
          <color theme="5" tint="0.39988402966399123"/>
        </left>
        <right style="dotted">
          <color theme="5" tint="0.39991454817346722"/>
        </right>
        <top style="thin">
          <color theme="5" tint="0.39991454817346722"/>
        </top>
        <bottom style="thin">
          <color theme="5" tint="0.39994506668294322"/>
        </bottom>
        <vertical style="dotted">
          <color theme="5" tint="0.39991454817346722"/>
        </vertical>
        <horizontal style="thin">
          <color theme="5" tint="0.39991454817346722"/>
        </horizontal>
      </border>
    </dxf>
    <dxf>
      <font>
        <b/>
        <i val="0"/>
        <color theme="1"/>
      </font>
      <fill>
        <patternFill patternType="solid">
          <bgColor theme="5" tint="0.39994506668294322"/>
        </patternFill>
      </fill>
      <border>
        <left style="dotted">
          <color theme="0"/>
        </left>
        <right style="dotted">
          <color theme="0"/>
        </right>
        <top style="dotted">
          <color theme="0"/>
        </top>
        <vertical style="dotted">
          <color theme="0"/>
        </vertical>
        <horizontal/>
      </border>
    </dxf>
    <dxf>
      <font>
        <b/>
        <i val="0"/>
        <color theme="3"/>
      </font>
      <fill>
        <patternFill patternType="none">
          <bgColor auto="1"/>
        </patternFill>
      </fill>
      <border diagonalUp="0" diagonalDown="0">
        <left style="dotted">
          <color theme="5" tint="0.39991454817346722"/>
        </left>
        <right style="dotted">
          <color theme="5" tint="0.39991454817346722"/>
        </right>
        <top/>
        <bottom style="thin">
          <color theme="5" tint="0.39994506668294322"/>
        </bottom>
        <vertical style="dotted">
          <color theme="5" tint="0.39991454817346722"/>
        </vertical>
        <horizontal/>
      </border>
    </dxf>
    <dxf>
      <border>
        <vertical/>
        <horizontal/>
      </border>
    </dxf>
  </dxfs>
  <tableStyles count="4" defaultTableStyle="Chiffres d’affaires Bénéfices et pertes" defaultPivotStyle="PivotStyleLight16">
    <tableStyle name="Chiffres d’affaires Bénéfices et pertes" pivot="0" count="5" xr9:uid="{00000000-0011-0000-FFFF-FFFF02000000}">
      <tableStyleElement type="wholeTable" dxfId="195"/>
      <tableStyleElement type="headerRow" dxfId="194"/>
      <tableStyleElement type="totalRow" dxfId="193"/>
      <tableStyleElement type="firstRowStripe" dxfId="192"/>
      <tableStyleElement type="secondRowStripe" dxfId="191"/>
    </tableStyle>
    <tableStyle name="Dépenses Bénéfices et pertes" pivot="0" count="5" xr9:uid="{00000000-0011-0000-FFFF-FFFF00000000}">
      <tableStyleElement type="wholeTable" dxfId="190"/>
      <tableStyleElement type="headerRow" dxfId="189"/>
      <tableStyleElement type="totalRow" dxfId="188"/>
      <tableStyleElement type="firstRowStripe" dxfId="187"/>
      <tableStyleElement type="secondRowStripe" dxfId="186"/>
    </tableStyle>
    <tableStyle name="Dépenses Bénéfices et pertes 2" pivot="0" count="5" xr9:uid="{00000000-0011-0000-FFFF-FFFF01000000}">
      <tableStyleElement type="wholeTable" dxfId="185"/>
      <tableStyleElement type="headerRow" dxfId="184"/>
      <tableStyleElement type="totalRow" dxfId="183"/>
      <tableStyleElement type="firstRowStripe" dxfId="182"/>
      <tableStyleElement type="secondRowStripe" dxfId="181"/>
    </tableStyle>
    <tableStyle name="Ventes Bénéfices et pertes" pivot="0" count="4" xr9:uid="{00000000-0011-0000-FFFF-FFFF03000000}">
      <tableStyleElement type="headerRow" dxfId="180"/>
      <tableStyleElement type="totalRow" dxfId="179"/>
      <tableStyleElement type="firstRowStripe" dxfId="178"/>
      <tableStyleElement type="secondRowStripe" dxfId="17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Chiffre d’affaires " displayName="Chiffre_d’affaires" ref="B6:AD14" totalsRowCount="1" dataDxfId="176" totalsRowDxfId="175">
  <tableColumns count="29">
    <tableColumn id="1" xr3:uid="{00000000-0010-0000-0000-000001000000}" name="CHIFFRE D’AFFAIRES (VENTES)" totalsRowLabel="TOTAL DES VENTES" dataDxfId="174" totalsRowDxfId="173" dataCellStyle="Détails du tableau"/>
    <tableColumn id="29" xr3:uid="{00000000-0010-0000-0000-00001D000000}" name="TENDANCE" dataDxfId="172" dataCellStyle="Remplissage Chiffre d’affaires"/>
    <tableColumn id="2" xr3:uid="{00000000-0010-0000-0000-000002000000}" name="Jan." totalsRowFunction="custom" dataDxfId="171" totalsRowDxfId="170">
      <totalsRowFormula>SUBTOTAL(109, Chiffre_d’affaires[Jan.])</totalsRowFormula>
    </tableColumn>
    <tableColumn id="3" xr3:uid="{00000000-0010-0000-0000-000003000000}" name="Fév." totalsRowFunction="custom" dataDxfId="169" totalsRowDxfId="168">
      <totalsRowFormula>SUBTOTAL(109, Chiffre_d’affaires[Fév.])</totalsRowFormula>
    </tableColumn>
    <tableColumn id="4" xr3:uid="{00000000-0010-0000-0000-000004000000}" name="Mar." totalsRowFunction="custom" dataDxfId="167" totalsRowDxfId="166">
      <totalsRowFormula>SUBTOTAL(109, Chiffre_d’affaires[Mar.])</totalsRowFormula>
    </tableColumn>
    <tableColumn id="5" xr3:uid="{00000000-0010-0000-0000-000005000000}" name="Avr." totalsRowFunction="custom" dataDxfId="165" totalsRowDxfId="164">
      <totalsRowFormula>SUBTOTAL(109, Chiffre_d’affaires[Avr.])</totalsRowFormula>
    </tableColumn>
    <tableColumn id="6" xr3:uid="{00000000-0010-0000-0000-000006000000}" name="Mai" totalsRowFunction="custom" dataDxfId="163" totalsRowDxfId="162">
      <totalsRowFormula>SUBTOTAL(109, Chiffre_d’affaires[Mai])</totalsRowFormula>
    </tableColumn>
    <tableColumn id="7" xr3:uid="{00000000-0010-0000-0000-000007000000}" name="Juin" totalsRowFunction="custom" dataDxfId="161" totalsRowDxfId="160">
      <totalsRowFormula>SUBTOTAL(109, Chiffre_d’affaires[Juin])</totalsRowFormula>
    </tableColumn>
    <tableColumn id="8" xr3:uid="{00000000-0010-0000-0000-000008000000}" name="Juil." totalsRowFunction="custom" dataDxfId="159" totalsRowDxfId="158">
      <totalsRowFormula>SUBTOTAL(109, Chiffre_d’affaires[Juil.])</totalsRowFormula>
    </tableColumn>
    <tableColumn id="9" xr3:uid="{00000000-0010-0000-0000-000009000000}" name="Août" totalsRowFunction="custom" dataDxfId="157" totalsRowDxfId="156">
      <totalsRowFormula>SUBTOTAL(109, Chiffre_d’affaires[Août])</totalsRowFormula>
    </tableColumn>
    <tableColumn id="10" xr3:uid="{00000000-0010-0000-0000-00000A000000}" name="Sept." totalsRowFunction="custom" dataDxfId="155" totalsRowDxfId="154">
      <totalsRowFormula>SUBTOTAL(109, Chiffre_d’affaires[Sept.])</totalsRowFormula>
    </tableColumn>
    <tableColumn id="11" xr3:uid="{00000000-0010-0000-0000-00000B000000}" name="Oct." totalsRowFunction="custom" dataDxfId="153" totalsRowDxfId="152">
      <totalsRowFormula>SUBTOTAL(109, Chiffre_d’affaires[Oct.])</totalsRowFormula>
    </tableColumn>
    <tableColumn id="12" xr3:uid="{00000000-0010-0000-0000-00000C000000}" name="Nov." totalsRowFunction="custom" dataDxfId="151" totalsRowDxfId="150">
      <totalsRowFormula>SUBTOTAL(109, Chiffre_d’affaires[Nov.])</totalsRowFormula>
    </tableColumn>
    <tableColumn id="13" xr3:uid="{00000000-0010-0000-0000-00000D000000}" name="Déc." totalsRowFunction="custom" dataDxfId="149" totalsRowDxfId="148">
      <totalsRowFormula>SUBTOTAL(109, Chiffre_d’affaires[Déc.])</totalsRowFormula>
    </tableColumn>
    <tableColumn id="14" xr3:uid="{00000000-0010-0000-0000-00000E000000}" name="Annuel" totalsRowFunction="custom" dataDxfId="147" totalsRowDxfId="146">
      <calculatedColumnFormula>SUM(Chiffre_d’affaires[[#This Row],[Jan.]:[Déc.]])</calculatedColumnFormula>
      <totalsRowFormula>SUBTOTAL(109, Chiffre_d’affaires[Annuel])</totalsRowFormula>
    </tableColumn>
    <tableColumn id="15" xr3:uid="{00000000-0010-0000-0000-00000F000000}" name="% index" totalsRowFunction="custom" dataDxfId="145" totalsRowDxfId="144">
      <totalsRowFormula>SUBTOTAL(109, Chiffre_d’affaires[% index])</totalsRowFormula>
    </tableColumn>
    <tableColumn id="16" xr3:uid="{00000000-0010-0000-0000-000010000000}" name="% jan." totalsRowFunction="sum" dataDxfId="143" totalsRowDxfId="142">
      <calculatedColumnFormula>IFERROR(Chiffre_d’affaires[[#This Row],[Jan.]]/Chiffre_d’affaires[[#Totals],[Jan.]],"-")</calculatedColumnFormula>
    </tableColumn>
    <tableColumn id="17" xr3:uid="{00000000-0010-0000-0000-000011000000}" name="% fév." totalsRowFunction="sum" dataDxfId="141" totalsRowDxfId="140">
      <calculatedColumnFormula>IFERROR(Chiffre_d’affaires[[#This Row],[Fév.]]/Chiffre_d’affaires[[#Totals],[Fév.]],"-")</calculatedColumnFormula>
    </tableColumn>
    <tableColumn id="18" xr3:uid="{00000000-0010-0000-0000-000012000000}" name="% mar." totalsRowFunction="sum" dataDxfId="139" totalsRowDxfId="138">
      <calculatedColumnFormula>IFERROR(Chiffre_d’affaires[[#This Row],[Mar.]]/Chiffre_d’affaires[[#Totals],[Mar.]],"-")</calculatedColumnFormula>
    </tableColumn>
    <tableColumn id="19" xr3:uid="{00000000-0010-0000-0000-000013000000}" name="% avr." totalsRowFunction="sum" dataDxfId="137" totalsRowDxfId="136">
      <calculatedColumnFormula>IFERROR(Chiffre_d’affaires[[#This Row],[Avr.]]/Chiffre_d’affaires[[#Totals],[Avr.]],"-")</calculatedColumnFormula>
    </tableColumn>
    <tableColumn id="20" xr3:uid="{00000000-0010-0000-0000-000014000000}" name="% mai" totalsRowFunction="sum" dataDxfId="135" totalsRowDxfId="134">
      <calculatedColumnFormula>IFERROR(Chiffre_d’affaires[[#This Row],[Mai]]/Chiffre_d’affaires[[#Totals],[Mai]],"-")</calculatedColumnFormula>
    </tableColumn>
    <tableColumn id="21" xr3:uid="{00000000-0010-0000-0000-000015000000}" name="% juin" totalsRowFunction="sum" dataDxfId="133" totalsRowDxfId="132">
      <calculatedColumnFormula>IFERROR(Chiffre_d’affaires[[#This Row],[Juin]]/Chiffre_d’affaires[[#Totals],[Juin]],"-")</calculatedColumnFormula>
    </tableColumn>
    <tableColumn id="22" xr3:uid="{00000000-0010-0000-0000-000016000000}" name="% juil." totalsRowFunction="sum" dataDxfId="131" totalsRowDxfId="130">
      <calculatedColumnFormula>IFERROR(Chiffre_d’affaires[[#This Row],[Juil.]]/Chiffre_d’affaires[[#Totals],[Juil.]],"-")</calculatedColumnFormula>
    </tableColumn>
    <tableColumn id="23" xr3:uid="{00000000-0010-0000-0000-000017000000}" name="% août" totalsRowFunction="sum" dataDxfId="129" totalsRowDxfId="128">
      <calculatedColumnFormula>IFERROR(Chiffre_d’affaires[[#This Row],[Août]]/Chiffre_d’affaires[[#Totals],[Août]],"-")</calculatedColumnFormula>
    </tableColumn>
    <tableColumn id="24" xr3:uid="{00000000-0010-0000-0000-000018000000}" name="% sept." totalsRowFunction="sum" dataDxfId="127" totalsRowDxfId="126">
      <calculatedColumnFormula>IFERROR(Chiffre_d’affaires[[#This Row],[Sept.]]/Chiffre_d’affaires[[#Totals],[Sept.]],"-")</calculatedColumnFormula>
    </tableColumn>
    <tableColumn id="25" xr3:uid="{00000000-0010-0000-0000-000019000000}" name="% oct." totalsRowFunction="sum" dataDxfId="125" totalsRowDxfId="124">
      <calculatedColumnFormula>IFERROR(Chiffre_d’affaires[[#This Row],[Oct.]]/Chiffre_d’affaires[[#Totals],[Oct.]],"-")</calculatedColumnFormula>
    </tableColumn>
    <tableColumn id="26" xr3:uid="{00000000-0010-0000-0000-00001A000000}" name="% nov." totalsRowFunction="sum" dataDxfId="123" totalsRowDxfId="122">
      <calculatedColumnFormula>IFERROR(Chiffre_d’affaires[[#This Row],[Nov.]]/Chiffre_d’affaires[[#Totals],[Nov.]],"-")</calculatedColumnFormula>
    </tableColumn>
    <tableColumn id="27" xr3:uid="{00000000-0010-0000-0000-00001B000000}" name="% déc." totalsRowFunction="sum" dataDxfId="121" totalsRowDxfId="120">
      <calculatedColumnFormula>IFERROR(Chiffre_d’affaires[[#This Row],[Déc.]]/Chiffre_d’affaires[[#Totals],[Déc.]],"-")</calculatedColumnFormula>
    </tableColumn>
    <tableColumn id="28" xr3:uid="{00000000-0010-0000-0000-00001C000000}" name="% année" totalsRowFunction="sum" dataDxfId="119" totalsRowDxfId="118">
      <calculatedColumnFormula>IFERROR(Chiffre_d’affaires[[#This Row],[Annuel]]/Chiffre_d’affaires[[#Totals],[Annuel]],"-")</calculatedColumnFormula>
    </tableColumn>
  </tableColumns>
  <tableStyleInfo name="Chiffres d’affaires Bénéfices et pertes" showFirstColumn="0" showLastColumn="0" showRowStripes="1" showColumnStripes="0"/>
  <extLst>
    <ext xmlns:x14="http://schemas.microsoft.com/office/spreadsheetml/2009/9/main" uri="{504A1905-F514-4f6f-8877-14C23A59335A}">
      <x14:table altTextSummary="Synthèse des ventes mensuelles, total annuel et pourcentage par mois pour chaque élément de chiffre d’affaire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CoûtdesVentes" displayName="CoûtdesVentes" ref="B6:AD14" totalsRowCount="1" headerRowDxfId="117" dataDxfId="116" totalsRowDxfId="114" tableBorderDxfId="115">
  <tableColumns count="29">
    <tableColumn id="1" xr3:uid="{00000000-0010-0000-0100-000001000000}" name="COÛT DES VENTES" totalsRowLabel="COÛT TOTAL DES VENTES" dataDxfId="113" totalsRowDxfId="112" dataCellStyle="Détails du tableau"/>
    <tableColumn id="2" xr3:uid="{00000000-0010-0000-0100-000002000000}" name="TENDANCE" dataDxfId="111" totalsRowDxfId="110" dataCellStyle="Remplissage Chiffre d’affaires"/>
    <tableColumn id="3" xr3:uid="{00000000-0010-0000-0100-000003000000}" name="Jan." totalsRowFunction="sum" dataDxfId="109" totalsRowDxfId="108"/>
    <tableColumn id="4" xr3:uid="{00000000-0010-0000-0100-000004000000}" name="Fév." totalsRowFunction="sum" dataDxfId="107" totalsRowDxfId="106"/>
    <tableColumn id="5" xr3:uid="{00000000-0010-0000-0100-000005000000}" name="Mar." totalsRowFunction="sum" dataDxfId="105" totalsRowDxfId="104"/>
    <tableColumn id="6" xr3:uid="{00000000-0010-0000-0100-000006000000}" name="Avr." totalsRowFunction="sum" dataDxfId="103" totalsRowDxfId="102"/>
    <tableColumn id="7" xr3:uid="{00000000-0010-0000-0100-000007000000}" name="Mai" totalsRowFunction="sum" dataDxfId="101" totalsRowDxfId="100"/>
    <tableColumn id="8" xr3:uid="{00000000-0010-0000-0100-000008000000}" name="Juin" totalsRowFunction="sum" dataDxfId="99" totalsRowDxfId="98"/>
    <tableColumn id="9" xr3:uid="{00000000-0010-0000-0100-000009000000}" name="Juil." totalsRowFunction="sum" dataDxfId="97" totalsRowDxfId="96"/>
    <tableColumn id="10" xr3:uid="{00000000-0010-0000-0100-00000A000000}" name="Août" totalsRowFunction="sum" dataDxfId="95" totalsRowDxfId="94"/>
    <tableColumn id="11" xr3:uid="{00000000-0010-0000-0100-00000B000000}" name="Sept." totalsRowFunction="sum" dataDxfId="93" totalsRowDxfId="92"/>
    <tableColumn id="12" xr3:uid="{00000000-0010-0000-0100-00000C000000}" name="Oct." totalsRowFunction="sum" dataDxfId="91" totalsRowDxfId="90"/>
    <tableColumn id="13" xr3:uid="{00000000-0010-0000-0100-00000D000000}" name="Nov." totalsRowFunction="sum" dataDxfId="89" totalsRowDxfId="88"/>
    <tableColumn id="14" xr3:uid="{00000000-0010-0000-0100-00000E000000}" name="Déc." totalsRowFunction="sum" dataDxfId="87" totalsRowDxfId="86"/>
    <tableColumn id="15" xr3:uid="{00000000-0010-0000-0100-00000F000000}" name="Annuel" totalsRowFunction="sum" dataDxfId="85" totalsRowDxfId="84">
      <calculatedColumnFormula>SUM(CoûtdesVentes[[#This Row],[Jan.]:[Déc.]])</calculatedColumnFormula>
    </tableColumn>
    <tableColumn id="16" xr3:uid="{00000000-0010-0000-0100-000010000000}" name="% index" totalsRowFunction="sum" dataDxfId="83" totalsRowDxfId="82"/>
    <tableColumn id="17" xr3:uid="{00000000-0010-0000-0100-000011000000}" name="% jan." totalsRowFunction="sum" dataDxfId="81" totalsRowDxfId="80">
      <calculatedColumnFormula>IFERROR(CoûtdesVentes[[#This Row],[Jan.]]/CoûtdesVentes[[#Totals],[Jan.]],"-")</calculatedColumnFormula>
    </tableColumn>
    <tableColumn id="18" xr3:uid="{00000000-0010-0000-0100-000012000000}" name="% fév." totalsRowFunction="sum" dataDxfId="79" totalsRowDxfId="78">
      <calculatedColumnFormula>IFERROR(CoûtdesVentes[[#This Row],[Fév.]]/CoûtdesVentes[[#Totals],[Fév.]],"-")</calculatedColumnFormula>
    </tableColumn>
    <tableColumn id="19" xr3:uid="{00000000-0010-0000-0100-000013000000}" name="% mar." totalsRowFunction="sum" dataDxfId="77" totalsRowDxfId="76">
      <calculatedColumnFormula>IFERROR(CoûtdesVentes[[#This Row],[Mar.]]/CoûtdesVentes[[#Totals],[Mar.]],"-")</calculatedColumnFormula>
    </tableColumn>
    <tableColumn id="20" xr3:uid="{00000000-0010-0000-0100-000014000000}" name="% avr." totalsRowFunction="sum" dataDxfId="75" totalsRowDxfId="74">
      <calculatedColumnFormula>IFERROR(CoûtdesVentes[[#This Row],[Avr.]]/CoûtdesVentes[[#Totals],[Avr.]],"-")</calculatedColumnFormula>
    </tableColumn>
    <tableColumn id="21" xr3:uid="{00000000-0010-0000-0100-000015000000}" name="% mai" totalsRowFunction="sum" dataDxfId="73" totalsRowDxfId="72">
      <calculatedColumnFormula>IFERROR(CoûtdesVentes[[#This Row],[Mai]]/CoûtdesVentes[[#Totals],[Mai]],"-")</calculatedColumnFormula>
    </tableColumn>
    <tableColumn id="22" xr3:uid="{00000000-0010-0000-0100-000016000000}" name="% juin" totalsRowFunction="sum" dataDxfId="71" totalsRowDxfId="70">
      <calculatedColumnFormula>IFERROR(CoûtdesVentes[[#This Row],[Juin]]/CoûtdesVentes[[#Totals],[Juin]],"-")</calculatedColumnFormula>
    </tableColumn>
    <tableColumn id="23" xr3:uid="{00000000-0010-0000-0100-000017000000}" name="% juil." totalsRowFunction="sum" dataDxfId="69" totalsRowDxfId="68">
      <calculatedColumnFormula>IFERROR(CoûtdesVentes[[#This Row],[Juil.]]/CoûtdesVentes[[#Totals],[Juil.]],"-")</calculatedColumnFormula>
    </tableColumn>
    <tableColumn id="24" xr3:uid="{00000000-0010-0000-0100-000018000000}" name="% août" totalsRowFunction="sum" dataDxfId="67" totalsRowDxfId="66">
      <calculatedColumnFormula>IFERROR(CoûtdesVentes[[#This Row],[Août]]/CoûtdesVentes[[#Totals],[Août]],"-")</calculatedColumnFormula>
    </tableColumn>
    <tableColumn id="25" xr3:uid="{00000000-0010-0000-0100-000019000000}" name="% sept." totalsRowFunction="sum" dataDxfId="65" totalsRowDxfId="64">
      <calculatedColumnFormula>IFERROR(CoûtdesVentes[[#This Row],[Sept.]]/CoûtdesVentes[[#Totals],[Sept.]],"-")</calculatedColumnFormula>
    </tableColumn>
    <tableColumn id="26" xr3:uid="{00000000-0010-0000-0100-00001A000000}" name="% oct." totalsRowFunction="sum" dataDxfId="63" totalsRowDxfId="62">
      <calculatedColumnFormula>IFERROR(CoûtdesVentes[[#This Row],[Oct.]]/CoûtdesVentes[[#Totals],[Oct.]],"-")</calculatedColumnFormula>
    </tableColumn>
    <tableColumn id="27" xr3:uid="{00000000-0010-0000-0100-00001B000000}" name="% nov." totalsRowFunction="sum" dataDxfId="61" totalsRowDxfId="60">
      <calculatedColumnFormula>IFERROR(CoûtdesVentes[[#This Row],[Nov.]]/CoûtdesVentes[[#Totals],[Nov.]],"-")</calculatedColumnFormula>
    </tableColumn>
    <tableColumn id="28" xr3:uid="{00000000-0010-0000-0100-00001C000000}" name="% déc." totalsRowFunction="sum" dataDxfId="59" totalsRowDxfId="58">
      <calculatedColumnFormula>IFERROR(CoûtdesVentes[[#This Row],[Déc.]]/CoûtdesVentes[[#Totals],[Déc.]],"-")</calculatedColumnFormula>
    </tableColumn>
    <tableColumn id="29" xr3:uid="{00000000-0010-0000-0100-00001D000000}" name="% année" totalsRowFunction="sum" dataDxfId="57" totalsRowDxfId="56">
      <calculatedColumnFormula>IFERROR(CoûtdesVentes[[#This Row],[Annuel]]/CoûtdesVentes[[#Totals],[Annuel]],"-")</calculatedColumnFormula>
    </tableColumn>
  </tableColumns>
  <tableStyleInfo name="Ventes Bénéfices et pertes" showFirstColumn="0" showLastColumn="0" showRowStripes="1" showColumnStripes="0"/>
  <extLst>
    <ext xmlns:x14="http://schemas.microsoft.com/office/spreadsheetml/2009/9/main" uri="{504A1905-F514-4f6f-8877-14C23A59335A}">
      <x14:table altTextSummary="Synthèse du coût des ventes, total annuel et pourcentage par mois pour chaque élément de coû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2000000}" name="tblDépenses" displayName="tblDépenses" ref="B6:AD26" totalsRowCount="1">
  <tableColumns count="29">
    <tableColumn id="1" xr3:uid="{00000000-0010-0000-0200-000001000000}" name="DÉPENSES" totalsRowLabel="DÉPENSES TOTALES" dataDxfId="55" totalsRowDxfId="54"/>
    <tableColumn id="2" xr3:uid="{00000000-0010-0000-0200-000002000000}" name="TENDANCE" totalsRowLabel=" "/>
    <tableColumn id="3" xr3:uid="{00000000-0010-0000-0200-000003000000}" name="Jan." totalsRowFunction="sum" dataDxfId="53" totalsRowDxfId="52"/>
    <tableColumn id="4" xr3:uid="{00000000-0010-0000-0200-000004000000}" name="Fév." totalsRowFunction="sum" dataDxfId="51" totalsRowDxfId="50"/>
    <tableColumn id="5" xr3:uid="{00000000-0010-0000-0200-000005000000}" name="Mar." totalsRowFunction="sum" dataDxfId="49" totalsRowDxfId="48"/>
    <tableColumn id="6" xr3:uid="{00000000-0010-0000-0200-000006000000}" name="Avr." totalsRowFunction="sum" dataDxfId="47" totalsRowDxfId="46"/>
    <tableColumn id="7" xr3:uid="{00000000-0010-0000-0200-000007000000}" name="Mai" totalsRowFunction="sum" dataDxfId="45" totalsRowDxfId="44"/>
    <tableColumn id="8" xr3:uid="{00000000-0010-0000-0200-000008000000}" name="Juin" totalsRowFunction="sum" dataDxfId="43" totalsRowDxfId="42"/>
    <tableColumn id="9" xr3:uid="{00000000-0010-0000-0200-000009000000}" name="Juil." totalsRowFunction="sum" dataDxfId="41" totalsRowDxfId="40"/>
    <tableColumn id="10" xr3:uid="{00000000-0010-0000-0200-00000A000000}" name="Août" totalsRowFunction="sum" dataDxfId="39" totalsRowDxfId="38"/>
    <tableColumn id="11" xr3:uid="{00000000-0010-0000-0200-00000B000000}" name="Sept." totalsRowFunction="sum" dataDxfId="37" totalsRowDxfId="36"/>
    <tableColumn id="12" xr3:uid="{00000000-0010-0000-0200-00000C000000}" name="Oct." totalsRowFunction="sum" dataDxfId="35" totalsRowDxfId="34"/>
    <tableColumn id="13" xr3:uid="{00000000-0010-0000-0200-00000D000000}" name="Nov." totalsRowFunction="sum" dataDxfId="33" totalsRowDxfId="32"/>
    <tableColumn id="14" xr3:uid="{00000000-0010-0000-0200-00000E000000}" name="Déc." totalsRowFunction="sum" dataDxfId="31" totalsRowDxfId="30"/>
    <tableColumn id="15" xr3:uid="{00000000-0010-0000-0200-00000F000000}" name="Annuel" totalsRowFunction="sum" dataDxfId="29" totalsRowDxfId="28">
      <calculatedColumnFormula>SUM(tblDépenses[[#This Row],[Jan.]:[Déc.]])</calculatedColumnFormula>
    </tableColumn>
    <tableColumn id="16" xr3:uid="{00000000-0010-0000-0200-000010000000}" name="% index" totalsRowFunction="sum" dataDxfId="27" totalsRowDxfId="26"/>
    <tableColumn id="17" xr3:uid="{00000000-0010-0000-0200-000011000000}" name="% jan." totalsRowFunction="sum" dataDxfId="25" totalsRowDxfId="24">
      <calculatedColumnFormula>IFERROR(tblDépenses[[#This Row],[Jan.]]/tblDépenses[[#Totals],[Jan.]],"-")</calculatedColumnFormula>
    </tableColumn>
    <tableColumn id="18" xr3:uid="{00000000-0010-0000-0200-000012000000}" name="% fév." totalsRowFunction="sum" dataDxfId="23" totalsRowDxfId="22">
      <calculatedColumnFormula>IFERROR(tblDépenses[[#This Row],[Fév.]]/tblDépenses[[#Totals],[Fév.]],"-")</calculatedColumnFormula>
    </tableColumn>
    <tableColumn id="19" xr3:uid="{00000000-0010-0000-0200-000013000000}" name="% mar." totalsRowFunction="sum" dataDxfId="21" totalsRowDxfId="20">
      <calculatedColumnFormula>IFERROR(tblDépenses[[#This Row],[Mar.]]/tblDépenses[[#Totals],[Mar.]],"-")</calculatedColumnFormula>
    </tableColumn>
    <tableColumn id="20" xr3:uid="{00000000-0010-0000-0200-000014000000}" name="% avr." totalsRowFunction="sum" dataDxfId="19" totalsRowDxfId="18">
      <calculatedColumnFormula>IFERROR(tblDépenses[[#This Row],[Avr.]]/tblDépenses[[#Totals],[Avr.]],"-")</calculatedColumnFormula>
    </tableColumn>
    <tableColumn id="21" xr3:uid="{00000000-0010-0000-0200-000015000000}" name="% mai" totalsRowFunction="sum" dataDxfId="17" totalsRowDxfId="16">
      <calculatedColumnFormula>IFERROR(tblDépenses[[#This Row],[Mai]]/tblDépenses[[#Totals],[Mai]],"-")</calculatedColumnFormula>
    </tableColumn>
    <tableColumn id="22" xr3:uid="{00000000-0010-0000-0200-000016000000}" name="% juin" totalsRowFunction="sum" dataDxfId="15" totalsRowDxfId="14">
      <calculatedColumnFormula>IFERROR(tblDépenses[[#This Row],[Juin]]/tblDépenses[[#Totals],[Juin]],"-")</calculatedColumnFormula>
    </tableColumn>
    <tableColumn id="23" xr3:uid="{00000000-0010-0000-0200-000017000000}" name="% juil." totalsRowFunction="sum" dataDxfId="13" totalsRowDxfId="12">
      <calculatedColumnFormula>IFERROR(tblDépenses[[#This Row],[Juil.]]/tblDépenses[[#Totals],[Juil.]],"-")</calculatedColumnFormula>
    </tableColumn>
    <tableColumn id="24" xr3:uid="{00000000-0010-0000-0200-000018000000}" name="% août" totalsRowFunction="sum" dataDxfId="11" totalsRowDxfId="10">
      <calculatedColumnFormula>IFERROR(tblDépenses[[#This Row],[Août]]/tblDépenses[[#Totals],[Août]],"-")</calculatedColumnFormula>
    </tableColumn>
    <tableColumn id="25" xr3:uid="{00000000-0010-0000-0200-000019000000}" name="% sept." totalsRowFunction="sum" dataDxfId="9" totalsRowDxfId="8">
      <calculatedColumnFormula>IFERROR(tblDépenses[[#This Row],[Sept.]]/tblDépenses[[#Totals],[Sept.]],"-")</calculatedColumnFormula>
    </tableColumn>
    <tableColumn id="26" xr3:uid="{00000000-0010-0000-0200-00001A000000}" name="% oct." totalsRowFunction="sum" dataDxfId="7" totalsRowDxfId="6">
      <calculatedColumnFormula>IFERROR(tblDépenses[[#This Row],[Oct.]]/tblDépenses[[#Totals],[Oct.]],"-")</calculatedColumnFormula>
    </tableColumn>
    <tableColumn id="27" xr3:uid="{00000000-0010-0000-0200-00001B000000}" name="% nov." totalsRowFunction="sum" dataDxfId="5" totalsRowDxfId="4">
      <calculatedColumnFormula>IFERROR(tblDépenses[[#This Row],[Nov.]]/tblDépenses[[#Totals],[Nov.]],"-")</calculatedColumnFormula>
    </tableColumn>
    <tableColumn id="28" xr3:uid="{00000000-0010-0000-0200-00001C000000}" name="% déc." totalsRowFunction="sum" dataDxfId="3" totalsRowDxfId="2">
      <calculatedColumnFormula>IFERROR(tblDépenses[[#This Row],[Déc.]]/tblDépenses[[#Totals],[Déc.]],"-")</calculatedColumnFormula>
    </tableColumn>
    <tableColumn id="29" xr3:uid="{00000000-0010-0000-0200-00001D000000}" name="% année" totalsRowFunction="sum" dataDxfId="1" totalsRowDxfId="0">
      <calculatedColumnFormula>IFERROR(tblDépenses[[#This Row],[Annuel]]/tblDépenses[[#Totals],[Annuel]],"-")</calculatedColumnFormula>
    </tableColumn>
  </tableColumns>
  <tableStyleInfo name="Dépenses Bénéfices et pertes 2" showFirstColumn="0" showLastColumn="0" showRowStripes="1" showColumnStripes="0"/>
  <extLst>
    <ext xmlns:x14="http://schemas.microsoft.com/office/spreadsheetml/2009/9/main" uri="{504A1905-F514-4f6f-8877-14C23A59335A}">
      <x14:table altTextSummary="Synthèse des dépenses, total annuel et pourcentage par mois pour chaque élément de dépens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libri-Cambria">
      <a:majorFont>
        <a:latin typeface="Calibri" panose="020F0502020204030204"/>
        <a:ea typeface=""/>
        <a:cs typeface=""/>
        <a:font script="Jpan" typeface="HGｺﾞｼｯｸM"/>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mbria" panose="02040503050406030204"/>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pageSetUpPr autoPageBreaks="0" fitToPage="1"/>
  </sheetPr>
  <dimension ref="B1:AD14"/>
  <sheetViews>
    <sheetView showGridLines="0" tabSelected="1" zoomScaleNormal="100" zoomScalePageLayoutView="85" workbookViewId="0">
      <pane xSplit="3" ySplit="5" topLeftCell="D6" activePane="bottomRight" state="frozen"/>
      <selection pane="topRight"/>
      <selection pane="bottomLeft"/>
      <selection pane="bottomRight"/>
    </sheetView>
  </sheetViews>
  <sheetFormatPr defaultColWidth="9" defaultRowHeight="30" customHeight="1" x14ac:dyDescent="0.2"/>
  <cols>
    <col min="1" max="1" width="2.625" customWidth="1"/>
    <col min="2" max="2" width="30.75" customWidth="1"/>
    <col min="3" max="3" width="20.875" customWidth="1"/>
    <col min="4" max="15" width="9.625" bestFit="1" customWidth="1"/>
    <col min="16" max="16" width="9.875" customWidth="1"/>
    <col min="17" max="30" width="7.5" customWidth="1"/>
    <col min="31" max="31" width="2.625" customWidth="1"/>
  </cols>
  <sheetData>
    <row r="1" spans="2:30" ht="38.1" customHeight="1" x14ac:dyDescent="0.2">
      <c r="B1" s="53" t="s">
        <v>0</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row>
    <row r="2" spans="2:30" ht="35.1" customHeight="1" x14ac:dyDescent="0.2">
      <c r="B2" s="59" t="s">
        <v>1</v>
      </c>
      <c r="C2" s="60"/>
      <c r="D2" s="60"/>
      <c r="E2" s="61" t="s">
        <v>14</v>
      </c>
      <c r="F2" s="62" t="s">
        <v>74</v>
      </c>
      <c r="G2" s="62">
        <f ca="1">YEAR(TODAY())</f>
        <v>2019</v>
      </c>
      <c r="H2" s="60"/>
      <c r="Q2" s="3"/>
      <c r="R2" s="3"/>
      <c r="S2" s="3"/>
      <c r="T2" s="3"/>
      <c r="U2" s="3"/>
      <c r="V2" s="3"/>
      <c r="W2" s="3"/>
      <c r="X2" s="3"/>
      <c r="Y2" s="3"/>
      <c r="Z2" s="3"/>
      <c r="AA2" s="3"/>
      <c r="AB2" s="3"/>
      <c r="AC2" s="3"/>
    </row>
    <row r="3" spans="2:30" ht="60" customHeight="1" x14ac:dyDescent="0.2">
      <c r="B3" s="52" t="s">
        <v>2</v>
      </c>
      <c r="C3" s="11"/>
      <c r="D3" s="12"/>
      <c r="E3" s="12"/>
      <c r="F3" s="12"/>
      <c r="G3" s="12"/>
      <c r="H3" s="12"/>
      <c r="I3" s="12"/>
      <c r="J3" s="12"/>
      <c r="K3" s="12"/>
      <c r="L3" s="12"/>
      <c r="M3" s="12"/>
      <c r="N3" s="12"/>
      <c r="O3" s="12"/>
      <c r="P3" s="11"/>
      <c r="Q3" s="11"/>
      <c r="R3" s="11"/>
      <c r="S3" s="11"/>
      <c r="T3" s="11"/>
      <c r="U3" s="11"/>
      <c r="V3" s="11"/>
      <c r="W3" s="11"/>
      <c r="X3" s="13"/>
      <c r="Y3" s="13"/>
      <c r="Z3" s="13"/>
      <c r="AA3" s="13"/>
      <c r="AB3" s="11"/>
      <c r="AC3" s="11"/>
      <c r="AD3" s="11"/>
    </row>
    <row r="4" spans="2:30" ht="15" customHeight="1" x14ac:dyDescent="0.2">
      <c r="D4" s="16"/>
      <c r="E4" s="16"/>
      <c r="F4" s="16"/>
      <c r="G4" s="16"/>
      <c r="H4" s="16"/>
      <c r="I4" s="16"/>
      <c r="J4" s="16"/>
      <c r="K4" s="16"/>
      <c r="L4" s="16"/>
      <c r="M4" s="16"/>
      <c r="N4" s="16"/>
      <c r="O4" s="16"/>
      <c r="P4" s="17"/>
      <c r="X4" s="2"/>
      <c r="Y4" s="2"/>
      <c r="Z4" s="2"/>
      <c r="AA4" s="2"/>
      <c r="AB4" s="7"/>
      <c r="AC4" s="7"/>
      <c r="AD4" s="7"/>
    </row>
    <row r="5" spans="2:30" ht="20.100000000000001" customHeight="1" x14ac:dyDescent="0.2">
      <c r="D5" s="24" t="str">
        <f ca="1">UPPER(TEXT(DATE(FYStartYear,FYMonthNo,1),"mmm-aa"))</f>
        <v>JAN-AA</v>
      </c>
      <c r="E5" s="24" t="str">
        <f ca="1">UPPER(TEXT(DATE(FYStartYear,FYMonthNo+1,1),"mmm-aa"))</f>
        <v>FEB-AA</v>
      </c>
      <c r="F5" s="24" t="str">
        <f ca="1">UPPER(TEXT(DATE(FYStartYear,FYMonthNo+2,1),"mmm-aa"))</f>
        <v>MAR-AA</v>
      </c>
      <c r="G5" s="24" t="str">
        <f ca="1">UPPER(TEXT(DATE(FYStartYear,FYMonthNo+3,1),"mmm-aa"))</f>
        <v>APR-AA</v>
      </c>
      <c r="H5" s="24" t="str">
        <f ca="1">UPPER(TEXT(DATE(FYStartYear,FYMonthNo+4,1),"mmm-aa"))</f>
        <v>MAY-AA</v>
      </c>
      <c r="I5" s="24" t="str">
        <f ca="1">UPPER(TEXT(DATE(FYStartYear,FYMonthNo+5,1),"mmm-aa"))</f>
        <v>JUN-AA</v>
      </c>
      <c r="J5" s="24" t="str">
        <f ca="1">UPPER(TEXT(DATE(FYStartYear,FYMonthNo+6,1),"mmm-aa"))</f>
        <v>JUL-AA</v>
      </c>
      <c r="K5" s="24" t="str">
        <f ca="1">UPPER(TEXT(DATE(FYStartYear,FYMonthNo+7,1),"mmm-aa"))</f>
        <v>AUG-AA</v>
      </c>
      <c r="L5" s="24" t="str">
        <f ca="1">UPPER(TEXT(DATE(FYStartYear,FYMonthNo+8,1),"mmm-aa"))</f>
        <v>SEP-AA</v>
      </c>
      <c r="M5" s="24" t="str">
        <f ca="1">UPPER(TEXT(DATE(FYStartYear,FYMonthNo+9,1),"mmm-aa"))</f>
        <v>OCT-AA</v>
      </c>
      <c r="N5" s="24" t="str">
        <f ca="1">UPPER(TEXT(DATE(FYStartYear,FYMonthNo+10,1),"mmm-aa"))</f>
        <v>NOV-AA</v>
      </c>
      <c r="O5" s="25" t="str">
        <f ca="1">UPPER(TEXT(DATE(FYStartYear,FYMonthNo+11,1),"mmm-aa"))</f>
        <v>DEC-AA</v>
      </c>
      <c r="P5" s="26" t="s">
        <v>26</v>
      </c>
      <c r="Q5" s="27" t="s">
        <v>75</v>
      </c>
      <c r="R5" s="28" t="str">
        <f ca="1">LEFT(D5,3)&amp;" %"</f>
        <v>JAN %</v>
      </c>
      <c r="S5" s="29" t="str">
        <f t="shared" ref="S5:AC5" ca="1" si="0">LEFT(E5,3)&amp;" %"</f>
        <v>FEB %</v>
      </c>
      <c r="T5" s="29" t="str">
        <f t="shared" ca="1" si="0"/>
        <v>MAR %</v>
      </c>
      <c r="U5" s="29" t="str">
        <f t="shared" ca="1" si="0"/>
        <v>APR %</v>
      </c>
      <c r="V5" s="29" t="str">
        <f t="shared" ca="1" si="0"/>
        <v>MAY %</v>
      </c>
      <c r="W5" s="29" t="str">
        <f t="shared" ca="1" si="0"/>
        <v>JUN %</v>
      </c>
      <c r="X5" s="29" t="str">
        <f t="shared" ca="1" si="0"/>
        <v>JUL %</v>
      </c>
      <c r="Y5" s="29" t="str">
        <f t="shared" ca="1" si="0"/>
        <v>AUG %</v>
      </c>
      <c r="Z5" s="29" t="str">
        <f t="shared" ca="1" si="0"/>
        <v>SEP %</v>
      </c>
      <c r="AA5" s="29" t="str">
        <f t="shared" ca="1" si="0"/>
        <v>OCT %</v>
      </c>
      <c r="AB5" s="29" t="str">
        <f t="shared" ca="1" si="0"/>
        <v>NOV %</v>
      </c>
      <c r="AC5" s="29" t="str">
        <f t="shared" ca="1" si="0"/>
        <v>DEC %</v>
      </c>
      <c r="AD5" s="30" t="s">
        <v>76</v>
      </c>
    </row>
    <row r="6" spans="2:30" ht="30" customHeight="1" x14ac:dyDescent="0.2">
      <c r="B6" s="47" t="s">
        <v>3</v>
      </c>
      <c r="C6" s="47" t="s">
        <v>12</v>
      </c>
      <c r="D6" s="8" t="s">
        <v>13</v>
      </c>
      <c r="E6" s="8" t="s">
        <v>15</v>
      </c>
      <c r="F6" s="8" t="s">
        <v>16</v>
      </c>
      <c r="G6" s="8" t="s">
        <v>17</v>
      </c>
      <c r="H6" s="8" t="s">
        <v>18</v>
      </c>
      <c r="I6" s="8" t="s">
        <v>19</v>
      </c>
      <c r="J6" s="8" t="s">
        <v>20</v>
      </c>
      <c r="K6" s="8" t="s">
        <v>21</v>
      </c>
      <c r="L6" s="8" t="s">
        <v>22</v>
      </c>
      <c r="M6" s="8" t="s">
        <v>23</v>
      </c>
      <c r="N6" s="8" t="s">
        <v>24</v>
      </c>
      <c r="O6" s="8" t="s">
        <v>25</v>
      </c>
      <c r="P6" s="19" t="s">
        <v>27</v>
      </c>
      <c r="Q6" s="8" t="s">
        <v>28</v>
      </c>
      <c r="R6" s="20" t="s">
        <v>29</v>
      </c>
      <c r="S6" s="8" t="s">
        <v>30</v>
      </c>
      <c r="T6" s="8" t="s">
        <v>31</v>
      </c>
      <c r="U6" s="8" t="s">
        <v>32</v>
      </c>
      <c r="V6" s="8" t="s">
        <v>33</v>
      </c>
      <c r="W6" s="8" t="s">
        <v>34</v>
      </c>
      <c r="X6" s="8" t="s">
        <v>35</v>
      </c>
      <c r="Y6" s="8" t="s">
        <v>36</v>
      </c>
      <c r="Z6" s="8" t="s">
        <v>37</v>
      </c>
      <c r="AA6" s="8" t="s">
        <v>38</v>
      </c>
      <c r="AB6" s="8" t="s">
        <v>39</v>
      </c>
      <c r="AC6" s="8" t="s">
        <v>40</v>
      </c>
      <c r="AD6" s="21" t="s">
        <v>41</v>
      </c>
    </row>
    <row r="7" spans="2:30" ht="30" customHeight="1" x14ac:dyDescent="0.2">
      <c r="B7" s="14" t="s">
        <v>4</v>
      </c>
      <c r="C7" s="15"/>
      <c r="D7" s="92">
        <v>186</v>
      </c>
      <c r="E7" s="92">
        <v>108</v>
      </c>
      <c r="F7" s="92">
        <v>92</v>
      </c>
      <c r="G7" s="92">
        <v>122</v>
      </c>
      <c r="H7" s="92">
        <v>190</v>
      </c>
      <c r="I7" s="92">
        <v>71</v>
      </c>
      <c r="J7" s="92">
        <v>21</v>
      </c>
      <c r="K7" s="92">
        <v>37</v>
      </c>
      <c r="L7" s="92">
        <v>24</v>
      </c>
      <c r="M7" s="92">
        <v>178</v>
      </c>
      <c r="N7" s="92">
        <v>92</v>
      </c>
      <c r="O7" s="92">
        <v>97</v>
      </c>
      <c r="P7" s="93">
        <f>SUM(Chiffre_d’affaires[[#This Row],[Jan.]:[Déc.]])</f>
        <v>1218</v>
      </c>
      <c r="Q7" s="9">
        <v>0.12</v>
      </c>
      <c r="R7" s="22">
        <f>IFERROR(Chiffre_d’affaires[[#This Row],[Jan.]]/Chiffre_d’affaires[[#Totals],[Jan.]],"-")</f>
        <v>0.29807692307692307</v>
      </c>
      <c r="S7" s="9">
        <f>IFERROR(Chiffre_d’affaires[[#This Row],[Fév.]]/Chiffre_d’affaires[[#Totals],[Fév.]],"-")</f>
        <v>0.14673913043478262</v>
      </c>
      <c r="T7" s="9">
        <f>IFERROR(Chiffre_d’affaires[[#This Row],[Mar.]]/Chiffre_d’affaires[[#Totals],[Mar.]],"-")</f>
        <v>0.11219512195121951</v>
      </c>
      <c r="U7" s="9">
        <f>IFERROR(Chiffre_d’affaires[[#This Row],[Avr.]]/Chiffre_d’affaires[[#Totals],[Avr.]],"-")</f>
        <v>0.19967266775777415</v>
      </c>
      <c r="V7" s="9">
        <f>IFERROR(Chiffre_d’affaires[[#This Row],[Mai]]/Chiffre_d’affaires[[#Totals],[Mai]],"-")</f>
        <v>0.23399014778325122</v>
      </c>
      <c r="W7" s="9">
        <f>IFERROR(Chiffre_d’affaires[[#This Row],[Juin]]/Chiffre_d’affaires[[#Totals],[Juin]],"-")</f>
        <v>0.12283737024221453</v>
      </c>
      <c r="X7" s="9">
        <f>IFERROR(Chiffre_d’affaires[[#This Row],[Juil.]]/Chiffre_d’affaires[[#Totals],[Juil.]],"-")</f>
        <v>3.5175879396984924E-2</v>
      </c>
      <c r="Y7" s="9">
        <f>IFERROR(Chiffre_d’affaires[[#This Row],[Août]]/Chiffre_d’affaires[[#Totals],[Août]],"-")</f>
        <v>5.4814814814814816E-2</v>
      </c>
      <c r="Z7" s="9">
        <f>IFERROR(Chiffre_d’affaires[[#This Row],[Sept.]]/Chiffre_d’affaires[[#Totals],[Sept.]],"-")</f>
        <v>3.2258064516129031E-2</v>
      </c>
      <c r="AA7" s="9">
        <f>IFERROR(Chiffre_d’affaires[[#This Row],[Oct.]]/Chiffre_d’affaires[[#Totals],[Oct.]],"-")</f>
        <v>0.26138032305433184</v>
      </c>
      <c r="AB7" s="9">
        <f>IFERROR(Chiffre_d’affaires[[#This Row],[Nov.]]/Chiffre_d’affaires[[#Totals],[Nov.]],"-")</f>
        <v>0.12449255751014884</v>
      </c>
      <c r="AC7" s="9">
        <f>IFERROR(Chiffre_d’affaires[[#This Row],[Déc.]]/Chiffre_d’affaires[[#Totals],[Déc.]],"-")</f>
        <v>9.3000958772770856E-2</v>
      </c>
      <c r="AD7" s="90">
        <f>IFERROR(Chiffre_d’affaires[[#This Row],[Annuel]]/Chiffre_d’affaires[[#Totals],[Annuel]],"-")</f>
        <v>0.14064665127020784</v>
      </c>
    </row>
    <row r="8" spans="2:30" ht="30" customHeight="1" x14ac:dyDescent="0.2">
      <c r="B8" s="14" t="s">
        <v>5</v>
      </c>
      <c r="C8" s="15"/>
      <c r="D8" s="92">
        <v>15</v>
      </c>
      <c r="E8" s="92">
        <v>16</v>
      </c>
      <c r="F8" s="92">
        <v>198</v>
      </c>
      <c r="G8" s="92">
        <v>44</v>
      </c>
      <c r="H8" s="92">
        <v>25</v>
      </c>
      <c r="I8" s="92">
        <v>68</v>
      </c>
      <c r="J8" s="92">
        <v>43</v>
      </c>
      <c r="K8" s="92">
        <v>119</v>
      </c>
      <c r="L8" s="92">
        <v>37</v>
      </c>
      <c r="M8" s="92">
        <v>118</v>
      </c>
      <c r="N8" s="92">
        <v>29</v>
      </c>
      <c r="O8" s="92">
        <v>171</v>
      </c>
      <c r="P8" s="93">
        <f>SUM(Chiffre_d’affaires[[#This Row],[Jan.]:[Déc.]])</f>
        <v>883</v>
      </c>
      <c r="Q8" s="9">
        <v>0.18</v>
      </c>
      <c r="R8" s="22">
        <f>IFERROR(Chiffre_d’affaires[[#This Row],[Jan.]]/Chiffre_d’affaires[[#Totals],[Jan.]],"-")</f>
        <v>2.403846153846154E-2</v>
      </c>
      <c r="S8" s="9">
        <f>IFERROR(Chiffre_d’affaires[[#This Row],[Fév.]]/Chiffre_d’affaires[[#Totals],[Fév.]],"-")</f>
        <v>2.1739130434782608E-2</v>
      </c>
      <c r="T8" s="9">
        <f>IFERROR(Chiffre_d’affaires[[#This Row],[Mar.]]/Chiffre_d’affaires[[#Totals],[Mar.]],"-")</f>
        <v>0.24146341463414633</v>
      </c>
      <c r="U8" s="9">
        <f>IFERROR(Chiffre_d’affaires[[#This Row],[Avr.]]/Chiffre_d’affaires[[#Totals],[Avr.]],"-")</f>
        <v>7.2013093289689037E-2</v>
      </c>
      <c r="V8" s="9">
        <f>IFERROR(Chiffre_d’affaires[[#This Row],[Mai]]/Chiffre_d’affaires[[#Totals],[Mai]],"-")</f>
        <v>3.0788177339901478E-2</v>
      </c>
      <c r="W8" s="9">
        <f>IFERROR(Chiffre_d’affaires[[#This Row],[Juin]]/Chiffre_d’affaires[[#Totals],[Juin]],"-")</f>
        <v>0.11764705882352941</v>
      </c>
      <c r="X8" s="9">
        <f>IFERROR(Chiffre_d’affaires[[#This Row],[Juil.]]/Chiffre_d’affaires[[#Totals],[Juil.]],"-")</f>
        <v>7.2026800670016752E-2</v>
      </c>
      <c r="Y8" s="9">
        <f>IFERROR(Chiffre_d’affaires[[#This Row],[Août]]/Chiffre_d’affaires[[#Totals],[Août]],"-")</f>
        <v>0.17629629629629628</v>
      </c>
      <c r="Z8" s="9">
        <f>IFERROR(Chiffre_d’affaires[[#This Row],[Sept.]]/Chiffre_d’affaires[[#Totals],[Sept.]],"-")</f>
        <v>4.9731182795698922E-2</v>
      </c>
      <c r="AA8" s="9">
        <f>IFERROR(Chiffre_d’affaires[[#This Row],[Oct.]]/Chiffre_d’affaires[[#Totals],[Oct.]],"-")</f>
        <v>0.17327459618208516</v>
      </c>
      <c r="AB8" s="9">
        <f>IFERROR(Chiffre_d’affaires[[#This Row],[Nov.]]/Chiffre_d’affaires[[#Totals],[Nov.]],"-")</f>
        <v>3.9242219215155617E-2</v>
      </c>
      <c r="AC8" s="9">
        <f>IFERROR(Chiffre_d’affaires[[#This Row],[Déc.]]/Chiffre_d’affaires[[#Totals],[Déc.]],"-")</f>
        <v>0.16395014381591563</v>
      </c>
      <c r="AD8" s="90">
        <f>IFERROR(Chiffre_d’affaires[[#This Row],[Annuel]]/Chiffre_d’affaires[[#Totals],[Annuel]],"-")</f>
        <v>0.10196304849884527</v>
      </c>
    </row>
    <row r="9" spans="2:30" ht="30" customHeight="1" x14ac:dyDescent="0.2">
      <c r="B9" s="14" t="s">
        <v>6</v>
      </c>
      <c r="C9" s="15"/>
      <c r="D9" s="92">
        <v>166</v>
      </c>
      <c r="E9" s="92">
        <v>185</v>
      </c>
      <c r="F9" s="92">
        <v>89</v>
      </c>
      <c r="G9" s="92">
        <v>170</v>
      </c>
      <c r="H9" s="92">
        <v>131</v>
      </c>
      <c r="I9" s="92">
        <v>70</v>
      </c>
      <c r="J9" s="92">
        <v>50</v>
      </c>
      <c r="K9" s="92">
        <v>149</v>
      </c>
      <c r="L9" s="92">
        <v>179</v>
      </c>
      <c r="M9" s="92">
        <v>104</v>
      </c>
      <c r="N9" s="92">
        <v>119</v>
      </c>
      <c r="O9" s="92">
        <v>187</v>
      </c>
      <c r="P9" s="93">
        <f>SUM(Chiffre_d’affaires[[#This Row],[Jan.]:[Déc.]])</f>
        <v>1599</v>
      </c>
      <c r="Q9" s="9">
        <v>0.19</v>
      </c>
      <c r="R9" s="22">
        <f>IFERROR(Chiffre_d’affaires[[#This Row],[Jan.]]/Chiffre_d’affaires[[#Totals],[Jan.]],"-")</f>
        <v>0.26602564102564102</v>
      </c>
      <c r="S9" s="9">
        <f>IFERROR(Chiffre_d’affaires[[#This Row],[Fév.]]/Chiffre_d’affaires[[#Totals],[Fév.]],"-")</f>
        <v>0.25135869565217389</v>
      </c>
      <c r="T9" s="9">
        <f>IFERROR(Chiffre_d’affaires[[#This Row],[Mar.]]/Chiffre_d’affaires[[#Totals],[Mar.]],"-")</f>
        <v>0.10853658536585366</v>
      </c>
      <c r="U9" s="9">
        <f>IFERROR(Chiffre_d’affaires[[#This Row],[Avr.]]/Chiffre_d’affaires[[#Totals],[Avr.]],"-")</f>
        <v>0.27823240589198034</v>
      </c>
      <c r="V9" s="9">
        <f>IFERROR(Chiffre_d’affaires[[#This Row],[Mai]]/Chiffre_d’affaires[[#Totals],[Mai]],"-")</f>
        <v>0.16133004926108374</v>
      </c>
      <c r="W9" s="9">
        <f>IFERROR(Chiffre_d’affaires[[#This Row],[Juin]]/Chiffre_d’affaires[[#Totals],[Juin]],"-")</f>
        <v>0.12110726643598616</v>
      </c>
      <c r="X9" s="9">
        <f>IFERROR(Chiffre_d’affaires[[#This Row],[Juil.]]/Chiffre_d’affaires[[#Totals],[Juil.]],"-")</f>
        <v>8.3752093802345065E-2</v>
      </c>
      <c r="Y9" s="9">
        <f>IFERROR(Chiffre_d’affaires[[#This Row],[Août]]/Chiffre_d’affaires[[#Totals],[Août]],"-")</f>
        <v>0.22074074074074074</v>
      </c>
      <c r="Z9" s="9">
        <f>IFERROR(Chiffre_d’affaires[[#This Row],[Sept.]]/Chiffre_d’affaires[[#Totals],[Sept.]],"-")</f>
        <v>0.24059139784946237</v>
      </c>
      <c r="AA9" s="9">
        <f>IFERROR(Chiffre_d’affaires[[#This Row],[Oct.]]/Chiffre_d’affaires[[#Totals],[Oct.]],"-")</f>
        <v>0.1527165932452276</v>
      </c>
      <c r="AB9" s="9">
        <f>IFERROR(Chiffre_d’affaires[[#This Row],[Nov.]]/Chiffre_d’affaires[[#Totals],[Nov.]],"-")</f>
        <v>0.16102841677943167</v>
      </c>
      <c r="AC9" s="9">
        <f>IFERROR(Chiffre_d’affaires[[#This Row],[Déc.]]/Chiffre_d’affaires[[#Totals],[Déc.]],"-")</f>
        <v>0.17929050814956854</v>
      </c>
      <c r="AD9" s="90">
        <f>IFERROR(Chiffre_d’affaires[[#This Row],[Annuel]]/Chiffre_d’affaires[[#Totals],[Annuel]],"-")</f>
        <v>0.18464203233256352</v>
      </c>
    </row>
    <row r="10" spans="2:30" ht="30" customHeight="1" x14ac:dyDescent="0.2">
      <c r="B10" s="14" t="s">
        <v>7</v>
      </c>
      <c r="C10" s="15"/>
      <c r="D10" s="92">
        <v>21</v>
      </c>
      <c r="E10" s="92">
        <v>113</v>
      </c>
      <c r="F10" s="92">
        <v>83</v>
      </c>
      <c r="G10" s="92">
        <v>17</v>
      </c>
      <c r="H10" s="92">
        <v>130</v>
      </c>
      <c r="I10" s="92">
        <v>26</v>
      </c>
      <c r="J10" s="92">
        <v>167</v>
      </c>
      <c r="K10" s="92">
        <v>102</v>
      </c>
      <c r="L10" s="92">
        <v>82</v>
      </c>
      <c r="M10" s="92">
        <v>33</v>
      </c>
      <c r="N10" s="92">
        <v>88</v>
      </c>
      <c r="O10" s="92">
        <v>193</v>
      </c>
      <c r="P10" s="93">
        <f>SUM(Chiffre_d’affaires[[#This Row],[Jan.]:[Déc.]])</f>
        <v>1055</v>
      </c>
      <c r="Q10" s="9">
        <v>0.11</v>
      </c>
      <c r="R10" s="22">
        <f>IFERROR(Chiffre_d’affaires[[#This Row],[Jan.]]/Chiffre_d’affaires[[#Totals],[Jan.]],"-")</f>
        <v>3.3653846153846152E-2</v>
      </c>
      <c r="S10" s="9">
        <f>IFERROR(Chiffre_d’affaires[[#This Row],[Fév.]]/Chiffre_d’affaires[[#Totals],[Fév.]],"-")</f>
        <v>0.15353260869565216</v>
      </c>
      <c r="T10" s="9">
        <f>IFERROR(Chiffre_d’affaires[[#This Row],[Mar.]]/Chiffre_d’affaires[[#Totals],[Mar.]],"-")</f>
        <v>0.10121951219512196</v>
      </c>
      <c r="U10" s="9">
        <f>IFERROR(Chiffre_d’affaires[[#This Row],[Avr.]]/Chiffre_d’affaires[[#Totals],[Avr.]],"-")</f>
        <v>2.7823240589198037E-2</v>
      </c>
      <c r="V10" s="9">
        <f>IFERROR(Chiffre_d’affaires[[#This Row],[Mai]]/Chiffre_d’affaires[[#Totals],[Mai]],"-")</f>
        <v>0.16009852216748768</v>
      </c>
      <c r="W10" s="9">
        <f>IFERROR(Chiffre_d’affaires[[#This Row],[Juin]]/Chiffre_d’affaires[[#Totals],[Juin]],"-")</f>
        <v>4.4982698961937718E-2</v>
      </c>
      <c r="X10" s="9">
        <f>IFERROR(Chiffre_d’affaires[[#This Row],[Juil.]]/Chiffre_d’affaires[[#Totals],[Juil.]],"-")</f>
        <v>0.2797319932998325</v>
      </c>
      <c r="Y10" s="9">
        <f>IFERROR(Chiffre_d’affaires[[#This Row],[Août]]/Chiffre_d’affaires[[#Totals],[Août]],"-")</f>
        <v>0.15111111111111111</v>
      </c>
      <c r="Z10" s="9">
        <f>IFERROR(Chiffre_d’affaires[[#This Row],[Sept.]]/Chiffre_d’affaires[[#Totals],[Sept.]],"-")</f>
        <v>0.11021505376344086</v>
      </c>
      <c r="AA10" s="9">
        <f>IFERROR(Chiffre_d’affaires[[#This Row],[Oct.]]/Chiffre_d’affaires[[#Totals],[Oct.]],"-")</f>
        <v>4.8458149779735685E-2</v>
      </c>
      <c r="AB10" s="9">
        <f>IFERROR(Chiffre_d’affaires[[#This Row],[Nov.]]/Chiffre_d’affaires[[#Totals],[Nov.]],"-")</f>
        <v>0.11907983761840325</v>
      </c>
      <c r="AC10" s="9">
        <f>IFERROR(Chiffre_d’affaires[[#This Row],[Déc.]]/Chiffre_d’affaires[[#Totals],[Déc.]],"-")</f>
        <v>0.18504314477468839</v>
      </c>
      <c r="AD10" s="90">
        <f>IFERROR(Chiffre_d’affaires[[#This Row],[Annuel]]/Chiffre_d’affaires[[#Totals],[Annuel]],"-")</f>
        <v>0.12182448036951501</v>
      </c>
    </row>
    <row r="11" spans="2:30" ht="30" customHeight="1" x14ac:dyDescent="0.2">
      <c r="B11" s="14" t="s">
        <v>8</v>
      </c>
      <c r="C11" s="15"/>
      <c r="D11" s="92">
        <v>70</v>
      </c>
      <c r="E11" s="92">
        <v>160</v>
      </c>
      <c r="F11" s="92">
        <v>125</v>
      </c>
      <c r="G11" s="92">
        <v>84</v>
      </c>
      <c r="H11" s="92">
        <v>191</v>
      </c>
      <c r="I11" s="92">
        <v>97</v>
      </c>
      <c r="J11" s="92">
        <v>52</v>
      </c>
      <c r="K11" s="92">
        <v>45</v>
      </c>
      <c r="L11" s="92">
        <v>173</v>
      </c>
      <c r="M11" s="92">
        <v>136</v>
      </c>
      <c r="N11" s="92">
        <v>144</v>
      </c>
      <c r="O11" s="92">
        <v>167</v>
      </c>
      <c r="P11" s="93">
        <f>SUM(Chiffre_d’affaires[[#This Row],[Jan.]:[Déc.]])</f>
        <v>1444</v>
      </c>
      <c r="Q11" s="9">
        <v>0.2</v>
      </c>
      <c r="R11" s="22">
        <f>IFERROR(Chiffre_d’affaires[[#This Row],[Jan.]]/Chiffre_d’affaires[[#Totals],[Jan.]],"-")</f>
        <v>0.11217948717948718</v>
      </c>
      <c r="S11" s="9">
        <f>IFERROR(Chiffre_d’affaires[[#This Row],[Fév.]]/Chiffre_d’affaires[[#Totals],[Fév.]],"-")</f>
        <v>0.21739130434782608</v>
      </c>
      <c r="T11" s="9">
        <f>IFERROR(Chiffre_d’affaires[[#This Row],[Mar.]]/Chiffre_d’affaires[[#Totals],[Mar.]],"-")</f>
        <v>0.1524390243902439</v>
      </c>
      <c r="U11" s="9">
        <f>IFERROR(Chiffre_d’affaires[[#This Row],[Avr.]]/Chiffre_d’affaires[[#Totals],[Avr.]],"-")</f>
        <v>0.13747954173486088</v>
      </c>
      <c r="V11" s="9">
        <f>IFERROR(Chiffre_d’affaires[[#This Row],[Mai]]/Chiffre_d’affaires[[#Totals],[Mai]],"-")</f>
        <v>0.23522167487684728</v>
      </c>
      <c r="W11" s="9">
        <f>IFERROR(Chiffre_d’affaires[[#This Row],[Juin]]/Chiffre_d’affaires[[#Totals],[Juin]],"-")</f>
        <v>0.16782006920415224</v>
      </c>
      <c r="X11" s="9">
        <f>IFERROR(Chiffre_d’affaires[[#This Row],[Juil.]]/Chiffre_d’affaires[[#Totals],[Juil.]],"-")</f>
        <v>8.7102177554438859E-2</v>
      </c>
      <c r="Y11" s="9">
        <f>IFERROR(Chiffre_d’affaires[[#This Row],[Août]]/Chiffre_d’affaires[[#Totals],[Août]],"-")</f>
        <v>6.6666666666666666E-2</v>
      </c>
      <c r="Z11" s="9">
        <f>IFERROR(Chiffre_d’affaires[[#This Row],[Sept.]]/Chiffre_d’affaires[[#Totals],[Sept.]],"-")</f>
        <v>0.2325268817204301</v>
      </c>
      <c r="AA11" s="9">
        <f>IFERROR(Chiffre_d’affaires[[#This Row],[Oct.]]/Chiffre_d’affaires[[#Totals],[Oct.]],"-")</f>
        <v>0.19970631424375918</v>
      </c>
      <c r="AB11" s="9">
        <f>IFERROR(Chiffre_d’affaires[[#This Row],[Nov.]]/Chiffre_d’affaires[[#Totals],[Nov.]],"-")</f>
        <v>0.19485791610284167</v>
      </c>
      <c r="AC11" s="9">
        <f>IFERROR(Chiffre_d’affaires[[#This Row],[Déc.]]/Chiffre_d’affaires[[#Totals],[Déc.]],"-")</f>
        <v>0.1601150527325024</v>
      </c>
      <c r="AD11" s="90">
        <f>IFERROR(Chiffre_d’affaires[[#This Row],[Annuel]]/Chiffre_d’affaires[[#Totals],[Annuel]],"-")</f>
        <v>0.16674364896073904</v>
      </c>
    </row>
    <row r="12" spans="2:30" ht="30" customHeight="1" x14ac:dyDescent="0.2">
      <c r="B12" s="14" t="s">
        <v>9</v>
      </c>
      <c r="C12" s="15"/>
      <c r="D12" s="92">
        <v>61</v>
      </c>
      <c r="E12" s="92">
        <v>99</v>
      </c>
      <c r="F12" s="92">
        <v>70</v>
      </c>
      <c r="G12" s="92">
        <v>162</v>
      </c>
      <c r="H12" s="92">
        <v>28</v>
      </c>
      <c r="I12" s="92">
        <v>163</v>
      </c>
      <c r="J12" s="92">
        <v>101</v>
      </c>
      <c r="K12" s="92">
        <v>103</v>
      </c>
      <c r="L12" s="92">
        <v>78</v>
      </c>
      <c r="M12" s="92">
        <v>33</v>
      </c>
      <c r="N12" s="92">
        <v>162</v>
      </c>
      <c r="O12" s="92">
        <v>159</v>
      </c>
      <c r="P12" s="93">
        <f>SUM(Chiffre_d’affaires[[#This Row],[Jan.]:[Déc.]])</f>
        <v>1219</v>
      </c>
      <c r="Q12" s="9">
        <v>0.1</v>
      </c>
      <c r="R12" s="22">
        <f>IFERROR(Chiffre_d’affaires[[#This Row],[Jan.]]/Chiffre_d’affaires[[#Totals],[Jan.]],"-")</f>
        <v>9.7756410256410256E-2</v>
      </c>
      <c r="S12" s="9">
        <f>IFERROR(Chiffre_d’affaires[[#This Row],[Fév.]]/Chiffre_d’affaires[[#Totals],[Fév.]],"-")</f>
        <v>0.13451086956521738</v>
      </c>
      <c r="T12" s="9">
        <f>IFERROR(Chiffre_d’affaires[[#This Row],[Mar.]]/Chiffre_d’affaires[[#Totals],[Mar.]],"-")</f>
        <v>8.5365853658536592E-2</v>
      </c>
      <c r="U12" s="9">
        <f>IFERROR(Chiffre_d’affaires[[#This Row],[Avr.]]/Chiffre_d’affaires[[#Totals],[Avr.]],"-")</f>
        <v>0.265139116202946</v>
      </c>
      <c r="V12" s="9">
        <f>IFERROR(Chiffre_d’affaires[[#This Row],[Mai]]/Chiffre_d’affaires[[#Totals],[Mai]],"-")</f>
        <v>3.4482758620689655E-2</v>
      </c>
      <c r="W12" s="9">
        <f>IFERROR(Chiffre_d’affaires[[#This Row],[Juin]]/Chiffre_d’affaires[[#Totals],[Juin]],"-")</f>
        <v>0.2820069204152249</v>
      </c>
      <c r="X12" s="9">
        <f>IFERROR(Chiffre_d’affaires[[#This Row],[Juil.]]/Chiffre_d’affaires[[#Totals],[Juil.]],"-")</f>
        <v>0.16917922948073702</v>
      </c>
      <c r="Y12" s="9">
        <f>IFERROR(Chiffre_d’affaires[[#This Row],[Août]]/Chiffre_d’affaires[[#Totals],[Août]],"-")</f>
        <v>0.15259259259259259</v>
      </c>
      <c r="Z12" s="9">
        <f>IFERROR(Chiffre_d’affaires[[#This Row],[Sept.]]/Chiffre_d’affaires[[#Totals],[Sept.]],"-")</f>
        <v>0.10483870967741936</v>
      </c>
      <c r="AA12" s="9">
        <f>IFERROR(Chiffre_d’affaires[[#This Row],[Oct.]]/Chiffre_d’affaires[[#Totals],[Oct.]],"-")</f>
        <v>4.8458149779735685E-2</v>
      </c>
      <c r="AB12" s="9">
        <f>IFERROR(Chiffre_d’affaires[[#This Row],[Nov.]]/Chiffre_d’affaires[[#Totals],[Nov.]],"-")</f>
        <v>0.21921515561569688</v>
      </c>
      <c r="AC12" s="9">
        <f>IFERROR(Chiffre_d’affaires[[#This Row],[Déc.]]/Chiffre_d’affaires[[#Totals],[Déc.]],"-")</f>
        <v>0.15244487056567593</v>
      </c>
      <c r="AD12" s="90">
        <f>IFERROR(Chiffre_d’affaires[[#This Row],[Annuel]]/Chiffre_d’affaires[[#Totals],[Annuel]],"-")</f>
        <v>0.14076212471131641</v>
      </c>
    </row>
    <row r="13" spans="2:30" ht="30" customHeight="1" x14ac:dyDescent="0.2">
      <c r="B13" s="14" t="s">
        <v>10</v>
      </c>
      <c r="C13" s="15"/>
      <c r="D13" s="92">
        <v>105</v>
      </c>
      <c r="E13" s="92">
        <v>55</v>
      </c>
      <c r="F13" s="92">
        <v>163</v>
      </c>
      <c r="G13" s="92">
        <v>12</v>
      </c>
      <c r="H13" s="92">
        <v>117</v>
      </c>
      <c r="I13" s="92">
        <v>83</v>
      </c>
      <c r="J13" s="92">
        <v>163</v>
      </c>
      <c r="K13" s="92">
        <v>120</v>
      </c>
      <c r="L13" s="92">
        <v>171</v>
      </c>
      <c r="M13" s="92">
        <v>79</v>
      </c>
      <c r="N13" s="92">
        <v>105</v>
      </c>
      <c r="O13" s="92">
        <v>69</v>
      </c>
      <c r="P13" s="93">
        <f>SUM(Chiffre_d’affaires[[#This Row],[Jan.]:[Déc.]])</f>
        <v>1242</v>
      </c>
      <c r="Q13" s="9">
        <v>0.1</v>
      </c>
      <c r="R13" s="22">
        <f>IFERROR(Chiffre_d’affaires[[#This Row],[Jan.]]/Chiffre_d’affaires[[#Totals],[Jan.]],"-")</f>
        <v>0.16826923076923078</v>
      </c>
      <c r="S13" s="9">
        <f>IFERROR(Chiffre_d’affaires[[#This Row],[Fév.]]/Chiffre_d’affaires[[#Totals],[Fév.]],"-")</f>
        <v>7.4728260869565216E-2</v>
      </c>
      <c r="T13" s="9">
        <f>IFERROR(Chiffre_d’affaires[[#This Row],[Mar.]]/Chiffre_d’affaires[[#Totals],[Mar.]],"-")</f>
        <v>0.19878048780487806</v>
      </c>
      <c r="U13" s="9">
        <f>IFERROR(Chiffre_d’affaires[[#This Row],[Avr.]]/Chiffre_d’affaires[[#Totals],[Avr.]],"-")</f>
        <v>1.9639934533551555E-2</v>
      </c>
      <c r="V13" s="9">
        <f>IFERROR(Chiffre_d’affaires[[#This Row],[Mai]]/Chiffre_d’affaires[[#Totals],[Mai]],"-")</f>
        <v>0.14408866995073891</v>
      </c>
      <c r="W13" s="9">
        <f>IFERROR(Chiffre_d’affaires[[#This Row],[Juin]]/Chiffre_d’affaires[[#Totals],[Juin]],"-")</f>
        <v>0.14359861591695502</v>
      </c>
      <c r="X13" s="9">
        <f>IFERROR(Chiffre_d’affaires[[#This Row],[Juil.]]/Chiffre_d’affaires[[#Totals],[Juil.]],"-")</f>
        <v>0.27303182579564489</v>
      </c>
      <c r="Y13" s="9">
        <f>IFERROR(Chiffre_d’affaires[[#This Row],[Août]]/Chiffre_d’affaires[[#Totals],[Août]],"-")</f>
        <v>0.17777777777777778</v>
      </c>
      <c r="Z13" s="9">
        <f>IFERROR(Chiffre_d’affaires[[#This Row],[Sept.]]/Chiffre_d’affaires[[#Totals],[Sept.]],"-")</f>
        <v>0.22983870967741934</v>
      </c>
      <c r="AA13" s="9">
        <f>IFERROR(Chiffre_d’affaires[[#This Row],[Oct.]]/Chiffre_d’affaires[[#Totals],[Oct.]],"-")</f>
        <v>0.11600587371512482</v>
      </c>
      <c r="AB13" s="9">
        <f>IFERROR(Chiffre_d’affaires[[#This Row],[Nov.]]/Chiffre_d’affaires[[#Totals],[Nov.]],"-")</f>
        <v>0.14208389715832206</v>
      </c>
      <c r="AC13" s="9">
        <f>IFERROR(Chiffre_d’affaires[[#This Row],[Déc.]]/Chiffre_d’affaires[[#Totals],[Déc.]],"-")</f>
        <v>6.6155321188878236E-2</v>
      </c>
      <c r="AD13" s="90">
        <f>IFERROR(Chiffre_d’affaires[[#This Row],[Annuel]]/Chiffre_d’affaires[[#Totals],[Annuel]],"-")</f>
        <v>0.14341801385681294</v>
      </c>
    </row>
    <row r="14" spans="2:30" ht="30" customHeight="1" x14ac:dyDescent="0.2">
      <c r="B14" s="18" t="s">
        <v>11</v>
      </c>
      <c r="D14" s="94">
        <f>SUBTOTAL(109, Chiffre_d’affaires[Jan.])</f>
        <v>624</v>
      </c>
      <c r="E14" s="94">
        <f>SUBTOTAL(109, Chiffre_d’affaires[Fév.])</f>
        <v>736</v>
      </c>
      <c r="F14" s="94">
        <f>SUBTOTAL(109, Chiffre_d’affaires[Mar.])</f>
        <v>820</v>
      </c>
      <c r="G14" s="94">
        <f>SUBTOTAL(109, Chiffre_d’affaires[Avr.])</f>
        <v>611</v>
      </c>
      <c r="H14" s="94">
        <f>SUBTOTAL(109, Chiffre_d’affaires[Mai])</f>
        <v>812</v>
      </c>
      <c r="I14" s="94">
        <f>SUBTOTAL(109, Chiffre_d’affaires[Juin])</f>
        <v>578</v>
      </c>
      <c r="J14" s="94">
        <f>SUBTOTAL(109, Chiffre_d’affaires[Juil.])</f>
        <v>597</v>
      </c>
      <c r="K14" s="94">
        <f>SUBTOTAL(109, Chiffre_d’affaires[Août])</f>
        <v>675</v>
      </c>
      <c r="L14" s="94">
        <f>SUBTOTAL(109, Chiffre_d’affaires[Sept.])</f>
        <v>744</v>
      </c>
      <c r="M14" s="94">
        <f>SUBTOTAL(109, Chiffre_d’affaires[Oct.])</f>
        <v>681</v>
      </c>
      <c r="N14" s="94">
        <f>SUBTOTAL(109, Chiffre_d’affaires[Nov.])</f>
        <v>739</v>
      </c>
      <c r="O14" s="94">
        <f>SUBTOTAL(109, Chiffre_d’affaires[Déc.])</f>
        <v>1043</v>
      </c>
      <c r="P14" s="95">
        <f>SUBTOTAL(109, Chiffre_d’affaires[Annuel])</f>
        <v>8660</v>
      </c>
      <c r="Q14" s="85">
        <f>SUBTOTAL(109, Chiffre_d’affaires[% index])</f>
        <v>1</v>
      </c>
      <c r="R14" s="23">
        <f>SUBTOTAL(109,Chiffre_d’affaires[% jan.])</f>
        <v>1</v>
      </c>
      <c r="S14" s="86">
        <f>SUBTOTAL(109,Chiffre_d’affaires[% fév.])</f>
        <v>1</v>
      </c>
      <c r="T14" s="86">
        <f>SUBTOTAL(109,Chiffre_d’affaires[% mar.])</f>
        <v>1</v>
      </c>
      <c r="U14" s="86">
        <f>SUBTOTAL(109,Chiffre_d’affaires[% avr.])</f>
        <v>0.99999999999999989</v>
      </c>
      <c r="V14" s="86">
        <f>SUBTOTAL(109,Chiffre_d’affaires[% mai])</f>
        <v>0.99999999999999989</v>
      </c>
      <c r="W14" s="86">
        <f>SUBTOTAL(109,Chiffre_d’affaires[% juin])</f>
        <v>1</v>
      </c>
      <c r="X14" s="86">
        <f>SUBTOTAL(109,Chiffre_d’affaires[% juil.])</f>
        <v>1</v>
      </c>
      <c r="Y14" s="86">
        <f>SUBTOTAL(109,Chiffre_d’affaires[% août])</f>
        <v>1</v>
      </c>
      <c r="Z14" s="86">
        <f>SUBTOTAL(109,Chiffre_d’affaires[% sept.])</f>
        <v>1</v>
      </c>
      <c r="AA14" s="86">
        <f>SUBTOTAL(109,Chiffre_d’affaires[% oct.])</f>
        <v>1</v>
      </c>
      <c r="AB14" s="86">
        <f>SUBTOTAL(109,Chiffre_d’affaires[% nov.])</f>
        <v>1</v>
      </c>
      <c r="AC14" s="86">
        <f>SUBTOTAL(109,Chiffre_d’affaires[% déc.])</f>
        <v>0.99999999999999989</v>
      </c>
      <c r="AD14" s="91">
        <f>SUBTOTAL(109,Chiffre_d’affaires[% année])</f>
        <v>1</v>
      </c>
    </row>
  </sheetData>
  <dataConsolidate/>
  <dataValidations count="18">
    <dataValidation allowBlank="1" showInputMessage="1" showErrorMessage="1" prompt="Le chiffre d’affaires annuel est calculé automatiquement dans cette colonne" sqref="P5" xr:uid="{00000000-0002-0000-0000-000000000000}"/>
    <dataValidation allowBlank="1" showInputMessage="1" showErrorMessage="1" prompt="Entrez un titre pour la période de prévision pendant laquelle les ventes totales sont calculées" sqref="B2" xr:uid="{00000000-0002-0000-0000-000001000000}"/>
    <dataValidation allowBlank="1" showInputMessage="1" showErrorMessage="1" prompt="Entrez le nom de la société dans cette cellule" sqref="B1" xr:uid="{00000000-0002-0000-0000-000002000000}"/>
    <dataValidation allowBlank="1" showInputMessage="1" showErrorMessage="1" prompt="Les dates de cette ligne sont automatiquement mises à jour en fonction du mois de début de chaque exercice. Pour modifier le mois de début, modifiez la cellule F2" sqref="D5" xr:uid="{00000000-0002-0000-0000-000003000000}"/>
    <dataValidation allowBlank="1" showInputMessage="1" showErrorMessage="1" prompt="Entrez le pourcentage d’index dans cette colonne" sqref="Q6" xr:uid="{00000000-0002-0000-0000-000004000000}"/>
    <dataValidation allowBlank="1" showInputMessage="1" showErrorMessage="1" prompt="Mois automatiquement mis à jour" sqref="E5:O5" xr:uid="{00000000-0002-0000-0000-000007000000}"/>
    <dataValidation allowBlank="1" showInputMessage="1" showErrorMessage="1" prompt="Calcule automatiquement dans cette colonne la proportion des ventes des différentes sources par rapport aux ventes totales pour le mois figurant dans cette cellule" sqref="R5:AC5" xr:uid="{00000000-0002-0000-0000-000008000000}"/>
    <dataValidation allowBlank="1" showInputMessage="1" showErrorMessage="1" prompt="Calcule automatiquement la proportion des ventes des différentes sources par rapport aux ventes totales pour l’année figurant dans cette colonne" sqref="AD5" xr:uid="{00000000-0002-0000-0000-000009000000}"/>
    <dataValidation allowBlank="1" showInputMessage="1" showErrorMessage="1" prompt="Entrez le chiffre d’affaires généré par les ventes dans cette colonne" sqref="B6" xr:uid="{00000000-0002-0000-0000-00000A000000}"/>
    <dataValidation allowBlank="1" showInputMessage="1" showErrorMessage="1" prompt="Un graphique de tendance représentant le chiffre d’affaires au fil du temps figure dans cette colonne" sqref="C6" xr:uid="{00000000-0002-0000-0000-00000B000000}"/>
    <dataValidation allowBlank="1" showInputMessage="1" showErrorMessage="1" prompt="Entrez dans cette colonne le chiffres d’affaires des sources répertoriées dans la colonne B" sqref="D6:O6" xr:uid="{00000000-0002-0000-0000-00000C000000}"/>
    <dataValidation allowBlank="1" showInputMessage="1" showErrorMessage="1" prompt="Le pourcentage d’index figure dans cette colonne" sqref="Q5" xr:uid="{00000000-0002-0000-0000-00000D000000}"/>
    <dataValidation errorStyle="information" allowBlank="1" showInputMessage="1" errorTitle="Année Inconnue" error="Veuillez sélectionner une année à partir de la liste déroulante. Pour ajouter ou supprimer une année dans la liste déroulante, sur l’onglet Donnée, dans le groupe Outils de Données, cliquez sur la Validation de données." prompt="Entrez l’année dans cette cellule." sqref="G2" xr:uid="{00000000-0002-0000-0000-00000F000000}"/>
    <dataValidation allowBlank="1" showInputMessage="1" showErrorMessage="1" prompt="Le titre de projection est dans cette cellule. Entrez des valeurs dans le tableau Chiffre d’affaires ci-dessous pour calculer le total des ventes" sqref="B3" xr:uid="{00000000-0002-0000-0000-000011000000}"/>
    <dataValidation allowBlank="1" showInputMessage="1" showErrorMessage="1" prompt="Cette feuille de calcul calcule le total des ventes pour chaque mois et année, ainsi que le total annuel des ventes des différentes sources. Entrez le mois de début de l’exercice dans la cellule F2 et l’année dans la cellule G2" sqref="A1" xr:uid="{00000000-0002-0000-0000-000012000000}"/>
    <dataValidation allowBlank="1" showInputMessage="1" showErrorMessage="1" prompt="Sélectionnez le mois de début de l’exercice fiscal dans la cellule F2 et entrez une année dans la cellule G2 à droite de cette étiquette" sqref="E2" xr:uid="{00000000-0002-0000-0000-000013000000}"/>
    <dataValidation allowBlank="1" showInputMessage="1" showErrorMessage="1" prompt="Le titre de projection est dans cette cellule. Entrez des valeurs dans le tableau Chiffre d’affaires ci-dessous pour calculer " sqref="E2" xr:uid="{00000000-0002-0000-0000-000014000000}"/>
    <dataValidation type="list" errorStyle="warning" allowBlank="1" showInputMessage="1" showErrorMessage="1" error="Sélectionnez le mois dans la liste déroulante. Sélectionnez ANNULER, puis appuyez sur ALT + FLÈCHE BAS. Appuyez sur ENTRÉE pour sélectionner un mois" prompt="Sélectionnez le mois dans cette cellule. Appuyez sur ALT+FLÈCHE BAS pour ouvrir la liste déroulante, puis sur ENTRÉE pour sélectionner un mois" sqref="F2" xr:uid="{0596B86D-335A-49B7-897D-E07C47868126}">
      <formula1>"JANV,FÉVR,MARS,AVR,MAI,JUIN,JUIL,AOÛT,SEPT,OCT,NOV,DÉC"</formula1>
    </dataValidation>
  </dataValidations>
  <printOptions horizontalCentered="1"/>
  <pageMargins left="0.25" right="0.25" top="0.75" bottom="0.75" header="0.3" footer="0.3"/>
  <pageSetup paperSize="9" fitToHeight="0" orientation="landscape" r:id="rId1"/>
  <headerFooter differentFirst="1">
    <oddFooter>Page &amp;P of &amp;N</oddFooter>
  </headerFooter>
  <ignoredErrors>
    <ignoredError sqref="P7 V7:AC7" calculatedColumn="1"/>
  </ignoredErrors>
  <tableParts count="1">
    <tablePart r:id="rId2"/>
  </tableParts>
  <extLst>
    <ext xmlns:x14="http://schemas.microsoft.com/office/spreadsheetml/2009/9/main" uri="{05C60535-1F16-4fd2-B633-F4F36F0B64E0}">
      <x14:sparklineGroups xmlns:xm="http://schemas.microsoft.com/office/excel/2006/main">
        <x14:sparklineGroup lineWeight="1" displayEmptyCellsAs="gap" high="1" low="1" xr2:uid="{00000000-0003-0000-0000-000001000000}">
          <x14:colorSeries theme="5" tint="-0.499984740745262"/>
          <x14:colorNegative theme="5"/>
          <x14:colorAxis rgb="FF000000"/>
          <x14:colorMarkers theme="4" tint="-0.499984740745262"/>
          <x14:colorFirst theme="4" tint="0.39997558519241921"/>
          <x14:colorLast theme="4" tint="0.39997558519241921"/>
          <x14:colorHigh theme="5" tint="-0.499984740745262"/>
          <x14:colorLow theme="5" tint="-0.499984740745262"/>
          <x14:sparklines>
            <x14:sparkline>
              <xm:f>'Chiffre d’affaires (ventes)'!$D$7:$O$7</xm:f>
              <xm:sqref>C7</xm:sqref>
            </x14:sparkline>
            <x14:sparkline>
              <xm:f>'Chiffre d’affaires (ventes)'!$D$8:$O$8</xm:f>
              <xm:sqref>C8</xm:sqref>
            </x14:sparkline>
            <x14:sparkline>
              <xm:f>'Chiffre d’affaires (ventes)'!$D$9:$O$9</xm:f>
              <xm:sqref>C9</xm:sqref>
            </x14:sparkline>
            <x14:sparkline>
              <xm:f>'Chiffre d’affaires (ventes)'!$D$10:$O$10</xm:f>
              <xm:sqref>C10</xm:sqref>
            </x14:sparkline>
            <x14:sparkline>
              <xm:f>'Chiffre d’affaires (ventes)'!$D$11:$O$11</xm:f>
              <xm:sqref>C11</xm:sqref>
            </x14:sparkline>
            <x14:sparkline>
              <xm:f>'Chiffre d’affaires (ventes)'!$D$12:$O$12</xm:f>
              <xm:sqref>C12</xm:sqref>
            </x14:sparkline>
            <x14:sparkline>
              <xm:f>'Chiffre d’affaires (ventes)'!$D$13:$O$13</xm:f>
              <xm:sqref>C13</xm:sqref>
            </x14:sparkline>
          </x14:sparklines>
        </x14:sparklineGroup>
        <x14:sparklineGroup lineWeight="1" displayEmptyCellsAs="gap" high="1" low="1" negative="1" xr2:uid="{6CFBE3A7-9011-4FBB-AB10-395164994082}">
          <x14:colorSeries theme="5" tint="-0.499984740745262"/>
          <x14:colorNegative theme="0"/>
          <x14:colorAxis rgb="FF000000"/>
          <x14:colorMarkers theme="4" tint="-0.499984740745262"/>
          <x14:colorFirst theme="4" tint="0.39997558519241921"/>
          <x14:colorLast theme="4" tint="0.39997558519241921"/>
          <x14:colorHigh theme="5" tint="-0.499984740745262"/>
          <x14:colorLow theme="5" tint="-0.499984740745262"/>
          <x14:sparklines>
            <x14:sparkline>
              <xm:f>'Chiffre d’affaires (ventes)'!D14:O14</xm:f>
              <xm:sqref>C14</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pageSetUpPr fitToPage="1"/>
  </sheetPr>
  <dimension ref="B1:AE16"/>
  <sheetViews>
    <sheetView showGridLines="0" zoomScaleNormal="100" workbookViewId="0">
      <pane xSplit="3" ySplit="5" topLeftCell="D6" activePane="bottomRight" state="frozen"/>
      <selection activeCell="C1" sqref="C1:C1048576"/>
      <selection pane="topRight" activeCell="C1" sqref="C1:C1048576"/>
      <selection pane="bottomLeft" activeCell="C1" sqref="C1:C1048576"/>
      <selection pane="bottomRight"/>
    </sheetView>
  </sheetViews>
  <sheetFormatPr defaultColWidth="9" defaultRowHeight="30" customHeight="1" x14ac:dyDescent="0.2"/>
  <cols>
    <col min="1" max="1" width="2.625" customWidth="1"/>
    <col min="2" max="2" width="30.75" customWidth="1"/>
    <col min="3" max="3" width="20.875" customWidth="1"/>
    <col min="4" max="15" width="11.125" bestFit="1" customWidth="1"/>
    <col min="16" max="16" width="12.625" bestFit="1" customWidth="1"/>
    <col min="17" max="30" width="7.5" customWidth="1"/>
    <col min="31" max="31" width="2.625" customWidth="1"/>
  </cols>
  <sheetData>
    <row r="1" spans="2:31" ht="38.1" customHeight="1" x14ac:dyDescent="0.2">
      <c r="B1" s="53" t="str">
        <f>Nom_Entreprise</f>
        <v>Nom de la société</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row>
    <row r="2" spans="2:31" ht="35.1" customHeight="1" x14ac:dyDescent="0.2">
      <c r="B2" s="63" t="str">
        <f>Titre_Période_Prévisions</f>
        <v>Douze mois</v>
      </c>
      <c r="C2" s="51"/>
      <c r="D2" s="51"/>
      <c r="E2" s="64" t="s">
        <v>52</v>
      </c>
      <c r="F2" s="65" t="str">
        <f>FYMonthStart</f>
        <v>JANV</v>
      </c>
      <c r="G2" s="65">
        <f ca="1">FYStartYear</f>
        <v>2019</v>
      </c>
      <c r="Q2" s="3"/>
      <c r="R2" s="3"/>
      <c r="S2" s="3"/>
      <c r="T2" s="3"/>
      <c r="U2" s="3"/>
      <c r="V2" s="3"/>
      <c r="W2" s="3"/>
      <c r="X2" s="3"/>
      <c r="Y2" s="3"/>
      <c r="Z2" s="3"/>
      <c r="AA2" s="3"/>
      <c r="AB2" s="3"/>
      <c r="AC2" s="3"/>
    </row>
    <row r="3" spans="2:31" ht="60" customHeight="1" x14ac:dyDescent="0.2">
      <c r="B3" s="52" t="str">
        <f>Titre_Feuille_Calcul</f>
        <v>Projection des pertes et profits</v>
      </c>
      <c r="C3" s="11"/>
      <c r="D3" s="12"/>
      <c r="E3" s="12"/>
      <c r="F3" s="12"/>
      <c r="G3" s="12"/>
      <c r="H3" s="12"/>
      <c r="I3" s="12"/>
      <c r="J3" s="12"/>
      <c r="K3" s="12"/>
      <c r="L3" s="12"/>
      <c r="M3" s="12"/>
      <c r="N3" s="12"/>
      <c r="O3" s="12"/>
      <c r="P3" s="11"/>
      <c r="Q3" s="11"/>
      <c r="R3" s="11"/>
      <c r="S3" s="11"/>
      <c r="T3" s="11"/>
      <c r="U3" s="11"/>
      <c r="V3" s="11"/>
      <c r="W3" s="11"/>
      <c r="X3" s="13"/>
      <c r="Y3" s="13"/>
      <c r="Z3" s="13"/>
      <c r="AA3" s="13"/>
      <c r="AB3" s="11"/>
      <c r="AC3" s="11"/>
      <c r="AD3" s="11"/>
    </row>
    <row r="4" spans="2:31" ht="15" customHeight="1" x14ac:dyDescent="0.2">
      <c r="D4" s="16"/>
      <c r="E4" s="16"/>
      <c r="F4" s="16"/>
      <c r="G4" s="16"/>
      <c r="H4" s="16"/>
      <c r="I4" s="16"/>
      <c r="J4" s="16"/>
      <c r="K4" s="16"/>
      <c r="L4" s="16"/>
      <c r="M4" s="16"/>
      <c r="N4" s="16"/>
      <c r="O4" s="16"/>
      <c r="P4" s="17"/>
      <c r="X4" s="2"/>
      <c r="Y4" s="2"/>
      <c r="Z4" s="2"/>
      <c r="AA4" s="2"/>
      <c r="AB4" s="7"/>
      <c r="AC4" s="7"/>
      <c r="AD4" s="7"/>
    </row>
    <row r="5" spans="2:31" ht="20.100000000000001" customHeight="1" x14ac:dyDescent="0.2">
      <c r="D5" s="39" t="str">
        <f ca="1">UPPER(TEXT(DATE(FYStartYear,FYMonthNo,1),"mmm-aa"))</f>
        <v>JAN-AA</v>
      </c>
      <c r="E5" s="39" t="str">
        <f ca="1">UPPER(TEXT(DATE(FYStartYear,FYMonthNo+1,1),"mmm-aa"))</f>
        <v>FEB-AA</v>
      </c>
      <c r="F5" s="39" t="str">
        <f ca="1">UPPER(TEXT(DATE(FYStartYear,FYMonthNo+2,1),"mmm-aa"))</f>
        <v>MAR-AA</v>
      </c>
      <c r="G5" s="39" t="str">
        <f ca="1">UPPER(TEXT(DATE(FYStartYear,FYMonthNo+3,1),"mmm-aa"))</f>
        <v>APR-AA</v>
      </c>
      <c r="H5" s="39" t="str">
        <f ca="1">UPPER(TEXT(DATE(FYStartYear,FYMonthNo+4,1),"mmm-aa"))</f>
        <v>MAY-AA</v>
      </c>
      <c r="I5" s="39" t="str">
        <f ca="1">UPPER(TEXT(DATE(FYStartYear,FYMonthNo+5,1),"mmm-aa"))</f>
        <v>JUN-AA</v>
      </c>
      <c r="J5" s="39" t="str">
        <f ca="1">UPPER(TEXT(DATE(FYStartYear,FYMonthNo+6,1),"mmm-aa"))</f>
        <v>JUL-AA</v>
      </c>
      <c r="K5" s="39" t="str">
        <f ca="1">UPPER(TEXT(DATE(FYStartYear,FYMonthNo+7,1),"mmm-aa"))</f>
        <v>AUG-AA</v>
      </c>
      <c r="L5" s="39" t="str">
        <f ca="1">UPPER(TEXT(DATE(FYStartYear,FYMonthNo+8,1),"mmm-aa"))</f>
        <v>SEP-AA</v>
      </c>
      <c r="M5" s="39" t="str">
        <f ca="1">UPPER(TEXT(DATE(FYStartYear,FYMonthNo+9,1),"mmm-aa"))</f>
        <v>OCT-AA</v>
      </c>
      <c r="N5" s="39" t="str">
        <f ca="1">UPPER(TEXT(DATE(FYStartYear,FYMonthNo+10,1),"mmm-aa"))</f>
        <v>NOV-AA</v>
      </c>
      <c r="O5" s="27" t="str">
        <f ca="1">UPPER(TEXT(DATE(FYStartYear,FYMonthNo+11,1),"mmm-aa"))</f>
        <v>DEC-AA</v>
      </c>
      <c r="P5" s="42" t="s">
        <v>26</v>
      </c>
      <c r="Q5" s="27" t="s">
        <v>75</v>
      </c>
      <c r="R5" s="44" t="str">
        <f ca="1">LEFT(D5,3)&amp;" %"</f>
        <v>JAN %</v>
      </c>
      <c r="S5" s="45" t="str">
        <f t="shared" ref="S5:AC5" ca="1" si="0">LEFT(E5,3)&amp;" %"</f>
        <v>FEB %</v>
      </c>
      <c r="T5" s="45" t="str">
        <f t="shared" ca="1" si="0"/>
        <v>MAR %</v>
      </c>
      <c r="U5" s="45" t="str">
        <f t="shared" ca="1" si="0"/>
        <v>APR %</v>
      </c>
      <c r="V5" s="45" t="str">
        <f t="shared" ca="1" si="0"/>
        <v>MAY %</v>
      </c>
      <c r="W5" s="45" t="str">
        <f t="shared" ca="1" si="0"/>
        <v>JUN %</v>
      </c>
      <c r="X5" s="45" t="str">
        <f t="shared" ca="1" si="0"/>
        <v>JUL %</v>
      </c>
      <c r="Y5" s="45" t="str">
        <f t="shared" ca="1" si="0"/>
        <v>AUG %</v>
      </c>
      <c r="Z5" s="45" t="str">
        <f t="shared" ca="1" si="0"/>
        <v>SEP %</v>
      </c>
      <c r="AA5" s="45" t="str">
        <f t="shared" ca="1" si="0"/>
        <v>OCT %</v>
      </c>
      <c r="AB5" s="45" t="str">
        <f t="shared" ca="1" si="0"/>
        <v>NOV %</v>
      </c>
      <c r="AC5" s="45" t="str">
        <f t="shared" ca="1" si="0"/>
        <v>DEC %</v>
      </c>
      <c r="AD5" s="46" t="s">
        <v>76</v>
      </c>
      <c r="AE5" s="84"/>
    </row>
    <row r="6" spans="2:31" ht="30" customHeight="1" x14ac:dyDescent="0.2">
      <c r="B6" s="75" t="s">
        <v>42</v>
      </c>
      <c r="C6" s="75" t="s">
        <v>12</v>
      </c>
      <c r="D6" s="8" t="s">
        <v>13</v>
      </c>
      <c r="E6" s="8" t="s">
        <v>15</v>
      </c>
      <c r="F6" s="8" t="s">
        <v>16</v>
      </c>
      <c r="G6" s="8" t="s">
        <v>17</v>
      </c>
      <c r="H6" s="8" t="s">
        <v>18</v>
      </c>
      <c r="I6" s="8" t="s">
        <v>19</v>
      </c>
      <c r="J6" s="8" t="s">
        <v>20</v>
      </c>
      <c r="K6" s="8" t="s">
        <v>21</v>
      </c>
      <c r="L6" s="8" t="s">
        <v>22</v>
      </c>
      <c r="M6" s="8" t="s">
        <v>23</v>
      </c>
      <c r="N6" s="8" t="s">
        <v>24</v>
      </c>
      <c r="O6" s="8" t="s">
        <v>25</v>
      </c>
      <c r="P6" s="43" t="s">
        <v>27</v>
      </c>
      <c r="Q6" s="8" t="s">
        <v>28</v>
      </c>
      <c r="R6" s="34" t="s">
        <v>29</v>
      </c>
      <c r="S6" s="8" t="s">
        <v>30</v>
      </c>
      <c r="T6" s="8" t="s">
        <v>31</v>
      </c>
      <c r="U6" s="8" t="s">
        <v>32</v>
      </c>
      <c r="V6" s="8" t="s">
        <v>33</v>
      </c>
      <c r="W6" s="8" t="s">
        <v>34</v>
      </c>
      <c r="X6" s="8" t="s">
        <v>35</v>
      </c>
      <c r="Y6" s="8" t="s">
        <v>36</v>
      </c>
      <c r="Z6" s="8" t="s">
        <v>37</v>
      </c>
      <c r="AA6" s="8" t="s">
        <v>38</v>
      </c>
      <c r="AB6" s="8" t="s">
        <v>39</v>
      </c>
      <c r="AC6" s="8" t="s">
        <v>40</v>
      </c>
      <c r="AD6" s="32" t="s">
        <v>41</v>
      </c>
      <c r="AE6" s="84"/>
    </row>
    <row r="7" spans="2:31" ht="30" customHeight="1" x14ac:dyDescent="0.2">
      <c r="B7" s="14" t="s">
        <v>43</v>
      </c>
      <c r="C7" s="15"/>
      <c r="D7" s="96">
        <v>61</v>
      </c>
      <c r="E7" s="96">
        <v>78</v>
      </c>
      <c r="F7" s="96">
        <v>65</v>
      </c>
      <c r="G7" s="96">
        <v>29</v>
      </c>
      <c r="H7" s="96">
        <v>125</v>
      </c>
      <c r="I7" s="96">
        <v>49</v>
      </c>
      <c r="J7" s="96">
        <v>14</v>
      </c>
      <c r="K7" s="96">
        <v>26</v>
      </c>
      <c r="L7" s="96">
        <v>14</v>
      </c>
      <c r="M7" s="96">
        <v>129</v>
      </c>
      <c r="N7" s="96">
        <v>60</v>
      </c>
      <c r="O7" s="96">
        <v>65</v>
      </c>
      <c r="P7" s="97">
        <f>SUM(CoûtdesVentes[[#This Row],[Jan.]:[Déc.]])</f>
        <v>715</v>
      </c>
      <c r="Q7" s="9">
        <v>0.12</v>
      </c>
      <c r="R7" s="35">
        <f>IFERROR(CoûtdesVentes[[#This Row],[Jan.]]/CoûtdesVentes[[#Totals],[Jan.]],"-")</f>
        <v>0.23018867924528302</v>
      </c>
      <c r="S7" s="9">
        <f>IFERROR(CoûtdesVentes[[#This Row],[Fév.]]/CoûtdesVentes[[#Totals],[Fév.]],"-")</f>
        <v>0.21910112359550563</v>
      </c>
      <c r="T7" s="9">
        <f>IFERROR(CoûtdesVentes[[#This Row],[Mar.]]/CoûtdesVentes[[#Totals],[Mar.]],"-")</f>
        <v>0.20634920634920634</v>
      </c>
      <c r="U7" s="9">
        <f>IFERROR(CoûtdesVentes[[#This Row],[Avr.]]/CoûtdesVentes[[#Totals],[Avr.]],"-")</f>
        <v>0.12033195020746888</v>
      </c>
      <c r="V7" s="9">
        <f>IFERROR(CoûtdesVentes[[#This Row],[Mai]]/CoûtdesVentes[[#Totals],[Mai]],"-")</f>
        <v>0.31328320802005011</v>
      </c>
      <c r="W7" s="9">
        <f>IFERROR(CoûtdesVentes[[#This Row],[Juin]]/CoûtdesVentes[[#Totals],[Juin]],"-")</f>
        <v>0.15705128205128205</v>
      </c>
      <c r="X7" s="9">
        <f>IFERROR(CoûtdesVentes[[#This Row],[Juil.]]/CoûtdesVentes[[#Totals],[Juil.]],"-")</f>
        <v>4.6822742474916385E-2</v>
      </c>
      <c r="Y7" s="9">
        <f>IFERROR(CoûtdesVentes[[#This Row],[Août]]/CoûtdesVentes[[#Totals],[Août]],"-")</f>
        <v>0.11504424778761062</v>
      </c>
      <c r="Z7" s="9">
        <f>IFERROR(CoûtdesVentes[[#This Row],[Sept.]]/CoûtdesVentes[[#Totals],[Sept.]],"-")</f>
        <v>3.3816425120772944E-2</v>
      </c>
      <c r="AA7" s="9">
        <f>IFERROR(CoûtdesVentes[[#This Row],[Oct.]]/CoûtdesVentes[[#Totals],[Oct.]],"-")</f>
        <v>0.47080291970802918</v>
      </c>
      <c r="AB7" s="9">
        <f>IFERROR(CoûtdesVentes[[#This Row],[Nov.]]/CoûtdesVentes[[#Totals],[Nov.]],"-")</f>
        <v>0.22727272727272727</v>
      </c>
      <c r="AC7" s="9">
        <f>IFERROR(CoûtdesVentes[[#This Row],[Déc.]]/CoûtdesVentes[[#Totals],[Déc.]],"-")</f>
        <v>0.14348785871964681</v>
      </c>
      <c r="AD7" s="33">
        <f>IFERROR(CoûtdesVentes[[#This Row],[Annuel]]/CoûtdesVentes[[#Totals],[Annuel]],"-")</f>
        <v>0.18727082242011525</v>
      </c>
      <c r="AE7" s="84"/>
    </row>
    <row r="8" spans="2:31" ht="30" customHeight="1" x14ac:dyDescent="0.2">
      <c r="B8" s="14" t="s">
        <v>44</v>
      </c>
      <c r="C8" s="15"/>
      <c r="D8" s="96">
        <v>7</v>
      </c>
      <c r="E8" s="96">
        <v>5</v>
      </c>
      <c r="F8" s="96">
        <v>69</v>
      </c>
      <c r="G8" s="96">
        <v>32</v>
      </c>
      <c r="H8" s="96">
        <v>11</v>
      </c>
      <c r="I8" s="96">
        <v>30</v>
      </c>
      <c r="J8" s="96">
        <v>27</v>
      </c>
      <c r="K8" s="96">
        <v>32</v>
      </c>
      <c r="L8" s="96">
        <v>10</v>
      </c>
      <c r="M8" s="96">
        <v>41</v>
      </c>
      <c r="N8" s="96">
        <v>13</v>
      </c>
      <c r="O8" s="96">
        <v>105</v>
      </c>
      <c r="P8" s="97">
        <f>SUM(CoûtdesVentes[[#This Row],[Jan.]:[Déc.]])</f>
        <v>382</v>
      </c>
      <c r="Q8" s="9">
        <v>0.18</v>
      </c>
      <c r="R8" s="35">
        <f>IFERROR(CoûtdesVentes[[#This Row],[Jan.]]/CoûtdesVentes[[#Totals],[Jan.]],"-")</f>
        <v>2.6415094339622643E-2</v>
      </c>
      <c r="S8" s="9">
        <f>IFERROR(CoûtdesVentes[[#This Row],[Fév.]]/CoûtdesVentes[[#Totals],[Fév.]],"-")</f>
        <v>1.4044943820224719E-2</v>
      </c>
      <c r="T8" s="9">
        <f>IFERROR(CoûtdesVentes[[#This Row],[Mar.]]/CoûtdesVentes[[#Totals],[Mar.]],"-")</f>
        <v>0.21904761904761905</v>
      </c>
      <c r="U8" s="9">
        <f>IFERROR(CoûtdesVentes[[#This Row],[Avr.]]/CoûtdesVentes[[#Totals],[Avr.]],"-")</f>
        <v>0.13278008298755187</v>
      </c>
      <c r="V8" s="9">
        <f>IFERROR(CoûtdesVentes[[#This Row],[Mai]]/CoûtdesVentes[[#Totals],[Mai]],"-")</f>
        <v>2.7568922305764409E-2</v>
      </c>
      <c r="W8" s="9">
        <f>IFERROR(CoûtdesVentes[[#This Row],[Juin]]/CoûtdesVentes[[#Totals],[Juin]],"-")</f>
        <v>9.6153846153846159E-2</v>
      </c>
      <c r="X8" s="9">
        <f>IFERROR(CoûtdesVentes[[#This Row],[Juil.]]/CoûtdesVentes[[#Totals],[Juil.]],"-")</f>
        <v>9.0301003344481601E-2</v>
      </c>
      <c r="Y8" s="9">
        <f>IFERROR(CoûtdesVentes[[#This Row],[Août]]/CoûtdesVentes[[#Totals],[Août]],"-")</f>
        <v>0.1415929203539823</v>
      </c>
      <c r="Z8" s="9">
        <f>IFERROR(CoûtdesVentes[[#This Row],[Sept.]]/CoûtdesVentes[[#Totals],[Sept.]],"-")</f>
        <v>2.4154589371980676E-2</v>
      </c>
      <c r="AA8" s="9">
        <f>IFERROR(CoûtdesVentes[[#This Row],[Oct.]]/CoûtdesVentes[[#Totals],[Oct.]],"-")</f>
        <v>0.14963503649635038</v>
      </c>
      <c r="AB8" s="9">
        <f>IFERROR(CoûtdesVentes[[#This Row],[Nov.]]/CoûtdesVentes[[#Totals],[Nov.]],"-")</f>
        <v>4.924242424242424E-2</v>
      </c>
      <c r="AC8" s="9">
        <f>IFERROR(CoûtdesVentes[[#This Row],[Déc.]]/CoûtdesVentes[[#Totals],[Déc.]],"-")</f>
        <v>0.23178807947019867</v>
      </c>
      <c r="AD8" s="33">
        <f>IFERROR(CoûtdesVentes[[#This Row],[Annuel]]/CoûtdesVentes[[#Totals],[Annuel]],"-")</f>
        <v>0.1000523834468308</v>
      </c>
      <c r="AE8" s="84"/>
    </row>
    <row r="9" spans="2:31" ht="30" customHeight="1" x14ac:dyDescent="0.2">
      <c r="B9" s="14" t="s">
        <v>45</v>
      </c>
      <c r="C9" s="15"/>
      <c r="D9" s="96">
        <v>99</v>
      </c>
      <c r="E9" s="96">
        <v>95</v>
      </c>
      <c r="F9" s="96">
        <v>51</v>
      </c>
      <c r="G9" s="96">
        <v>90</v>
      </c>
      <c r="H9" s="96">
        <v>21</v>
      </c>
      <c r="I9" s="96">
        <v>34</v>
      </c>
      <c r="J9" s="96">
        <v>30</v>
      </c>
      <c r="K9" s="96">
        <v>24</v>
      </c>
      <c r="L9" s="96">
        <v>109</v>
      </c>
      <c r="M9" s="96">
        <v>16</v>
      </c>
      <c r="N9" s="96">
        <v>21</v>
      </c>
      <c r="O9" s="96">
        <v>52</v>
      </c>
      <c r="P9" s="97">
        <f>SUM(CoûtdesVentes[[#This Row],[Jan.]:[Déc.]])</f>
        <v>642</v>
      </c>
      <c r="Q9" s="9">
        <v>0.19</v>
      </c>
      <c r="R9" s="35">
        <f>IFERROR(CoûtdesVentes[[#This Row],[Jan.]]/CoûtdesVentes[[#Totals],[Jan.]],"-")</f>
        <v>0.37358490566037733</v>
      </c>
      <c r="S9" s="9">
        <f>IFERROR(CoûtdesVentes[[#This Row],[Fév.]]/CoûtdesVentes[[#Totals],[Fév.]],"-")</f>
        <v>0.26685393258426965</v>
      </c>
      <c r="T9" s="9">
        <f>IFERROR(CoûtdesVentes[[#This Row],[Mar.]]/CoûtdesVentes[[#Totals],[Mar.]],"-")</f>
        <v>0.16190476190476191</v>
      </c>
      <c r="U9" s="9">
        <f>IFERROR(CoûtdesVentes[[#This Row],[Avr.]]/CoûtdesVentes[[#Totals],[Avr.]],"-")</f>
        <v>0.37344398340248963</v>
      </c>
      <c r="V9" s="9">
        <f>IFERROR(CoûtdesVentes[[#This Row],[Mai]]/CoûtdesVentes[[#Totals],[Mai]],"-")</f>
        <v>5.2631578947368418E-2</v>
      </c>
      <c r="W9" s="9">
        <f>IFERROR(CoûtdesVentes[[#This Row],[Juin]]/CoûtdesVentes[[#Totals],[Juin]],"-")</f>
        <v>0.10897435897435898</v>
      </c>
      <c r="X9" s="9">
        <f>IFERROR(CoûtdesVentes[[#This Row],[Juil.]]/CoûtdesVentes[[#Totals],[Juil.]],"-")</f>
        <v>0.10033444816053512</v>
      </c>
      <c r="Y9" s="9">
        <f>IFERROR(CoûtdesVentes[[#This Row],[Août]]/CoûtdesVentes[[#Totals],[Août]],"-")</f>
        <v>0.10619469026548672</v>
      </c>
      <c r="Z9" s="9">
        <f>IFERROR(CoûtdesVentes[[#This Row],[Sept.]]/CoûtdesVentes[[#Totals],[Sept.]],"-")</f>
        <v>0.26328502415458938</v>
      </c>
      <c r="AA9" s="9">
        <f>IFERROR(CoûtdesVentes[[#This Row],[Oct.]]/CoûtdesVentes[[#Totals],[Oct.]],"-")</f>
        <v>5.8394160583941604E-2</v>
      </c>
      <c r="AB9" s="9">
        <f>IFERROR(CoûtdesVentes[[#This Row],[Nov.]]/CoûtdesVentes[[#Totals],[Nov.]],"-")</f>
        <v>7.9545454545454544E-2</v>
      </c>
      <c r="AC9" s="9">
        <f>IFERROR(CoûtdesVentes[[#This Row],[Déc.]]/CoûtdesVentes[[#Totals],[Déc.]],"-")</f>
        <v>0.11479028697571744</v>
      </c>
      <c r="AD9" s="33">
        <f>IFERROR(CoûtdesVentes[[#This Row],[Annuel]]/CoûtdesVentes[[#Totals],[Annuel]],"-")</f>
        <v>0.16815086432687271</v>
      </c>
      <c r="AE9" s="84"/>
    </row>
    <row r="10" spans="2:31" ht="30" customHeight="1" x14ac:dyDescent="0.2">
      <c r="B10" s="14" t="s">
        <v>46</v>
      </c>
      <c r="C10" s="15"/>
      <c r="D10" s="96">
        <v>13</v>
      </c>
      <c r="E10" s="96">
        <v>28</v>
      </c>
      <c r="F10" s="96">
        <v>15</v>
      </c>
      <c r="G10" s="96">
        <v>8</v>
      </c>
      <c r="H10" s="96">
        <v>84</v>
      </c>
      <c r="I10" s="96">
        <v>12</v>
      </c>
      <c r="J10" s="96">
        <v>54</v>
      </c>
      <c r="K10" s="96">
        <v>72</v>
      </c>
      <c r="L10" s="96">
        <v>49</v>
      </c>
      <c r="M10" s="96">
        <v>24</v>
      </c>
      <c r="N10" s="96">
        <v>60</v>
      </c>
      <c r="O10" s="96">
        <v>39</v>
      </c>
      <c r="P10" s="97">
        <f>SUM(CoûtdesVentes[[#This Row],[Jan.]:[Déc.]])</f>
        <v>458</v>
      </c>
      <c r="Q10" s="9">
        <v>0.11</v>
      </c>
      <c r="R10" s="35">
        <f>IFERROR(CoûtdesVentes[[#This Row],[Jan.]]/CoûtdesVentes[[#Totals],[Jan.]],"-")</f>
        <v>4.9056603773584909E-2</v>
      </c>
      <c r="S10" s="9">
        <f>IFERROR(CoûtdesVentes[[#This Row],[Fév.]]/CoûtdesVentes[[#Totals],[Fév.]],"-")</f>
        <v>7.8651685393258425E-2</v>
      </c>
      <c r="T10" s="9">
        <f>IFERROR(CoûtdesVentes[[#This Row],[Mar.]]/CoûtdesVentes[[#Totals],[Mar.]],"-")</f>
        <v>4.7619047619047616E-2</v>
      </c>
      <c r="U10" s="9">
        <f>IFERROR(CoûtdesVentes[[#This Row],[Avr.]]/CoûtdesVentes[[#Totals],[Avr.]],"-")</f>
        <v>3.3195020746887967E-2</v>
      </c>
      <c r="V10" s="9">
        <f>IFERROR(CoûtdesVentes[[#This Row],[Mai]]/CoûtdesVentes[[#Totals],[Mai]],"-")</f>
        <v>0.21052631578947367</v>
      </c>
      <c r="W10" s="9">
        <f>IFERROR(CoûtdesVentes[[#This Row],[Juin]]/CoûtdesVentes[[#Totals],[Juin]],"-")</f>
        <v>3.8461538461538464E-2</v>
      </c>
      <c r="X10" s="9">
        <f>IFERROR(CoûtdesVentes[[#This Row],[Juil.]]/CoûtdesVentes[[#Totals],[Juil.]],"-")</f>
        <v>0.1806020066889632</v>
      </c>
      <c r="Y10" s="9">
        <f>IFERROR(CoûtdesVentes[[#This Row],[Août]]/CoûtdesVentes[[#Totals],[Août]],"-")</f>
        <v>0.31858407079646017</v>
      </c>
      <c r="Z10" s="9">
        <f>IFERROR(CoûtdesVentes[[#This Row],[Sept.]]/CoûtdesVentes[[#Totals],[Sept.]],"-")</f>
        <v>0.11835748792270531</v>
      </c>
      <c r="AA10" s="9">
        <f>IFERROR(CoûtdesVentes[[#This Row],[Oct.]]/CoûtdesVentes[[#Totals],[Oct.]],"-")</f>
        <v>8.7591240875912413E-2</v>
      </c>
      <c r="AB10" s="9">
        <f>IFERROR(CoûtdesVentes[[#This Row],[Nov.]]/CoûtdesVentes[[#Totals],[Nov.]],"-")</f>
        <v>0.22727272727272727</v>
      </c>
      <c r="AC10" s="9">
        <f>IFERROR(CoûtdesVentes[[#This Row],[Déc.]]/CoûtdesVentes[[#Totals],[Déc.]],"-")</f>
        <v>8.6092715231788075E-2</v>
      </c>
      <c r="AD10" s="33">
        <f>IFERROR(CoûtdesVentes[[#This Row],[Annuel]]/CoûtdesVentes[[#Totals],[Annuel]],"-")</f>
        <v>0.11995809324253535</v>
      </c>
      <c r="AE10" s="84"/>
    </row>
    <row r="11" spans="2:31" ht="30" customHeight="1" x14ac:dyDescent="0.2">
      <c r="B11" s="14" t="s">
        <v>47</v>
      </c>
      <c r="C11" s="15"/>
      <c r="D11" s="96">
        <v>34</v>
      </c>
      <c r="E11" s="96">
        <v>78</v>
      </c>
      <c r="F11" s="96">
        <v>43</v>
      </c>
      <c r="G11" s="96">
        <v>30</v>
      </c>
      <c r="H11" s="96">
        <v>77</v>
      </c>
      <c r="I11" s="96">
        <v>54</v>
      </c>
      <c r="J11" s="96">
        <v>26</v>
      </c>
      <c r="K11" s="96">
        <v>13</v>
      </c>
      <c r="L11" s="96">
        <v>56</v>
      </c>
      <c r="M11" s="96">
        <v>30</v>
      </c>
      <c r="N11" s="96">
        <v>40</v>
      </c>
      <c r="O11" s="96">
        <v>63</v>
      </c>
      <c r="P11" s="97">
        <f>SUM(CoûtdesVentes[[#This Row],[Jan.]:[Déc.]])</f>
        <v>544</v>
      </c>
      <c r="Q11" s="9">
        <v>0.2</v>
      </c>
      <c r="R11" s="35">
        <f>IFERROR(CoûtdesVentes[[#This Row],[Jan.]]/CoûtdesVentes[[#Totals],[Jan.]],"-")</f>
        <v>0.12830188679245283</v>
      </c>
      <c r="S11" s="9">
        <f>IFERROR(CoûtdesVentes[[#This Row],[Fév.]]/CoûtdesVentes[[#Totals],[Fév.]],"-")</f>
        <v>0.21910112359550563</v>
      </c>
      <c r="T11" s="9">
        <f>IFERROR(CoûtdesVentes[[#This Row],[Mar.]]/CoûtdesVentes[[#Totals],[Mar.]],"-")</f>
        <v>0.13650793650793649</v>
      </c>
      <c r="U11" s="9">
        <f>IFERROR(CoûtdesVentes[[#This Row],[Avr.]]/CoûtdesVentes[[#Totals],[Avr.]],"-")</f>
        <v>0.12448132780082988</v>
      </c>
      <c r="V11" s="9">
        <f>IFERROR(CoûtdesVentes[[#This Row],[Mai]]/CoûtdesVentes[[#Totals],[Mai]],"-")</f>
        <v>0.19298245614035087</v>
      </c>
      <c r="W11" s="9">
        <f>IFERROR(CoûtdesVentes[[#This Row],[Juin]]/CoûtdesVentes[[#Totals],[Juin]],"-")</f>
        <v>0.17307692307692307</v>
      </c>
      <c r="X11" s="9">
        <f>IFERROR(CoûtdesVentes[[#This Row],[Juil.]]/CoûtdesVentes[[#Totals],[Juil.]],"-")</f>
        <v>8.6956521739130432E-2</v>
      </c>
      <c r="Y11" s="9">
        <f>IFERROR(CoûtdesVentes[[#This Row],[Août]]/CoûtdesVentes[[#Totals],[Août]],"-")</f>
        <v>5.7522123893805309E-2</v>
      </c>
      <c r="Z11" s="9">
        <f>IFERROR(CoûtdesVentes[[#This Row],[Sept.]]/CoûtdesVentes[[#Totals],[Sept.]],"-")</f>
        <v>0.13526570048309178</v>
      </c>
      <c r="AA11" s="9">
        <f>IFERROR(CoûtdesVentes[[#This Row],[Oct.]]/CoûtdesVentes[[#Totals],[Oct.]],"-")</f>
        <v>0.10948905109489052</v>
      </c>
      <c r="AB11" s="9">
        <f>IFERROR(CoûtdesVentes[[#This Row],[Nov.]]/CoûtdesVentes[[#Totals],[Nov.]],"-")</f>
        <v>0.15151515151515152</v>
      </c>
      <c r="AC11" s="9">
        <f>IFERROR(CoûtdesVentes[[#This Row],[Déc.]]/CoûtdesVentes[[#Totals],[Déc.]],"-")</f>
        <v>0.13907284768211919</v>
      </c>
      <c r="AD11" s="33">
        <f>IFERROR(CoûtdesVentes[[#This Row],[Annuel]]/CoûtdesVentes[[#Totals],[Annuel]],"-")</f>
        <v>0.14248297537978</v>
      </c>
      <c r="AE11" s="84"/>
    </row>
    <row r="12" spans="2:31" ht="30" customHeight="1" x14ac:dyDescent="0.2">
      <c r="B12" s="14" t="s">
        <v>48</v>
      </c>
      <c r="C12" s="15"/>
      <c r="D12" s="96">
        <v>33</v>
      </c>
      <c r="E12" s="96">
        <v>61</v>
      </c>
      <c r="F12" s="96">
        <v>42</v>
      </c>
      <c r="G12" s="96">
        <v>43</v>
      </c>
      <c r="H12" s="96">
        <v>19</v>
      </c>
      <c r="I12" s="96">
        <v>94</v>
      </c>
      <c r="J12" s="96">
        <v>46</v>
      </c>
      <c r="K12" s="96">
        <v>15</v>
      </c>
      <c r="L12" s="96">
        <v>55</v>
      </c>
      <c r="M12" s="96">
        <v>15</v>
      </c>
      <c r="N12" s="96">
        <v>37</v>
      </c>
      <c r="O12" s="96">
        <v>89</v>
      </c>
      <c r="P12" s="97">
        <f>SUM(CoûtdesVentes[[#This Row],[Jan.]:[Déc.]])</f>
        <v>549</v>
      </c>
      <c r="Q12" s="9">
        <v>0.1</v>
      </c>
      <c r="R12" s="35">
        <f>IFERROR(CoûtdesVentes[[#This Row],[Jan.]]/CoûtdesVentes[[#Totals],[Jan.]],"-")</f>
        <v>0.12452830188679245</v>
      </c>
      <c r="S12" s="9">
        <f>IFERROR(CoûtdesVentes[[#This Row],[Fév.]]/CoûtdesVentes[[#Totals],[Fév.]],"-")</f>
        <v>0.17134831460674158</v>
      </c>
      <c r="T12" s="9">
        <f>IFERROR(CoûtdesVentes[[#This Row],[Mar.]]/CoûtdesVentes[[#Totals],[Mar.]],"-")</f>
        <v>0.13333333333333333</v>
      </c>
      <c r="U12" s="9">
        <f>IFERROR(CoûtdesVentes[[#This Row],[Avr.]]/CoûtdesVentes[[#Totals],[Avr.]],"-")</f>
        <v>0.17842323651452283</v>
      </c>
      <c r="V12" s="9">
        <f>IFERROR(CoûtdesVentes[[#This Row],[Mai]]/CoûtdesVentes[[#Totals],[Mai]],"-")</f>
        <v>4.7619047619047616E-2</v>
      </c>
      <c r="W12" s="9">
        <f>IFERROR(CoûtdesVentes[[#This Row],[Juin]]/CoûtdesVentes[[#Totals],[Juin]],"-")</f>
        <v>0.30128205128205127</v>
      </c>
      <c r="X12" s="9">
        <f>IFERROR(CoûtdesVentes[[#This Row],[Juil.]]/CoûtdesVentes[[#Totals],[Juil.]],"-")</f>
        <v>0.15384615384615385</v>
      </c>
      <c r="Y12" s="9">
        <f>IFERROR(CoûtdesVentes[[#This Row],[Août]]/CoûtdesVentes[[#Totals],[Août]],"-")</f>
        <v>6.637168141592921E-2</v>
      </c>
      <c r="Z12" s="9">
        <f>IFERROR(CoûtdesVentes[[#This Row],[Sept.]]/CoûtdesVentes[[#Totals],[Sept.]],"-")</f>
        <v>0.13285024154589373</v>
      </c>
      <c r="AA12" s="9">
        <f>IFERROR(CoûtdesVentes[[#This Row],[Oct.]]/CoûtdesVentes[[#Totals],[Oct.]],"-")</f>
        <v>5.4744525547445258E-2</v>
      </c>
      <c r="AB12" s="9">
        <f>IFERROR(CoûtdesVentes[[#This Row],[Nov.]]/CoûtdesVentes[[#Totals],[Nov.]],"-")</f>
        <v>0.14015151515151514</v>
      </c>
      <c r="AC12" s="9">
        <f>IFERROR(CoûtdesVentes[[#This Row],[Déc.]]/CoûtdesVentes[[#Totals],[Déc.]],"-")</f>
        <v>0.19646799116997793</v>
      </c>
      <c r="AD12" s="33">
        <f>IFERROR(CoûtdesVentes[[#This Row],[Annuel]]/CoûtdesVentes[[#Totals],[Annuel]],"-")</f>
        <v>0.14379256155055004</v>
      </c>
      <c r="AE12" s="84"/>
    </row>
    <row r="13" spans="2:31" ht="30" customHeight="1" x14ac:dyDescent="0.2">
      <c r="B13" s="14" t="s">
        <v>49</v>
      </c>
      <c r="C13" s="15"/>
      <c r="D13" s="96">
        <v>18</v>
      </c>
      <c r="E13" s="96">
        <v>11</v>
      </c>
      <c r="F13" s="96">
        <v>30</v>
      </c>
      <c r="G13" s="96">
        <v>9</v>
      </c>
      <c r="H13" s="96">
        <v>62</v>
      </c>
      <c r="I13" s="96">
        <v>39</v>
      </c>
      <c r="J13" s="96">
        <v>102</v>
      </c>
      <c r="K13" s="96">
        <v>44</v>
      </c>
      <c r="L13" s="96">
        <v>121</v>
      </c>
      <c r="M13" s="96">
        <v>19</v>
      </c>
      <c r="N13" s="96">
        <v>33</v>
      </c>
      <c r="O13" s="96">
        <v>40</v>
      </c>
      <c r="P13" s="97">
        <f>SUM(CoûtdesVentes[[#This Row],[Jan.]:[Déc.]])</f>
        <v>528</v>
      </c>
      <c r="Q13" s="9">
        <v>0.1</v>
      </c>
      <c r="R13" s="35">
        <f>IFERROR(CoûtdesVentes[[#This Row],[Jan.]]/CoûtdesVentes[[#Totals],[Jan.]],"-")</f>
        <v>6.7924528301886791E-2</v>
      </c>
      <c r="S13" s="9">
        <f>IFERROR(CoûtdesVentes[[#This Row],[Fév.]]/CoûtdesVentes[[#Totals],[Fév.]],"-")</f>
        <v>3.0898876404494381E-2</v>
      </c>
      <c r="T13" s="9">
        <f>IFERROR(CoûtdesVentes[[#This Row],[Mar.]]/CoûtdesVentes[[#Totals],[Mar.]],"-")</f>
        <v>9.5238095238095233E-2</v>
      </c>
      <c r="U13" s="9">
        <f>IFERROR(CoûtdesVentes[[#This Row],[Avr.]]/CoûtdesVentes[[#Totals],[Avr.]],"-")</f>
        <v>3.7344398340248962E-2</v>
      </c>
      <c r="V13" s="9">
        <f>IFERROR(CoûtdesVentes[[#This Row],[Mai]]/CoûtdesVentes[[#Totals],[Mai]],"-")</f>
        <v>0.15538847117794485</v>
      </c>
      <c r="W13" s="9">
        <f>IFERROR(CoûtdesVentes[[#This Row],[Juin]]/CoûtdesVentes[[#Totals],[Juin]],"-")</f>
        <v>0.125</v>
      </c>
      <c r="X13" s="9">
        <f>IFERROR(CoûtdesVentes[[#This Row],[Juil.]]/CoûtdesVentes[[#Totals],[Juil.]],"-")</f>
        <v>0.34113712374581939</v>
      </c>
      <c r="Y13" s="9">
        <f>IFERROR(CoûtdesVentes[[#This Row],[Août]]/CoûtdesVentes[[#Totals],[Août]],"-")</f>
        <v>0.19469026548672566</v>
      </c>
      <c r="Z13" s="9">
        <f>IFERROR(CoûtdesVentes[[#This Row],[Sept.]]/CoûtdesVentes[[#Totals],[Sept.]],"-")</f>
        <v>0.2922705314009662</v>
      </c>
      <c r="AA13" s="9">
        <f>IFERROR(CoûtdesVentes[[#This Row],[Oct.]]/CoûtdesVentes[[#Totals],[Oct.]],"-")</f>
        <v>6.9343065693430656E-2</v>
      </c>
      <c r="AB13" s="9">
        <f>IFERROR(CoûtdesVentes[[#This Row],[Nov.]]/CoûtdesVentes[[#Totals],[Nov.]],"-")</f>
        <v>0.125</v>
      </c>
      <c r="AC13" s="9">
        <f>IFERROR(CoûtdesVentes[[#This Row],[Déc.]]/CoûtdesVentes[[#Totals],[Déc.]],"-")</f>
        <v>8.8300220750551883E-2</v>
      </c>
      <c r="AD13" s="33">
        <f>IFERROR(CoûtdesVentes[[#This Row],[Annuel]]/CoûtdesVentes[[#Totals],[Annuel]],"-")</f>
        <v>0.13829229963331588</v>
      </c>
      <c r="AE13" s="84"/>
    </row>
    <row r="14" spans="2:31" ht="30" customHeight="1" x14ac:dyDescent="0.2">
      <c r="B14" s="31" t="s">
        <v>50</v>
      </c>
      <c r="D14" s="98">
        <f>SUBTOTAL(109,CoûtdesVentes[Jan.])</f>
        <v>265</v>
      </c>
      <c r="E14" s="98">
        <f>SUBTOTAL(109,CoûtdesVentes[Fév.])</f>
        <v>356</v>
      </c>
      <c r="F14" s="98">
        <f>SUBTOTAL(109,CoûtdesVentes[Mar.])</f>
        <v>315</v>
      </c>
      <c r="G14" s="98">
        <f>SUBTOTAL(109,CoûtdesVentes[Avr.])</f>
        <v>241</v>
      </c>
      <c r="H14" s="98">
        <f>SUBTOTAL(109,CoûtdesVentes[Mai])</f>
        <v>399</v>
      </c>
      <c r="I14" s="98">
        <f>SUBTOTAL(109,CoûtdesVentes[Juin])</f>
        <v>312</v>
      </c>
      <c r="J14" s="98">
        <f>SUBTOTAL(109,CoûtdesVentes[Juil.])</f>
        <v>299</v>
      </c>
      <c r="K14" s="98">
        <f>SUBTOTAL(109,CoûtdesVentes[Août])</f>
        <v>226</v>
      </c>
      <c r="L14" s="98">
        <f>SUBTOTAL(109,CoûtdesVentes[Sept.])</f>
        <v>414</v>
      </c>
      <c r="M14" s="98">
        <f>SUBTOTAL(109,CoûtdesVentes[Oct.])</f>
        <v>274</v>
      </c>
      <c r="N14" s="98">
        <f>SUBTOTAL(109,CoûtdesVentes[Nov.])</f>
        <v>264</v>
      </c>
      <c r="O14" s="98">
        <f>SUBTOTAL(109,CoûtdesVentes[Déc.])</f>
        <v>453</v>
      </c>
      <c r="P14" s="99">
        <f>SUBTOTAL(109,CoûtdesVentes[Annuel])</f>
        <v>3818</v>
      </c>
      <c r="Q14" s="10">
        <f>SUBTOTAL(109,CoûtdesVentes[% index])</f>
        <v>1</v>
      </c>
      <c r="R14" s="36">
        <f>SUBTOTAL(109,CoûtdesVentes[% jan.])</f>
        <v>0.99999999999999989</v>
      </c>
      <c r="S14" s="37">
        <f>SUBTOTAL(109,CoûtdesVentes[% fév.])</f>
        <v>1</v>
      </c>
      <c r="T14" s="37">
        <f>SUBTOTAL(109,CoûtdesVentes[% mar.])</f>
        <v>0.99999999999999989</v>
      </c>
      <c r="U14" s="37">
        <f>SUBTOTAL(109,CoûtdesVentes[% avr.])</f>
        <v>1</v>
      </c>
      <c r="V14" s="37">
        <f>SUBTOTAL(109,CoûtdesVentes[% mai])</f>
        <v>0.99999999999999989</v>
      </c>
      <c r="W14" s="37">
        <f>SUBTOTAL(109,CoûtdesVentes[% juin])</f>
        <v>1</v>
      </c>
      <c r="X14" s="37">
        <f>SUBTOTAL(109,CoûtdesVentes[% juil.])</f>
        <v>1</v>
      </c>
      <c r="Y14" s="37">
        <f>SUBTOTAL(109,CoûtdesVentes[% août])</f>
        <v>0.99999999999999989</v>
      </c>
      <c r="Z14" s="37">
        <f>SUBTOTAL(109,CoûtdesVentes[% sept.])</f>
        <v>1</v>
      </c>
      <c r="AA14" s="37">
        <f>SUBTOTAL(109,CoûtdesVentes[% oct.])</f>
        <v>1</v>
      </c>
      <c r="AB14" s="37">
        <f>SUBTOTAL(109,CoûtdesVentes[% nov.])</f>
        <v>0.99999999999999989</v>
      </c>
      <c r="AC14" s="37">
        <f>SUBTOTAL(109,CoûtdesVentes[% déc.])</f>
        <v>1</v>
      </c>
      <c r="AD14" s="38">
        <f>SUBTOTAL(109,CoûtdesVentes[% année])</f>
        <v>0.99999999999999989</v>
      </c>
      <c r="AE14" s="84"/>
    </row>
    <row r="15" spans="2:31" ht="9.9499999999999993" customHeight="1" x14ac:dyDescent="0.2">
      <c r="D15" s="100"/>
      <c r="E15" s="100"/>
      <c r="F15" s="100"/>
      <c r="G15" s="100"/>
      <c r="H15" s="100"/>
      <c r="I15" s="100"/>
      <c r="J15" s="100"/>
      <c r="K15" s="100"/>
      <c r="L15" s="100"/>
      <c r="M15" s="100"/>
      <c r="N15" s="100"/>
      <c r="O15" s="100"/>
      <c r="P15" s="100"/>
    </row>
    <row r="16" spans="2:31" ht="25.5" customHeight="1" x14ac:dyDescent="0.2">
      <c r="B16" s="50" t="s">
        <v>51</v>
      </c>
      <c r="C16" s="4"/>
      <c r="D16" s="101">
        <f>Chiffre_d’affaires[[#Totals],[Jan.]]-CoûtdesVentes[[#Totals],[Jan.]]</f>
        <v>359</v>
      </c>
      <c r="E16" s="101">
        <f>Chiffre_d’affaires[[#Totals],[Fév.]]-CoûtdesVentes[[#Totals],[Fév.]]</f>
        <v>380</v>
      </c>
      <c r="F16" s="101">
        <f>Chiffre_d’affaires[[#Totals],[Mar.]]-CoûtdesVentes[[#Totals],[Mar.]]</f>
        <v>505</v>
      </c>
      <c r="G16" s="101">
        <f>Chiffre_d’affaires[[#Totals],[Avr.]]-CoûtdesVentes[[#Totals],[Avr.]]</f>
        <v>370</v>
      </c>
      <c r="H16" s="101">
        <f>Chiffre_d’affaires[[#Totals],[Mai]]-CoûtdesVentes[[#Totals],[Mai]]</f>
        <v>413</v>
      </c>
      <c r="I16" s="101">
        <f>Chiffre_d’affaires[[#Totals],[Juin]]-CoûtdesVentes[[#Totals],[Juin]]</f>
        <v>266</v>
      </c>
      <c r="J16" s="101">
        <f>Chiffre_d’affaires[[#Totals],[Juil.]]-CoûtdesVentes[[#Totals],[Juil.]]</f>
        <v>298</v>
      </c>
      <c r="K16" s="101">
        <f>Chiffre_d’affaires[[#Totals],[Août]]-CoûtdesVentes[[#Totals],[Août]]</f>
        <v>449</v>
      </c>
      <c r="L16" s="101">
        <f>Chiffre_d’affaires[[#Totals],[Sept.]]-CoûtdesVentes[[#Totals],[Sept.]]</f>
        <v>330</v>
      </c>
      <c r="M16" s="101">
        <f>Chiffre_d’affaires[[#Totals],[Oct.]]-CoûtdesVentes[[#Totals],[Oct.]]</f>
        <v>407</v>
      </c>
      <c r="N16" s="101">
        <f>Chiffre_d’affaires[[#Totals],[Nov.]]-CoûtdesVentes[[#Totals],[Nov.]]</f>
        <v>475</v>
      </c>
      <c r="O16" s="101">
        <f>Chiffre_d’affaires[[#Totals],[Déc.]]-CoûtdesVentes[[#Totals],[Déc.]]</f>
        <v>590</v>
      </c>
      <c r="P16" s="101">
        <f>Chiffre_d’affaires[[#Totals],[Annuel]]-CoûtdesVentes[[#Totals],[Annuel]]</f>
        <v>4842</v>
      </c>
      <c r="Q16" s="48"/>
      <c r="R16" s="49">
        <f t="shared" ref="R16:AC16" si="1">D16/$P$16</f>
        <v>7.4142916150351096E-2</v>
      </c>
      <c r="S16" s="49">
        <f t="shared" si="1"/>
        <v>7.8479966955803393E-2</v>
      </c>
      <c r="T16" s="49">
        <f t="shared" si="1"/>
        <v>0.10429574555968608</v>
      </c>
      <c r="U16" s="49">
        <f t="shared" si="1"/>
        <v>7.6414704667492769E-2</v>
      </c>
      <c r="V16" s="49">
        <f t="shared" si="1"/>
        <v>8.5295332507228414E-2</v>
      </c>
      <c r="W16" s="49">
        <f t="shared" si="1"/>
        <v>5.4935976869062368E-2</v>
      </c>
      <c r="X16" s="49">
        <f t="shared" si="1"/>
        <v>6.1544816191656339E-2</v>
      </c>
      <c r="Y16" s="49">
        <f t="shared" si="1"/>
        <v>9.2730276745146639E-2</v>
      </c>
      <c r="Z16" s="49">
        <f t="shared" si="1"/>
        <v>6.8153655514250316E-2</v>
      </c>
      <c r="AA16" s="49">
        <f t="shared" si="1"/>
        <v>8.4056175134242045E-2</v>
      </c>
      <c r="AB16" s="49">
        <f t="shared" si="1"/>
        <v>9.8099958694754227E-2</v>
      </c>
      <c r="AC16" s="49">
        <f t="shared" si="1"/>
        <v>0.12185047501032631</v>
      </c>
      <c r="AD16" s="49">
        <f>P16/$P$16</f>
        <v>1</v>
      </c>
    </row>
  </sheetData>
  <dataValidations count="18">
    <dataValidation allowBlank="1" showInputMessage="1" showErrorMessage="1" prompt="La marge brute pour chaque mois et année est calculée automatiquement dans cette ligne en fonction du total des ventes et du coût total des ventes" sqref="B16" xr:uid="{00000000-0002-0000-0100-000000000000}"/>
    <dataValidation allowBlank="1" showInputMessage="1" showErrorMessage="1" prompt="Cette feuille de calcul calcule le coût total des ventes pour chaque mois et année, ainsi que le coût annuel des ventes pour les éléments. La marge brute est calculée automatiquement en fonction des entrées" sqref="A1" xr:uid="{00000000-0002-0000-0100-000001000000}"/>
    <dataValidation allowBlank="1" showInputMessage="1" showErrorMessage="1" prompt="Titre automatiquement mis à jour à partir de la feuille de calcul Chiffre d’affaires (ventes). Entrez des valeurs dans le tableau Coût des ventes ci-dessous pour calculer le coût total des ventes" sqref="B3:B4" xr:uid="{00000000-0002-0000-0100-000002000000}"/>
    <dataValidation allowBlank="1" showInputMessage="1" showErrorMessage="1" prompt="Le mois et l’année sont automatiquement mis à jour dans les cellules à droite. Pour modifier le mois ou chaque année, modifiez les cellules F2 et G2 dans la feuille de calcul recettes (Ventes)" sqref="E2" xr:uid="{00000000-0002-0000-0100-000003000000}"/>
    <dataValidation allowBlank="1" showInputMessage="1" showErrorMessage="1" prompt="Entrez le pourcentage d’index dans cette colonne" sqref="Q6" xr:uid="{00000000-0002-0000-0100-000004000000}"/>
    <dataValidation allowBlank="1" showInputMessage="1" showErrorMessage="1" prompt="Entrez dans cette colonne le coût des sources répertoriées dans la colonne B" sqref="D6:O6" xr:uid="{00000000-0002-0000-0100-000005000000}"/>
    <dataValidation allowBlank="1" showInputMessage="1" showErrorMessage="1" prompt="Un graphique de tendance représentant les coûts au fil du temps figure dans cette colonne" sqref="C6" xr:uid="{00000000-0002-0000-0100-000006000000}"/>
    <dataValidation allowBlank="1" showInputMessage="1" showErrorMessage="1" prompt="Entrez le coût des ventes dans cette colonne" sqref="B6" xr:uid="{00000000-0002-0000-0100-000007000000}"/>
    <dataValidation allowBlank="1" showInputMessage="1" showErrorMessage="1" prompt="Calcule automatiquement la proportion du coût des ventes des différentes sources par rapport aux ventes totales pour l’année figurant dans cette colonne" sqref="AD5" xr:uid="{00000000-0002-0000-0100-000008000000}"/>
    <dataValidation allowBlank="1" showInputMessage="1" showErrorMessage="1" prompt="Calcule automatiquement dans cette colonne la proportion du coût des ventes des différentes sources par rapport aux ventes totales pour le mois figurant dans cette cellule" sqref="R5:AC5" xr:uid="{00000000-0002-0000-0100-000009000000}"/>
    <dataValidation allowBlank="1" showInputMessage="1" showErrorMessage="1" prompt="Mois automatiquement mis à jour" sqref="E5:O5" xr:uid="{00000000-0002-0000-0100-00000A000000}"/>
    <dataValidation allowBlank="1" showInputMessage="1" showErrorMessage="1" prompt="Les dates de cette ligne sont automatiquement mises à jour en fonction du mois de début de chaque exercice. Pour modifier le mois de début, modifiez la cellule F2 de la feuille de calcul Chiffre d’affaires (ventes)" sqref="D5" xr:uid="{00000000-0002-0000-0100-00000B000000}"/>
    <dataValidation allowBlank="1" showInputMessage="1" showErrorMessage="1" prompt="Le coût annuel est calculé automatiquement dans cette colonne" sqref="P5" xr:uid="{00000000-0002-0000-0100-00000C000000}"/>
    <dataValidation allowBlank="1" showInputMessage="1" showErrorMessage="1" prompt="Le pourcentage d’index figure dans cette colonne" sqref="Q5" xr:uid="{00000000-0002-0000-0100-00000D000000}"/>
    <dataValidation allowBlank="1" showInputMessage="1" showErrorMessage="1" prompt="Mois automatiquement mis à jour. Pour modifier, modifier la feuille de calcul cellule F2 dans chiffres d’affaires (ventes)" sqref="F2" xr:uid="{00000000-0002-0000-0100-00000E000000}"/>
    <dataValidation allowBlank="1" showInputMessage="1" showErrorMessage="1" prompt="Année automatiquement mis à jour. Pour modifier, modifier la feuille de calcul cellule G2 dans chiffres d’affaires (ventes)" sqref="G2" xr:uid="{00000000-0002-0000-0100-00000F000000}"/>
    <dataValidation allowBlank="1" showInputMessage="1" showErrorMessage="1" prompt="Cette cellule est automatiquement mise à jour à partir du titre de la période de prévision de la feuille de calcul Chiffre d’affaires (ventes)" sqref="B2" xr:uid="{00000000-0002-0000-0100-000010000000}"/>
    <dataValidation allowBlank="1" showInputMessage="1" showErrorMessage="1" prompt="Le nom de l’entreprise est automatiquement mis à jour à l’aide de l’entrée indiquée dans la feuille de calcul Chiffre d’affaires (ventes)" sqref="AD2 B1" xr:uid="{00000000-0002-0000-0100-000011000000}"/>
  </dataValidations>
  <printOptions horizontalCentered="1"/>
  <pageMargins left="0.25" right="0.25" top="0.75" bottom="0.75" header="0.3" footer="0.3"/>
  <pageSetup paperSize="9" scale="46" fitToHeight="0" orientation="landscape" r:id="rId1"/>
  <headerFooter differentFirst="1">
    <oddFooter>Page &amp;P of &amp;N</oddFooter>
  </headerFooter>
  <tableParts count="1">
    <tablePart r:id="rId2"/>
  </tableParts>
  <extLst>
    <ext xmlns:x14="http://schemas.microsoft.com/office/spreadsheetml/2009/9/main" uri="{05C60535-1F16-4fd2-B633-F4F36F0B64E0}">
      <x14:sparklineGroups xmlns:xm="http://schemas.microsoft.com/office/excel/2006/main">
        <x14:sparklineGroup lineWeight="1" displayEmptyCellsAs="gap" high="1" low="1" xr2:uid="{00000000-0003-0000-0100-000003000000}">
          <x14:colorSeries theme="4" tint="-0.499984740745262"/>
          <x14:colorNegative theme="5"/>
          <x14:colorAxis rgb="FF000000"/>
          <x14:colorMarkers theme="4" tint="-0.499984740745262"/>
          <x14:colorFirst theme="4" tint="0.39997558519241921"/>
          <x14:colorLast theme="4" tint="0.39997558519241921"/>
          <x14:colorHigh theme="4" tint="-0.499984740745262"/>
          <x14:colorLow theme="4" tint="-0.499984740745262"/>
          <x14:sparklines>
            <x14:sparkline>
              <xm:f>'Coût des ventes'!D14:O14</xm:f>
              <xm:sqref>C14</xm:sqref>
            </x14:sparkline>
          </x14:sparklines>
        </x14:sparklineGroup>
        <x14:sparklineGroup lineWeight="1" displayEmptyCellsAs="gap" high="1" low="1" xr2:uid="{00000000-0003-0000-0100-000002000000}">
          <x14:colorSeries theme="4" tint="-0.499984740745262"/>
          <x14:colorNegative theme="5"/>
          <x14:colorAxis rgb="FF000000"/>
          <x14:colorMarkers theme="4" tint="-0.499984740745262"/>
          <x14:colorFirst theme="4" tint="0.39997558519241921"/>
          <x14:colorLast theme="4" tint="0.39997558519241921"/>
          <x14:colorHigh theme="4" tint="-0.499984740745262"/>
          <x14:colorLow theme="4" tint="-0.499984740745262"/>
          <x14:sparklines>
            <x14:sparkline>
              <xm:f>'Coût des ventes'!D7:O7</xm:f>
              <xm:sqref>C7</xm:sqref>
            </x14:sparkline>
            <x14:sparkline>
              <xm:f>'Coût des ventes'!D8:O8</xm:f>
              <xm:sqref>C8</xm:sqref>
            </x14:sparkline>
            <x14:sparkline>
              <xm:f>'Coût des ventes'!D9:O9</xm:f>
              <xm:sqref>C9</xm:sqref>
            </x14:sparkline>
            <x14:sparkline>
              <xm:f>'Coût des ventes'!D10:O10</xm:f>
              <xm:sqref>C10</xm:sqref>
            </x14:sparkline>
            <x14:sparkline>
              <xm:f>'Coût des ventes'!D11:O11</xm:f>
              <xm:sqref>C11</xm:sqref>
            </x14:sparkline>
            <x14:sparkline>
              <xm:f>'Coût des ventes'!D12:O12</xm:f>
              <xm:sqref>C12</xm:sqref>
            </x14:sparkline>
            <x14:sparkline>
              <xm:f>'Coût des ventes'!D13:O13</xm:f>
              <xm:sqref>C13</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pageSetUpPr fitToPage="1"/>
  </sheetPr>
  <dimension ref="B1:AD28"/>
  <sheetViews>
    <sheetView showGridLines="0" zoomScaleNormal="100" workbookViewId="0">
      <pane xSplit="3" ySplit="5" topLeftCell="D6" activePane="bottomRight" state="frozen"/>
      <selection activeCell="C1" sqref="C1:C1048576"/>
      <selection pane="topRight" activeCell="C1" sqref="C1:C1048576"/>
      <selection pane="bottomLeft" activeCell="C1" sqref="C1:C1048576"/>
      <selection pane="bottomRight"/>
    </sheetView>
  </sheetViews>
  <sheetFormatPr defaultColWidth="9" defaultRowHeight="30" customHeight="1" x14ac:dyDescent="0.2"/>
  <cols>
    <col min="1" max="1" width="2.625" customWidth="1"/>
    <col min="2" max="2" width="30.75" customWidth="1"/>
    <col min="3" max="3" width="20.875" customWidth="1"/>
    <col min="4" max="8" width="11.125" bestFit="1" customWidth="1"/>
    <col min="9" max="9" width="9.625" customWidth="1"/>
    <col min="10" max="10" width="10" bestFit="1" customWidth="1"/>
    <col min="11" max="15" width="11.125" bestFit="1" customWidth="1"/>
    <col min="16" max="16" width="12.625" bestFit="1" customWidth="1"/>
    <col min="17" max="30" width="7.5" customWidth="1"/>
    <col min="31" max="31" width="2.625" customWidth="1"/>
  </cols>
  <sheetData>
    <row r="1" spans="2:30" ht="38.1" customHeight="1" x14ac:dyDescent="0.2">
      <c r="B1" s="53" t="str">
        <f>Nom_Entreprise</f>
        <v>Nom de la société</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row>
    <row r="2" spans="2:30" ht="35.1" customHeight="1" x14ac:dyDescent="0.2">
      <c r="B2" s="66" t="str">
        <f>Titre_Période_Prévisions</f>
        <v>Douze mois</v>
      </c>
      <c r="C2" s="67"/>
      <c r="D2" s="67"/>
      <c r="E2" s="68" t="s">
        <v>52</v>
      </c>
      <c r="F2" s="69" t="str">
        <f>FYMonthStart</f>
        <v>JANV</v>
      </c>
      <c r="G2" s="69">
        <f ca="1">FYStartYear</f>
        <v>2019</v>
      </c>
      <c r="J2" s="5"/>
      <c r="Q2" s="3"/>
      <c r="R2" s="3"/>
      <c r="S2" s="3"/>
      <c r="T2" s="3"/>
      <c r="U2" s="3"/>
      <c r="V2" s="3"/>
      <c r="W2" s="3"/>
      <c r="X2" s="3"/>
      <c r="Y2" s="3"/>
      <c r="Z2" s="3"/>
      <c r="AA2" s="3"/>
      <c r="AB2" s="3"/>
      <c r="AC2" s="3"/>
      <c r="AD2" s="6"/>
    </row>
    <row r="3" spans="2:30" ht="60" customHeight="1" x14ac:dyDescent="0.2">
      <c r="B3" s="52" t="str">
        <f>'Chiffre d’affaires (ventes)'!$B$3</f>
        <v>Projection des pertes et profits</v>
      </c>
      <c r="C3" s="11"/>
      <c r="D3" s="12"/>
      <c r="E3" s="12"/>
      <c r="F3" s="12"/>
      <c r="G3" s="12"/>
      <c r="H3" s="12"/>
      <c r="I3" s="12"/>
      <c r="J3" s="12"/>
      <c r="K3" s="12"/>
      <c r="L3" s="12"/>
      <c r="M3" s="12"/>
      <c r="N3" s="12"/>
      <c r="O3" s="12"/>
      <c r="P3" s="11"/>
      <c r="Q3" s="11"/>
      <c r="R3" s="11"/>
      <c r="S3" s="11"/>
      <c r="T3" s="11"/>
      <c r="U3" s="11"/>
      <c r="V3" s="11"/>
      <c r="W3" s="11"/>
      <c r="X3" s="13"/>
      <c r="Y3" s="13"/>
      <c r="Z3" s="13"/>
      <c r="AA3" s="13"/>
      <c r="AB3" s="11"/>
      <c r="AC3" s="11"/>
      <c r="AD3" s="11"/>
    </row>
    <row r="4" spans="2:30" ht="15" customHeight="1" x14ac:dyDescent="0.2">
      <c r="B4" s="40"/>
      <c r="D4" s="1"/>
      <c r="E4" s="1"/>
      <c r="F4" s="1"/>
      <c r="G4" s="1"/>
      <c r="K4" s="1"/>
      <c r="L4" s="1"/>
      <c r="M4" s="1"/>
      <c r="N4" s="1"/>
      <c r="O4" s="1"/>
      <c r="X4" s="2"/>
      <c r="Y4" s="2"/>
    </row>
    <row r="5" spans="2:30" ht="20.100000000000001" customHeight="1" x14ac:dyDescent="0.2">
      <c r="D5" s="87" t="str">
        <f ca="1">UPPER(TEXT(DATE(FYStartYear,FYMonthNo,1),"mmm-aa"))</f>
        <v>JAN-AA</v>
      </c>
      <c r="E5" s="87" t="str">
        <f ca="1">UPPER(TEXT(DATE(FYStartYear,FYMonthNo+1,1),"mmm-aa"))</f>
        <v>FEB-AA</v>
      </c>
      <c r="F5" s="87" t="str">
        <f ca="1">UPPER(TEXT(DATE(FYStartYear,FYMonthNo+2,1),"mmm-aa"))</f>
        <v>MAR-AA</v>
      </c>
      <c r="G5" s="87" t="str">
        <f ca="1">UPPER(TEXT(DATE(FYStartYear,FYMonthNo+3,1),"mmm-aa"))</f>
        <v>APR-AA</v>
      </c>
      <c r="H5" s="87" t="str">
        <f ca="1">UPPER(TEXT(DATE(FYStartYear,FYMonthNo+4,1),"mmm-aa"))</f>
        <v>MAY-AA</v>
      </c>
      <c r="I5" s="87" t="str">
        <f ca="1">UPPER(TEXT(DATE(FYStartYear,FYMonthNo+5,1),"mmm-aa"))</f>
        <v>JUN-AA</v>
      </c>
      <c r="J5" s="87" t="str">
        <f ca="1">UPPER(TEXT(DATE(FYStartYear,FYMonthNo+6,1),"mmm-aa"))</f>
        <v>JUL-AA</v>
      </c>
      <c r="K5" s="87" t="str">
        <f ca="1">UPPER(TEXT(DATE(FYStartYear,FYMonthNo+7,1),"mmm-aa"))</f>
        <v>AUG-AA</v>
      </c>
      <c r="L5" s="87" t="str">
        <f ca="1">UPPER(TEXT(DATE(FYStartYear,FYMonthNo+8,1),"mmm-aa"))</f>
        <v>SEP-AA</v>
      </c>
      <c r="M5" s="87" t="str">
        <f ca="1">UPPER(TEXT(DATE(FYStartYear,FYMonthNo+9,1),"mmm-aa"))</f>
        <v>OCT-AA</v>
      </c>
      <c r="N5" s="87" t="str">
        <f ca="1">UPPER(TEXT(DATE(FYStartYear,FYMonthNo+10,1),"mmm-aa"))</f>
        <v>NOV-AA</v>
      </c>
      <c r="O5" s="88" t="str">
        <f ca="1">UPPER(TEXT(DATE(FYStartYear,FYMonthNo+11,1),"mmm-aa"))</f>
        <v>DEC-AA</v>
      </c>
      <c r="P5" s="71" t="s">
        <v>26</v>
      </c>
      <c r="Q5" s="70" t="s">
        <v>75</v>
      </c>
      <c r="R5" s="72" t="str">
        <f ca="1">LEFT(D5,3)&amp;" %"</f>
        <v>JAN %</v>
      </c>
      <c r="S5" s="73" t="str">
        <f t="shared" ref="S5:AC5" ca="1" si="0">LEFT(E5,3)&amp;" %"</f>
        <v>FEB %</v>
      </c>
      <c r="T5" s="73" t="str">
        <f t="shared" ca="1" si="0"/>
        <v>MAR %</v>
      </c>
      <c r="U5" s="73" t="str">
        <f t="shared" ca="1" si="0"/>
        <v>APR %</v>
      </c>
      <c r="V5" s="73" t="str">
        <f t="shared" ca="1" si="0"/>
        <v>MAY %</v>
      </c>
      <c r="W5" s="73" t="str">
        <f t="shared" ca="1" si="0"/>
        <v>JUN %</v>
      </c>
      <c r="X5" s="73" t="str">
        <f t="shared" ca="1" si="0"/>
        <v>JUL %</v>
      </c>
      <c r="Y5" s="73" t="str">
        <f t="shared" ca="1" si="0"/>
        <v>AUG %</v>
      </c>
      <c r="Z5" s="73" t="str">
        <f t="shared" ca="1" si="0"/>
        <v>SEP %</v>
      </c>
      <c r="AA5" s="73" t="str">
        <f t="shared" ca="1" si="0"/>
        <v>OCT %</v>
      </c>
      <c r="AB5" s="73" t="str">
        <f t="shared" ca="1" si="0"/>
        <v>NOV %</v>
      </c>
      <c r="AC5" s="73" t="str">
        <f t="shared" ca="1" si="0"/>
        <v>DEC %</v>
      </c>
      <c r="AD5" s="74" t="s">
        <v>76</v>
      </c>
    </row>
    <row r="6" spans="2:30" ht="30" customHeight="1" x14ac:dyDescent="0.2">
      <c r="B6" s="76" t="s">
        <v>53</v>
      </c>
      <c r="C6" s="76" t="s">
        <v>12</v>
      </c>
      <c r="D6" s="77" t="s">
        <v>13</v>
      </c>
      <c r="E6" s="77" t="s">
        <v>15</v>
      </c>
      <c r="F6" s="77" t="s">
        <v>16</v>
      </c>
      <c r="G6" s="77" t="s">
        <v>17</v>
      </c>
      <c r="H6" s="77" t="s">
        <v>18</v>
      </c>
      <c r="I6" s="77" t="s">
        <v>19</v>
      </c>
      <c r="J6" s="77" t="s">
        <v>20</v>
      </c>
      <c r="K6" s="77" t="s">
        <v>21</v>
      </c>
      <c r="L6" s="77" t="s">
        <v>22</v>
      </c>
      <c r="M6" s="77" t="s">
        <v>23</v>
      </c>
      <c r="N6" s="77" t="s">
        <v>24</v>
      </c>
      <c r="O6" s="77" t="s">
        <v>25</v>
      </c>
      <c r="P6" s="78" t="s">
        <v>27</v>
      </c>
      <c r="Q6" s="77" t="s">
        <v>28</v>
      </c>
      <c r="R6" s="79" t="s">
        <v>29</v>
      </c>
      <c r="S6" s="77" t="s">
        <v>30</v>
      </c>
      <c r="T6" s="77" t="s">
        <v>31</v>
      </c>
      <c r="U6" s="77" t="s">
        <v>32</v>
      </c>
      <c r="V6" s="77" t="s">
        <v>33</v>
      </c>
      <c r="W6" s="77" t="s">
        <v>34</v>
      </c>
      <c r="X6" s="77" t="s">
        <v>35</v>
      </c>
      <c r="Y6" s="77" t="s">
        <v>36</v>
      </c>
      <c r="Z6" s="77" t="s">
        <v>37</v>
      </c>
      <c r="AA6" s="77" t="s">
        <v>38</v>
      </c>
      <c r="AB6" s="77" t="s">
        <v>39</v>
      </c>
      <c r="AC6" s="77" t="s">
        <v>40</v>
      </c>
      <c r="AD6" s="80" t="s">
        <v>41</v>
      </c>
    </row>
    <row r="7" spans="2:30" ht="30" customHeight="1" x14ac:dyDescent="0.2">
      <c r="B7" s="41" t="s">
        <v>54</v>
      </c>
      <c r="C7" t="s">
        <v>73</v>
      </c>
      <c r="D7" s="96">
        <v>10</v>
      </c>
      <c r="E7" s="96">
        <v>18</v>
      </c>
      <c r="F7" s="96">
        <v>13</v>
      </c>
      <c r="G7" s="96">
        <v>8</v>
      </c>
      <c r="H7" s="96">
        <v>22</v>
      </c>
      <c r="I7" s="96">
        <v>18</v>
      </c>
      <c r="J7" s="96">
        <v>8</v>
      </c>
      <c r="K7" s="96">
        <v>17</v>
      </c>
      <c r="L7" s="96">
        <v>20</v>
      </c>
      <c r="M7" s="96">
        <v>8</v>
      </c>
      <c r="N7" s="96">
        <v>4</v>
      </c>
      <c r="O7" s="96">
        <v>12</v>
      </c>
      <c r="P7" s="102">
        <f>SUM(tblDépenses[[#This Row],[Jan.]:[Déc.]])</f>
        <v>158</v>
      </c>
      <c r="Q7" s="9">
        <v>0.12</v>
      </c>
      <c r="R7" s="54">
        <f>IFERROR(tblDépenses[[#This Row],[Jan.]]/tblDépenses[[#Totals],[Jan.]],"-")</f>
        <v>4.2372881355932202E-2</v>
      </c>
      <c r="S7" s="9">
        <f>IFERROR(tblDépenses[[#This Row],[Fév.]]/tblDépenses[[#Totals],[Fév.]],"-")</f>
        <v>8.7804878048780483E-2</v>
      </c>
      <c r="T7" s="9">
        <f>IFERROR(tblDépenses[[#This Row],[Mar.]]/tblDépenses[[#Totals],[Mar.]],"-")</f>
        <v>5.2208835341365459E-2</v>
      </c>
      <c r="U7" s="9">
        <f>IFERROR(tblDépenses[[#This Row],[Avr.]]/tblDépenses[[#Totals],[Avr.]],"-")</f>
        <v>3.0651340996168581E-2</v>
      </c>
      <c r="V7" s="9">
        <f>IFERROR(tblDépenses[[#This Row],[Mai]]/tblDépenses[[#Totals],[Mai]],"-")</f>
        <v>8.5603112840466927E-2</v>
      </c>
      <c r="W7" s="9">
        <f>IFERROR(tblDépenses[[#This Row],[Juin]]/tblDépenses[[#Totals],[Juin]],"-")</f>
        <v>6.569343065693431E-2</v>
      </c>
      <c r="X7" s="9">
        <f>IFERROR(tblDépenses[[#This Row],[Juil.]]/tblDépenses[[#Totals],[Juil.]],"-")</f>
        <v>3.007518796992481E-2</v>
      </c>
      <c r="Y7" s="9">
        <f>IFERROR(tblDépenses[[#This Row],[Août]]/tblDépenses[[#Totals],[Août]],"-")</f>
        <v>7.2340425531914887E-2</v>
      </c>
      <c r="Z7" s="9">
        <f>IFERROR(tblDépenses[[#This Row],[Sept.]]/tblDépenses[[#Totals],[Sept.]],"-")</f>
        <v>8.6956521739130432E-2</v>
      </c>
      <c r="AA7" s="9">
        <f>IFERROR(tblDépenses[[#This Row],[Oct.]]/tblDépenses[[#Totals],[Oct.]],"-")</f>
        <v>3.0888030888030889E-2</v>
      </c>
      <c r="AB7" s="9">
        <f>IFERROR(tblDépenses[[#This Row],[Nov.]]/tblDépenses[[#Totals],[Nov.]],"-")</f>
        <v>1.3513513513513514E-2</v>
      </c>
      <c r="AC7" s="9">
        <f>IFERROR(tblDépenses[[#This Row],[Déc.]]/tblDépenses[[#Totals],[Déc.]],"-")</f>
        <v>5.1948051948051951E-2</v>
      </c>
      <c r="AD7" s="55">
        <f>IFERROR(tblDépenses[[#This Row],[Annuel]]/tblDépenses[[#Totals],[Annuel]],"-")</f>
        <v>5.2684228076025338E-2</v>
      </c>
    </row>
    <row r="8" spans="2:30" ht="30" customHeight="1" x14ac:dyDescent="0.2">
      <c r="B8" s="41" t="s">
        <v>55</v>
      </c>
      <c r="C8" t="s">
        <v>73</v>
      </c>
      <c r="D8" s="96">
        <v>23</v>
      </c>
      <c r="E8" s="96">
        <v>11</v>
      </c>
      <c r="F8" s="96">
        <v>7</v>
      </c>
      <c r="G8" s="96">
        <v>14</v>
      </c>
      <c r="H8" s="96">
        <v>12</v>
      </c>
      <c r="I8" s="96">
        <v>19</v>
      </c>
      <c r="J8" s="96">
        <v>19</v>
      </c>
      <c r="K8" s="96">
        <v>4</v>
      </c>
      <c r="L8" s="96">
        <v>7</v>
      </c>
      <c r="M8" s="96">
        <v>13</v>
      </c>
      <c r="N8" s="96">
        <v>25</v>
      </c>
      <c r="O8" s="96">
        <v>5</v>
      </c>
      <c r="P8" s="102">
        <f>SUM(tblDépenses[[#This Row],[Jan.]:[Déc.]])</f>
        <v>159</v>
      </c>
      <c r="Q8" s="9">
        <v>0.09</v>
      </c>
      <c r="R8" s="54">
        <f>IFERROR(tblDépenses[[#This Row],[Jan.]]/tblDépenses[[#Totals],[Jan.]],"-")</f>
        <v>9.7457627118644072E-2</v>
      </c>
      <c r="S8" s="9">
        <f>IFERROR(tblDépenses[[#This Row],[Fév.]]/tblDépenses[[#Totals],[Fév.]],"-")</f>
        <v>5.3658536585365853E-2</v>
      </c>
      <c r="T8" s="9">
        <f>IFERROR(tblDépenses[[#This Row],[Mar.]]/tblDépenses[[#Totals],[Mar.]],"-")</f>
        <v>2.8112449799196786E-2</v>
      </c>
      <c r="U8" s="9">
        <f>IFERROR(tblDépenses[[#This Row],[Avr.]]/tblDépenses[[#Totals],[Avr.]],"-")</f>
        <v>5.3639846743295021E-2</v>
      </c>
      <c r="V8" s="9">
        <f>IFERROR(tblDépenses[[#This Row],[Mai]]/tblDépenses[[#Totals],[Mai]],"-")</f>
        <v>4.6692607003891051E-2</v>
      </c>
      <c r="W8" s="9">
        <f>IFERROR(tblDépenses[[#This Row],[Juin]]/tblDépenses[[#Totals],[Juin]],"-")</f>
        <v>6.9343065693430656E-2</v>
      </c>
      <c r="X8" s="9">
        <f>IFERROR(tblDépenses[[#This Row],[Juil.]]/tblDépenses[[#Totals],[Juil.]],"-")</f>
        <v>7.1428571428571425E-2</v>
      </c>
      <c r="Y8" s="9">
        <f>IFERROR(tblDépenses[[#This Row],[Août]]/tblDépenses[[#Totals],[Août]],"-")</f>
        <v>1.7021276595744681E-2</v>
      </c>
      <c r="Z8" s="9">
        <f>IFERROR(tblDépenses[[#This Row],[Sept.]]/tblDépenses[[#Totals],[Sept.]],"-")</f>
        <v>3.0434782608695653E-2</v>
      </c>
      <c r="AA8" s="9">
        <f>IFERROR(tblDépenses[[#This Row],[Oct.]]/tblDépenses[[#Totals],[Oct.]],"-")</f>
        <v>5.019305019305019E-2</v>
      </c>
      <c r="AB8" s="9">
        <f>IFERROR(tblDépenses[[#This Row],[Nov.]]/tblDépenses[[#Totals],[Nov.]],"-")</f>
        <v>8.4459459459459457E-2</v>
      </c>
      <c r="AC8" s="9">
        <f>IFERROR(tblDépenses[[#This Row],[Déc.]]/tblDépenses[[#Totals],[Déc.]],"-")</f>
        <v>2.1645021645021644E-2</v>
      </c>
      <c r="AD8" s="55">
        <f>IFERROR(tblDépenses[[#This Row],[Annuel]]/tblDépenses[[#Totals],[Annuel]],"-")</f>
        <v>5.3017672557519172E-2</v>
      </c>
    </row>
    <row r="9" spans="2:30" ht="30" customHeight="1" x14ac:dyDescent="0.2">
      <c r="B9" s="41" t="s">
        <v>56</v>
      </c>
      <c r="C9" t="s">
        <v>73</v>
      </c>
      <c r="D9" s="96">
        <v>23</v>
      </c>
      <c r="E9" s="96">
        <v>20</v>
      </c>
      <c r="F9" s="96">
        <v>3</v>
      </c>
      <c r="G9" s="96">
        <v>16</v>
      </c>
      <c r="H9" s="96">
        <v>10</v>
      </c>
      <c r="I9" s="96">
        <v>5</v>
      </c>
      <c r="J9" s="96">
        <v>20</v>
      </c>
      <c r="K9" s="96">
        <v>7</v>
      </c>
      <c r="L9" s="96">
        <v>4</v>
      </c>
      <c r="M9" s="96">
        <v>22</v>
      </c>
      <c r="N9" s="96">
        <v>13</v>
      </c>
      <c r="O9" s="96">
        <v>14</v>
      </c>
      <c r="P9" s="102">
        <f>SUM(tblDépenses[[#This Row],[Jan.]:[Déc.]])</f>
        <v>157</v>
      </c>
      <c r="Q9" s="9">
        <v>0.02</v>
      </c>
      <c r="R9" s="54">
        <f>IFERROR(tblDépenses[[#This Row],[Jan.]]/tblDépenses[[#Totals],[Jan.]],"-")</f>
        <v>9.7457627118644072E-2</v>
      </c>
      <c r="S9" s="9">
        <f>IFERROR(tblDépenses[[#This Row],[Fév.]]/tblDépenses[[#Totals],[Fév.]],"-")</f>
        <v>9.7560975609756101E-2</v>
      </c>
      <c r="T9" s="9">
        <f>IFERROR(tblDépenses[[#This Row],[Mar.]]/tblDépenses[[#Totals],[Mar.]],"-")</f>
        <v>1.2048192771084338E-2</v>
      </c>
      <c r="U9" s="9">
        <f>IFERROR(tblDépenses[[#This Row],[Avr.]]/tblDépenses[[#Totals],[Avr.]],"-")</f>
        <v>6.1302681992337162E-2</v>
      </c>
      <c r="V9" s="9">
        <f>IFERROR(tblDépenses[[#This Row],[Mai]]/tblDépenses[[#Totals],[Mai]],"-")</f>
        <v>3.8910505836575876E-2</v>
      </c>
      <c r="W9" s="9">
        <f>IFERROR(tblDépenses[[#This Row],[Juin]]/tblDépenses[[#Totals],[Juin]],"-")</f>
        <v>1.824817518248175E-2</v>
      </c>
      <c r="X9" s="9">
        <f>IFERROR(tblDépenses[[#This Row],[Juil.]]/tblDépenses[[#Totals],[Juil.]],"-")</f>
        <v>7.5187969924812026E-2</v>
      </c>
      <c r="Y9" s="9">
        <f>IFERROR(tblDépenses[[#This Row],[Août]]/tblDépenses[[#Totals],[Août]],"-")</f>
        <v>2.9787234042553193E-2</v>
      </c>
      <c r="Z9" s="9">
        <f>IFERROR(tblDépenses[[#This Row],[Sept.]]/tblDépenses[[#Totals],[Sept.]],"-")</f>
        <v>1.7391304347826087E-2</v>
      </c>
      <c r="AA9" s="9">
        <f>IFERROR(tblDépenses[[#This Row],[Oct.]]/tblDépenses[[#Totals],[Oct.]],"-")</f>
        <v>8.4942084942084939E-2</v>
      </c>
      <c r="AB9" s="9">
        <f>IFERROR(tblDépenses[[#This Row],[Nov.]]/tblDépenses[[#Totals],[Nov.]],"-")</f>
        <v>4.3918918918918921E-2</v>
      </c>
      <c r="AC9" s="9">
        <f>IFERROR(tblDépenses[[#This Row],[Déc.]]/tblDépenses[[#Totals],[Déc.]],"-")</f>
        <v>6.0606060606060608E-2</v>
      </c>
      <c r="AD9" s="55">
        <f>IFERROR(tblDépenses[[#This Row],[Annuel]]/tblDépenses[[#Totals],[Annuel]],"-")</f>
        <v>5.2350783594531512E-2</v>
      </c>
    </row>
    <row r="10" spans="2:30" ht="30" customHeight="1" x14ac:dyDescent="0.2">
      <c r="B10" s="41" t="s">
        <v>57</v>
      </c>
      <c r="C10" t="s">
        <v>73</v>
      </c>
      <c r="D10" s="96">
        <v>19</v>
      </c>
      <c r="E10" s="96">
        <v>4</v>
      </c>
      <c r="F10" s="96">
        <v>7</v>
      </c>
      <c r="G10" s="96">
        <v>14</v>
      </c>
      <c r="H10" s="96">
        <v>22</v>
      </c>
      <c r="I10" s="96">
        <v>10</v>
      </c>
      <c r="J10" s="96">
        <v>22</v>
      </c>
      <c r="K10" s="96">
        <v>5</v>
      </c>
      <c r="L10" s="96">
        <v>4</v>
      </c>
      <c r="M10" s="96">
        <v>12</v>
      </c>
      <c r="N10" s="96">
        <v>18</v>
      </c>
      <c r="O10" s="96">
        <v>24</v>
      </c>
      <c r="P10" s="102">
        <f>SUM(tblDépenses[[#This Row],[Jan.]:[Déc.]])</f>
        <v>161</v>
      </c>
      <c r="Q10" s="9">
        <v>0.08</v>
      </c>
      <c r="R10" s="54">
        <f>IFERROR(tblDépenses[[#This Row],[Jan.]]/tblDépenses[[#Totals],[Jan.]],"-")</f>
        <v>8.050847457627118E-2</v>
      </c>
      <c r="S10" s="9">
        <f>IFERROR(tblDépenses[[#This Row],[Fév.]]/tblDépenses[[#Totals],[Fév.]],"-")</f>
        <v>1.9512195121951219E-2</v>
      </c>
      <c r="T10" s="9">
        <f>IFERROR(tblDépenses[[#This Row],[Mar.]]/tblDépenses[[#Totals],[Mar.]],"-")</f>
        <v>2.8112449799196786E-2</v>
      </c>
      <c r="U10" s="9">
        <f>IFERROR(tblDépenses[[#This Row],[Avr.]]/tblDépenses[[#Totals],[Avr.]],"-")</f>
        <v>5.3639846743295021E-2</v>
      </c>
      <c r="V10" s="9">
        <f>IFERROR(tblDépenses[[#This Row],[Mai]]/tblDépenses[[#Totals],[Mai]],"-")</f>
        <v>8.5603112840466927E-2</v>
      </c>
      <c r="W10" s="9">
        <f>IFERROR(tblDépenses[[#This Row],[Juin]]/tblDépenses[[#Totals],[Juin]],"-")</f>
        <v>3.6496350364963501E-2</v>
      </c>
      <c r="X10" s="9">
        <f>IFERROR(tblDépenses[[#This Row],[Juil.]]/tblDépenses[[#Totals],[Juil.]],"-")</f>
        <v>8.2706766917293228E-2</v>
      </c>
      <c r="Y10" s="9">
        <f>IFERROR(tblDépenses[[#This Row],[Août]]/tblDépenses[[#Totals],[Août]],"-")</f>
        <v>2.1276595744680851E-2</v>
      </c>
      <c r="Z10" s="9">
        <f>IFERROR(tblDépenses[[#This Row],[Sept.]]/tblDépenses[[#Totals],[Sept.]],"-")</f>
        <v>1.7391304347826087E-2</v>
      </c>
      <c r="AA10" s="9">
        <f>IFERROR(tblDépenses[[#This Row],[Oct.]]/tblDépenses[[#Totals],[Oct.]],"-")</f>
        <v>4.633204633204633E-2</v>
      </c>
      <c r="AB10" s="9">
        <f>IFERROR(tblDépenses[[#This Row],[Nov.]]/tblDépenses[[#Totals],[Nov.]],"-")</f>
        <v>6.0810810810810814E-2</v>
      </c>
      <c r="AC10" s="9">
        <f>IFERROR(tblDépenses[[#This Row],[Déc.]]/tblDépenses[[#Totals],[Déc.]],"-")</f>
        <v>0.1038961038961039</v>
      </c>
      <c r="AD10" s="55">
        <f>IFERROR(tblDépenses[[#This Row],[Annuel]]/tblDépenses[[#Totals],[Annuel]],"-")</f>
        <v>5.3684561520506838E-2</v>
      </c>
    </row>
    <row r="11" spans="2:30" ht="30" customHeight="1" x14ac:dyDescent="0.2">
      <c r="B11" s="41" t="s">
        <v>58</v>
      </c>
      <c r="C11" t="s">
        <v>73</v>
      </c>
      <c r="D11" s="96">
        <v>11</v>
      </c>
      <c r="E11" s="96">
        <v>11</v>
      </c>
      <c r="F11" s="96">
        <v>17</v>
      </c>
      <c r="G11" s="96">
        <v>12</v>
      </c>
      <c r="H11" s="96">
        <v>2</v>
      </c>
      <c r="I11" s="96">
        <v>14</v>
      </c>
      <c r="J11" s="96">
        <v>12</v>
      </c>
      <c r="K11" s="96">
        <v>10</v>
      </c>
      <c r="L11" s="96">
        <v>18</v>
      </c>
      <c r="M11" s="96">
        <v>11</v>
      </c>
      <c r="N11" s="96">
        <v>23</v>
      </c>
      <c r="O11" s="96">
        <v>11</v>
      </c>
      <c r="P11" s="102">
        <f>SUM(tblDépenses[[#This Row],[Jan.]:[Déc.]])</f>
        <v>152</v>
      </c>
      <c r="Q11" s="9">
        <v>0.03</v>
      </c>
      <c r="R11" s="54">
        <f>IFERROR(tblDépenses[[#This Row],[Jan.]]/tblDépenses[[#Totals],[Jan.]],"-")</f>
        <v>4.6610169491525424E-2</v>
      </c>
      <c r="S11" s="9">
        <f>IFERROR(tblDépenses[[#This Row],[Fév.]]/tblDépenses[[#Totals],[Fév.]],"-")</f>
        <v>5.3658536585365853E-2</v>
      </c>
      <c r="T11" s="9">
        <f>IFERROR(tblDépenses[[#This Row],[Mar.]]/tblDépenses[[#Totals],[Mar.]],"-")</f>
        <v>6.8273092369477914E-2</v>
      </c>
      <c r="U11" s="9">
        <f>IFERROR(tblDépenses[[#This Row],[Avr.]]/tblDépenses[[#Totals],[Avr.]],"-")</f>
        <v>4.5977011494252873E-2</v>
      </c>
      <c r="V11" s="9">
        <f>IFERROR(tblDépenses[[#This Row],[Mai]]/tblDépenses[[#Totals],[Mai]],"-")</f>
        <v>7.7821011673151752E-3</v>
      </c>
      <c r="W11" s="9">
        <f>IFERROR(tblDépenses[[#This Row],[Juin]]/tblDépenses[[#Totals],[Juin]],"-")</f>
        <v>5.1094890510948905E-2</v>
      </c>
      <c r="X11" s="9">
        <f>IFERROR(tblDépenses[[#This Row],[Juil.]]/tblDépenses[[#Totals],[Juil.]],"-")</f>
        <v>4.5112781954887216E-2</v>
      </c>
      <c r="Y11" s="9">
        <f>IFERROR(tblDépenses[[#This Row],[Août]]/tblDépenses[[#Totals],[Août]],"-")</f>
        <v>4.2553191489361701E-2</v>
      </c>
      <c r="Z11" s="9">
        <f>IFERROR(tblDépenses[[#This Row],[Sept.]]/tblDépenses[[#Totals],[Sept.]],"-")</f>
        <v>7.8260869565217397E-2</v>
      </c>
      <c r="AA11" s="9">
        <f>IFERROR(tblDépenses[[#This Row],[Oct.]]/tblDépenses[[#Totals],[Oct.]],"-")</f>
        <v>4.2471042471042469E-2</v>
      </c>
      <c r="AB11" s="9">
        <f>IFERROR(tblDépenses[[#This Row],[Nov.]]/tblDépenses[[#Totals],[Nov.]],"-")</f>
        <v>7.77027027027027E-2</v>
      </c>
      <c r="AC11" s="9">
        <f>IFERROR(tblDépenses[[#This Row],[Déc.]]/tblDépenses[[#Totals],[Déc.]],"-")</f>
        <v>4.7619047619047616E-2</v>
      </c>
      <c r="AD11" s="55">
        <f>IFERROR(tblDépenses[[#This Row],[Annuel]]/tblDépenses[[#Totals],[Annuel]],"-")</f>
        <v>5.0683561187062354E-2</v>
      </c>
    </row>
    <row r="12" spans="2:30" ht="30" customHeight="1" x14ac:dyDescent="0.2">
      <c r="B12" s="41" t="s">
        <v>59</v>
      </c>
      <c r="C12" t="s">
        <v>73</v>
      </c>
      <c r="D12" s="103">
        <v>2</v>
      </c>
      <c r="E12" s="103">
        <v>16</v>
      </c>
      <c r="F12" s="103">
        <v>6</v>
      </c>
      <c r="G12" s="103">
        <v>13</v>
      </c>
      <c r="H12" s="103">
        <v>11</v>
      </c>
      <c r="I12" s="103">
        <v>22</v>
      </c>
      <c r="J12" s="103">
        <v>21</v>
      </c>
      <c r="K12" s="103">
        <v>3</v>
      </c>
      <c r="L12" s="103">
        <v>12</v>
      </c>
      <c r="M12" s="103">
        <v>7</v>
      </c>
      <c r="N12" s="103">
        <v>17</v>
      </c>
      <c r="O12" s="103">
        <v>20</v>
      </c>
      <c r="P12" s="104">
        <f>SUM(tblDépenses[[#This Row],[Jan.]:[Déc.]])</f>
        <v>150</v>
      </c>
      <c r="Q12" s="9">
        <v>0.15</v>
      </c>
      <c r="R12" s="54">
        <f>IFERROR(tblDépenses[[#This Row],[Jan.]]/tblDépenses[[#Totals],[Jan.]],"-")</f>
        <v>8.4745762711864406E-3</v>
      </c>
      <c r="S12" s="9">
        <f>IFERROR(tblDépenses[[#This Row],[Fév.]]/tblDépenses[[#Totals],[Fév.]],"-")</f>
        <v>7.8048780487804878E-2</v>
      </c>
      <c r="T12" s="9">
        <f>IFERROR(tblDépenses[[#This Row],[Mar.]]/tblDépenses[[#Totals],[Mar.]],"-")</f>
        <v>2.4096385542168676E-2</v>
      </c>
      <c r="U12" s="9">
        <f>IFERROR(tblDépenses[[#This Row],[Avr.]]/tblDépenses[[#Totals],[Avr.]],"-")</f>
        <v>4.9808429118773943E-2</v>
      </c>
      <c r="V12" s="9">
        <f>IFERROR(tblDépenses[[#This Row],[Mai]]/tblDépenses[[#Totals],[Mai]],"-")</f>
        <v>4.2801556420233464E-2</v>
      </c>
      <c r="W12" s="9">
        <f>IFERROR(tblDépenses[[#This Row],[Juin]]/tblDépenses[[#Totals],[Juin]],"-")</f>
        <v>8.0291970802919707E-2</v>
      </c>
      <c r="X12" s="9">
        <f>IFERROR(tblDépenses[[#This Row],[Juil.]]/tblDépenses[[#Totals],[Juil.]],"-")</f>
        <v>7.8947368421052627E-2</v>
      </c>
      <c r="Y12" s="9">
        <f>IFERROR(tblDépenses[[#This Row],[Août]]/tblDépenses[[#Totals],[Août]],"-")</f>
        <v>1.276595744680851E-2</v>
      </c>
      <c r="Z12" s="9">
        <f>IFERROR(tblDépenses[[#This Row],[Sept.]]/tblDépenses[[#Totals],[Sept.]],"-")</f>
        <v>5.2173913043478258E-2</v>
      </c>
      <c r="AA12" s="9">
        <f>IFERROR(tblDépenses[[#This Row],[Oct.]]/tblDépenses[[#Totals],[Oct.]],"-")</f>
        <v>2.7027027027027029E-2</v>
      </c>
      <c r="AB12" s="9">
        <f>IFERROR(tblDépenses[[#This Row],[Nov.]]/tblDépenses[[#Totals],[Nov.]],"-")</f>
        <v>5.7432432432432436E-2</v>
      </c>
      <c r="AC12" s="9">
        <f>IFERROR(tblDépenses[[#This Row],[Déc.]]/tblDépenses[[#Totals],[Déc.]],"-")</f>
        <v>8.6580086580086577E-2</v>
      </c>
      <c r="AD12" s="55">
        <f>IFERROR(tblDépenses[[#This Row],[Annuel]]/tblDépenses[[#Totals],[Annuel]],"-")</f>
        <v>5.0016672224074694E-2</v>
      </c>
    </row>
    <row r="13" spans="2:30" ht="30" customHeight="1" x14ac:dyDescent="0.2">
      <c r="B13" s="41" t="s">
        <v>60</v>
      </c>
      <c r="C13" t="s">
        <v>73</v>
      </c>
      <c r="D13" s="103">
        <v>8</v>
      </c>
      <c r="E13" s="103">
        <v>17</v>
      </c>
      <c r="F13" s="103">
        <v>11</v>
      </c>
      <c r="G13" s="103">
        <v>11</v>
      </c>
      <c r="H13" s="103">
        <v>21</v>
      </c>
      <c r="I13" s="103">
        <v>9</v>
      </c>
      <c r="J13" s="103">
        <v>20</v>
      </c>
      <c r="K13" s="103">
        <v>3</v>
      </c>
      <c r="L13" s="103">
        <v>14</v>
      </c>
      <c r="M13" s="103">
        <v>22</v>
      </c>
      <c r="N13" s="103">
        <v>16</v>
      </c>
      <c r="O13" s="103">
        <v>12</v>
      </c>
      <c r="P13" s="104">
        <f>SUM(tblDépenses[[#This Row],[Jan.]:[Déc.]])</f>
        <v>164</v>
      </c>
      <c r="Q13" s="9">
        <v>0.12</v>
      </c>
      <c r="R13" s="54">
        <f>IFERROR(tblDépenses[[#This Row],[Jan.]]/tblDépenses[[#Totals],[Jan.]],"-")</f>
        <v>3.3898305084745763E-2</v>
      </c>
      <c r="S13" s="9">
        <f>IFERROR(tblDépenses[[#This Row],[Fév.]]/tblDépenses[[#Totals],[Fév.]],"-")</f>
        <v>8.2926829268292687E-2</v>
      </c>
      <c r="T13" s="9">
        <f>IFERROR(tblDépenses[[#This Row],[Mar.]]/tblDépenses[[#Totals],[Mar.]],"-")</f>
        <v>4.4176706827309238E-2</v>
      </c>
      <c r="U13" s="9">
        <f>IFERROR(tblDépenses[[#This Row],[Avr.]]/tblDépenses[[#Totals],[Avr.]],"-")</f>
        <v>4.2145593869731802E-2</v>
      </c>
      <c r="V13" s="9">
        <f>IFERROR(tblDépenses[[#This Row],[Mai]]/tblDépenses[[#Totals],[Mai]],"-")</f>
        <v>8.171206225680934E-2</v>
      </c>
      <c r="W13" s="9">
        <f>IFERROR(tblDépenses[[#This Row],[Juin]]/tblDépenses[[#Totals],[Juin]],"-")</f>
        <v>3.2846715328467155E-2</v>
      </c>
      <c r="X13" s="9">
        <f>IFERROR(tblDépenses[[#This Row],[Juil.]]/tblDépenses[[#Totals],[Juil.]],"-")</f>
        <v>7.5187969924812026E-2</v>
      </c>
      <c r="Y13" s="9">
        <f>IFERROR(tblDépenses[[#This Row],[Août]]/tblDépenses[[#Totals],[Août]],"-")</f>
        <v>1.276595744680851E-2</v>
      </c>
      <c r="Z13" s="9">
        <f>IFERROR(tblDépenses[[#This Row],[Sept.]]/tblDépenses[[#Totals],[Sept.]],"-")</f>
        <v>6.0869565217391307E-2</v>
      </c>
      <c r="AA13" s="9">
        <f>IFERROR(tblDépenses[[#This Row],[Oct.]]/tblDépenses[[#Totals],[Oct.]],"-")</f>
        <v>8.4942084942084939E-2</v>
      </c>
      <c r="AB13" s="9">
        <f>IFERROR(tblDépenses[[#This Row],[Nov.]]/tblDépenses[[#Totals],[Nov.]],"-")</f>
        <v>5.4054054054054057E-2</v>
      </c>
      <c r="AC13" s="9">
        <f>IFERROR(tblDépenses[[#This Row],[Déc.]]/tblDépenses[[#Totals],[Déc.]],"-")</f>
        <v>5.1948051948051951E-2</v>
      </c>
      <c r="AD13" s="55">
        <f>IFERROR(tblDépenses[[#This Row],[Annuel]]/tblDépenses[[#Totals],[Annuel]],"-")</f>
        <v>5.468489496498833E-2</v>
      </c>
    </row>
    <row r="14" spans="2:30" ht="30" customHeight="1" x14ac:dyDescent="0.2">
      <c r="B14" s="41" t="s">
        <v>61</v>
      </c>
      <c r="C14" t="s">
        <v>73</v>
      </c>
      <c r="D14" s="103">
        <v>5</v>
      </c>
      <c r="E14" s="103">
        <v>13</v>
      </c>
      <c r="F14" s="103">
        <v>6</v>
      </c>
      <c r="G14" s="103">
        <v>15</v>
      </c>
      <c r="H14" s="103">
        <v>19</v>
      </c>
      <c r="I14" s="103">
        <v>10</v>
      </c>
      <c r="J14" s="103">
        <v>12</v>
      </c>
      <c r="K14" s="103">
        <v>9</v>
      </c>
      <c r="L14" s="103">
        <v>15</v>
      </c>
      <c r="M14" s="103">
        <v>16</v>
      </c>
      <c r="N14" s="103">
        <v>4</v>
      </c>
      <c r="O14" s="103">
        <v>9</v>
      </c>
      <c r="P14" s="104">
        <f>SUM(tblDépenses[[#This Row],[Jan.]:[Déc.]])</f>
        <v>133</v>
      </c>
      <c r="Q14" s="9">
        <v>0.09</v>
      </c>
      <c r="R14" s="54">
        <f>IFERROR(tblDépenses[[#This Row],[Jan.]]/tblDépenses[[#Totals],[Jan.]],"-")</f>
        <v>2.1186440677966101E-2</v>
      </c>
      <c r="S14" s="9">
        <f>IFERROR(tblDépenses[[#This Row],[Fév.]]/tblDépenses[[#Totals],[Fév.]],"-")</f>
        <v>6.3414634146341464E-2</v>
      </c>
      <c r="T14" s="9">
        <f>IFERROR(tblDépenses[[#This Row],[Mar.]]/tblDépenses[[#Totals],[Mar.]],"-")</f>
        <v>2.4096385542168676E-2</v>
      </c>
      <c r="U14" s="9">
        <f>IFERROR(tblDépenses[[#This Row],[Avr.]]/tblDépenses[[#Totals],[Avr.]],"-")</f>
        <v>5.7471264367816091E-2</v>
      </c>
      <c r="V14" s="9">
        <f>IFERROR(tblDépenses[[#This Row],[Mai]]/tblDépenses[[#Totals],[Mai]],"-")</f>
        <v>7.3929961089494164E-2</v>
      </c>
      <c r="W14" s="9">
        <f>IFERROR(tblDépenses[[#This Row],[Juin]]/tblDépenses[[#Totals],[Juin]],"-")</f>
        <v>3.6496350364963501E-2</v>
      </c>
      <c r="X14" s="9">
        <f>IFERROR(tblDépenses[[#This Row],[Juil.]]/tblDépenses[[#Totals],[Juil.]],"-")</f>
        <v>4.5112781954887216E-2</v>
      </c>
      <c r="Y14" s="9">
        <f>IFERROR(tblDépenses[[#This Row],[Août]]/tblDépenses[[#Totals],[Août]],"-")</f>
        <v>3.8297872340425532E-2</v>
      </c>
      <c r="Z14" s="9">
        <f>IFERROR(tblDépenses[[#This Row],[Sept.]]/tblDépenses[[#Totals],[Sept.]],"-")</f>
        <v>6.5217391304347824E-2</v>
      </c>
      <c r="AA14" s="9">
        <f>IFERROR(tblDépenses[[#This Row],[Oct.]]/tblDépenses[[#Totals],[Oct.]],"-")</f>
        <v>6.1776061776061778E-2</v>
      </c>
      <c r="AB14" s="9">
        <f>IFERROR(tblDépenses[[#This Row],[Nov.]]/tblDépenses[[#Totals],[Nov.]],"-")</f>
        <v>1.3513513513513514E-2</v>
      </c>
      <c r="AC14" s="9">
        <f>IFERROR(tblDépenses[[#This Row],[Déc.]]/tblDépenses[[#Totals],[Déc.]],"-")</f>
        <v>3.896103896103896E-2</v>
      </c>
      <c r="AD14" s="55">
        <f>IFERROR(tblDépenses[[#This Row],[Annuel]]/tblDépenses[[#Totals],[Annuel]],"-")</f>
        <v>4.4348116038679559E-2</v>
      </c>
    </row>
    <row r="15" spans="2:30" ht="30" customHeight="1" x14ac:dyDescent="0.2">
      <c r="B15" s="41" t="s">
        <v>62</v>
      </c>
      <c r="C15" t="s">
        <v>73</v>
      </c>
      <c r="D15" s="103">
        <v>8</v>
      </c>
      <c r="E15" s="103">
        <v>4</v>
      </c>
      <c r="F15" s="103">
        <v>23</v>
      </c>
      <c r="G15" s="103">
        <v>25</v>
      </c>
      <c r="H15" s="103">
        <v>10</v>
      </c>
      <c r="I15" s="103">
        <v>24</v>
      </c>
      <c r="J15" s="103">
        <v>22</v>
      </c>
      <c r="K15" s="103">
        <v>5</v>
      </c>
      <c r="L15" s="103">
        <v>12</v>
      </c>
      <c r="M15" s="103">
        <v>24</v>
      </c>
      <c r="N15" s="103">
        <v>24</v>
      </c>
      <c r="O15" s="103">
        <v>12</v>
      </c>
      <c r="P15" s="104">
        <f>SUM(tblDépenses[[#This Row],[Jan.]:[Déc.]])</f>
        <v>193</v>
      </c>
      <c r="Q15" s="9">
        <v>0.01</v>
      </c>
      <c r="R15" s="54">
        <f>IFERROR(tblDépenses[[#This Row],[Jan.]]/tblDépenses[[#Totals],[Jan.]],"-")</f>
        <v>3.3898305084745763E-2</v>
      </c>
      <c r="S15" s="9">
        <f>IFERROR(tblDépenses[[#This Row],[Fév.]]/tblDépenses[[#Totals],[Fév.]],"-")</f>
        <v>1.9512195121951219E-2</v>
      </c>
      <c r="T15" s="9">
        <f>IFERROR(tblDépenses[[#This Row],[Mar.]]/tblDépenses[[#Totals],[Mar.]],"-")</f>
        <v>9.2369477911646583E-2</v>
      </c>
      <c r="U15" s="9">
        <f>IFERROR(tblDépenses[[#This Row],[Avr.]]/tblDépenses[[#Totals],[Avr.]],"-")</f>
        <v>9.5785440613026823E-2</v>
      </c>
      <c r="V15" s="9">
        <f>IFERROR(tblDépenses[[#This Row],[Mai]]/tblDépenses[[#Totals],[Mai]],"-")</f>
        <v>3.8910505836575876E-2</v>
      </c>
      <c r="W15" s="9">
        <f>IFERROR(tblDépenses[[#This Row],[Juin]]/tblDépenses[[#Totals],[Juin]],"-")</f>
        <v>8.7591240875912413E-2</v>
      </c>
      <c r="X15" s="9">
        <f>IFERROR(tblDépenses[[#This Row],[Juil.]]/tblDépenses[[#Totals],[Juil.]],"-")</f>
        <v>8.2706766917293228E-2</v>
      </c>
      <c r="Y15" s="9">
        <f>IFERROR(tblDépenses[[#This Row],[Août]]/tblDépenses[[#Totals],[Août]],"-")</f>
        <v>2.1276595744680851E-2</v>
      </c>
      <c r="Z15" s="9">
        <f>IFERROR(tblDépenses[[#This Row],[Sept.]]/tblDépenses[[#Totals],[Sept.]],"-")</f>
        <v>5.2173913043478258E-2</v>
      </c>
      <c r="AA15" s="9">
        <f>IFERROR(tblDépenses[[#This Row],[Oct.]]/tblDépenses[[#Totals],[Oct.]],"-")</f>
        <v>9.2664092664092659E-2</v>
      </c>
      <c r="AB15" s="9">
        <f>IFERROR(tblDépenses[[#This Row],[Nov.]]/tblDépenses[[#Totals],[Nov.]],"-")</f>
        <v>8.1081081081081086E-2</v>
      </c>
      <c r="AC15" s="9">
        <f>IFERROR(tblDépenses[[#This Row],[Déc.]]/tblDépenses[[#Totals],[Déc.]],"-")</f>
        <v>5.1948051948051951E-2</v>
      </c>
      <c r="AD15" s="55">
        <f>IFERROR(tblDépenses[[#This Row],[Annuel]]/tblDépenses[[#Totals],[Annuel]],"-")</f>
        <v>6.4354784928309441E-2</v>
      </c>
    </row>
    <row r="16" spans="2:30" ht="30" customHeight="1" x14ac:dyDescent="0.2">
      <c r="B16" s="41" t="s">
        <v>63</v>
      </c>
      <c r="C16" t="s">
        <v>73</v>
      </c>
      <c r="D16" s="103">
        <v>25</v>
      </c>
      <c r="E16" s="103">
        <v>2</v>
      </c>
      <c r="F16" s="103">
        <v>12</v>
      </c>
      <c r="G16" s="103">
        <v>25</v>
      </c>
      <c r="H16" s="103">
        <v>10</v>
      </c>
      <c r="I16" s="103">
        <v>24</v>
      </c>
      <c r="J16" s="103">
        <v>3</v>
      </c>
      <c r="K16" s="103">
        <v>20</v>
      </c>
      <c r="L16" s="103">
        <v>3</v>
      </c>
      <c r="M16" s="103">
        <v>9</v>
      </c>
      <c r="N16" s="103">
        <v>20</v>
      </c>
      <c r="O16" s="103">
        <v>18</v>
      </c>
      <c r="P16" s="104">
        <f>SUM(tblDépenses[[#This Row],[Jan.]:[Déc.]])</f>
        <v>171</v>
      </c>
      <c r="Q16" s="9">
        <v>0.01</v>
      </c>
      <c r="R16" s="54">
        <f>IFERROR(tblDépenses[[#This Row],[Jan.]]/tblDépenses[[#Totals],[Jan.]],"-")</f>
        <v>0.1059322033898305</v>
      </c>
      <c r="S16" s="9">
        <f>IFERROR(tblDépenses[[#This Row],[Fév.]]/tblDépenses[[#Totals],[Fév.]],"-")</f>
        <v>9.7560975609756097E-3</v>
      </c>
      <c r="T16" s="9">
        <f>IFERROR(tblDépenses[[#This Row],[Mar.]]/tblDépenses[[#Totals],[Mar.]],"-")</f>
        <v>4.8192771084337352E-2</v>
      </c>
      <c r="U16" s="9">
        <f>IFERROR(tblDépenses[[#This Row],[Avr.]]/tblDépenses[[#Totals],[Avr.]],"-")</f>
        <v>9.5785440613026823E-2</v>
      </c>
      <c r="V16" s="9">
        <f>IFERROR(tblDépenses[[#This Row],[Mai]]/tblDépenses[[#Totals],[Mai]],"-")</f>
        <v>3.8910505836575876E-2</v>
      </c>
      <c r="W16" s="9">
        <f>IFERROR(tblDépenses[[#This Row],[Juin]]/tblDépenses[[#Totals],[Juin]],"-")</f>
        <v>8.7591240875912413E-2</v>
      </c>
      <c r="X16" s="9">
        <f>IFERROR(tblDépenses[[#This Row],[Juil.]]/tblDépenses[[#Totals],[Juil.]],"-")</f>
        <v>1.1278195488721804E-2</v>
      </c>
      <c r="Y16" s="9">
        <f>IFERROR(tblDépenses[[#This Row],[Août]]/tblDépenses[[#Totals],[Août]],"-")</f>
        <v>8.5106382978723402E-2</v>
      </c>
      <c r="Z16" s="9">
        <f>IFERROR(tblDépenses[[#This Row],[Sept.]]/tblDépenses[[#Totals],[Sept.]],"-")</f>
        <v>1.3043478260869565E-2</v>
      </c>
      <c r="AA16" s="9">
        <f>IFERROR(tblDépenses[[#This Row],[Oct.]]/tblDépenses[[#Totals],[Oct.]],"-")</f>
        <v>3.4749034749034749E-2</v>
      </c>
      <c r="AB16" s="9">
        <f>IFERROR(tblDépenses[[#This Row],[Nov.]]/tblDépenses[[#Totals],[Nov.]],"-")</f>
        <v>6.7567567567567571E-2</v>
      </c>
      <c r="AC16" s="9">
        <f>IFERROR(tblDépenses[[#This Row],[Déc.]]/tblDépenses[[#Totals],[Déc.]],"-")</f>
        <v>7.792207792207792E-2</v>
      </c>
      <c r="AD16" s="55">
        <f>IFERROR(tblDépenses[[#This Row],[Annuel]]/tblDépenses[[#Totals],[Annuel]],"-")</f>
        <v>5.7019006335445148E-2</v>
      </c>
    </row>
    <row r="17" spans="2:30" ht="30" customHeight="1" x14ac:dyDescent="0.2">
      <c r="B17" s="41" t="s">
        <v>64</v>
      </c>
      <c r="C17" t="s">
        <v>73</v>
      </c>
      <c r="D17" s="103">
        <v>16</v>
      </c>
      <c r="E17" s="103">
        <v>19</v>
      </c>
      <c r="F17" s="103">
        <v>9</v>
      </c>
      <c r="G17" s="103">
        <v>16</v>
      </c>
      <c r="H17" s="103">
        <v>13</v>
      </c>
      <c r="I17" s="103">
        <v>2</v>
      </c>
      <c r="J17" s="103">
        <v>4</v>
      </c>
      <c r="K17" s="103">
        <v>24</v>
      </c>
      <c r="L17" s="103">
        <v>16</v>
      </c>
      <c r="M17" s="103">
        <v>22</v>
      </c>
      <c r="N17" s="103">
        <v>7</v>
      </c>
      <c r="O17" s="103">
        <v>18</v>
      </c>
      <c r="P17" s="104">
        <f>SUM(tblDépenses[[#This Row],[Jan.]:[Déc.]])</f>
        <v>166</v>
      </c>
      <c r="Q17" s="9">
        <v>0.01</v>
      </c>
      <c r="R17" s="54">
        <f>IFERROR(tblDépenses[[#This Row],[Jan.]]/tblDépenses[[#Totals],[Jan.]],"-")</f>
        <v>6.7796610169491525E-2</v>
      </c>
      <c r="S17" s="9">
        <f>IFERROR(tblDépenses[[#This Row],[Fév.]]/tblDépenses[[#Totals],[Fév.]],"-")</f>
        <v>9.2682926829268292E-2</v>
      </c>
      <c r="T17" s="9">
        <f>IFERROR(tblDépenses[[#This Row],[Mar.]]/tblDépenses[[#Totals],[Mar.]],"-")</f>
        <v>3.614457831325301E-2</v>
      </c>
      <c r="U17" s="9">
        <f>IFERROR(tblDépenses[[#This Row],[Avr.]]/tblDépenses[[#Totals],[Avr.]],"-")</f>
        <v>6.1302681992337162E-2</v>
      </c>
      <c r="V17" s="9">
        <f>IFERROR(tblDépenses[[#This Row],[Mai]]/tblDépenses[[#Totals],[Mai]],"-")</f>
        <v>5.0583657587548639E-2</v>
      </c>
      <c r="W17" s="9">
        <f>IFERROR(tblDépenses[[#This Row],[Juin]]/tblDépenses[[#Totals],[Juin]],"-")</f>
        <v>7.2992700729927005E-3</v>
      </c>
      <c r="X17" s="9">
        <f>IFERROR(tblDépenses[[#This Row],[Juil.]]/tblDépenses[[#Totals],[Juil.]],"-")</f>
        <v>1.5037593984962405E-2</v>
      </c>
      <c r="Y17" s="9">
        <f>IFERROR(tblDépenses[[#This Row],[Août]]/tblDépenses[[#Totals],[Août]],"-")</f>
        <v>0.10212765957446808</v>
      </c>
      <c r="Z17" s="9">
        <f>IFERROR(tblDépenses[[#This Row],[Sept.]]/tblDépenses[[#Totals],[Sept.]],"-")</f>
        <v>6.9565217391304349E-2</v>
      </c>
      <c r="AA17" s="9">
        <f>IFERROR(tblDépenses[[#This Row],[Oct.]]/tblDépenses[[#Totals],[Oct.]],"-")</f>
        <v>8.4942084942084939E-2</v>
      </c>
      <c r="AB17" s="9">
        <f>IFERROR(tblDépenses[[#This Row],[Nov.]]/tblDépenses[[#Totals],[Nov.]],"-")</f>
        <v>2.364864864864865E-2</v>
      </c>
      <c r="AC17" s="9">
        <f>IFERROR(tblDépenses[[#This Row],[Déc.]]/tblDépenses[[#Totals],[Déc.]],"-")</f>
        <v>7.792207792207792E-2</v>
      </c>
      <c r="AD17" s="55">
        <f>IFERROR(tblDépenses[[#This Row],[Annuel]]/tblDépenses[[#Totals],[Annuel]],"-")</f>
        <v>5.5351783927975989E-2</v>
      </c>
    </row>
    <row r="18" spans="2:30" ht="30" customHeight="1" x14ac:dyDescent="0.2">
      <c r="B18" s="41" t="s">
        <v>65</v>
      </c>
      <c r="C18" t="s">
        <v>73</v>
      </c>
      <c r="D18" s="103">
        <v>12</v>
      </c>
      <c r="E18" s="103">
        <v>9</v>
      </c>
      <c r="F18" s="103">
        <v>16</v>
      </c>
      <c r="G18" s="103">
        <v>19</v>
      </c>
      <c r="H18" s="103">
        <v>25</v>
      </c>
      <c r="I18" s="103">
        <v>17</v>
      </c>
      <c r="J18" s="103">
        <v>20</v>
      </c>
      <c r="K18" s="103">
        <v>14</v>
      </c>
      <c r="L18" s="103">
        <v>5</v>
      </c>
      <c r="M18" s="103">
        <v>14</v>
      </c>
      <c r="N18" s="103">
        <v>5</v>
      </c>
      <c r="O18" s="103">
        <v>2</v>
      </c>
      <c r="P18" s="104">
        <f>SUM(tblDépenses[[#This Row],[Jan.]:[Déc.]])</f>
        <v>158</v>
      </c>
      <c r="Q18" s="9">
        <v>0.01</v>
      </c>
      <c r="R18" s="54">
        <f>IFERROR(tblDépenses[[#This Row],[Jan.]]/tblDépenses[[#Totals],[Jan.]],"-")</f>
        <v>5.0847457627118647E-2</v>
      </c>
      <c r="S18" s="9">
        <f>IFERROR(tblDépenses[[#This Row],[Fév.]]/tblDépenses[[#Totals],[Fév.]],"-")</f>
        <v>4.3902439024390241E-2</v>
      </c>
      <c r="T18" s="9">
        <f>IFERROR(tblDépenses[[#This Row],[Mar.]]/tblDépenses[[#Totals],[Mar.]],"-")</f>
        <v>6.4257028112449793E-2</v>
      </c>
      <c r="U18" s="9">
        <f>IFERROR(tblDépenses[[#This Row],[Avr.]]/tblDépenses[[#Totals],[Avr.]],"-")</f>
        <v>7.2796934865900387E-2</v>
      </c>
      <c r="V18" s="9">
        <f>IFERROR(tblDépenses[[#This Row],[Mai]]/tblDépenses[[#Totals],[Mai]],"-")</f>
        <v>9.727626459143969E-2</v>
      </c>
      <c r="W18" s="9">
        <f>IFERROR(tblDépenses[[#This Row],[Juin]]/tblDépenses[[#Totals],[Juin]],"-")</f>
        <v>6.2043795620437957E-2</v>
      </c>
      <c r="X18" s="9">
        <f>IFERROR(tblDépenses[[#This Row],[Juil.]]/tblDépenses[[#Totals],[Juil.]],"-")</f>
        <v>7.5187969924812026E-2</v>
      </c>
      <c r="Y18" s="9">
        <f>IFERROR(tblDépenses[[#This Row],[Août]]/tblDépenses[[#Totals],[Août]],"-")</f>
        <v>5.9574468085106386E-2</v>
      </c>
      <c r="Z18" s="9">
        <f>IFERROR(tblDépenses[[#This Row],[Sept.]]/tblDépenses[[#Totals],[Sept.]],"-")</f>
        <v>2.1739130434782608E-2</v>
      </c>
      <c r="AA18" s="9">
        <f>IFERROR(tblDépenses[[#This Row],[Oct.]]/tblDépenses[[#Totals],[Oct.]],"-")</f>
        <v>5.4054054054054057E-2</v>
      </c>
      <c r="AB18" s="9">
        <f>IFERROR(tblDépenses[[#This Row],[Nov.]]/tblDépenses[[#Totals],[Nov.]],"-")</f>
        <v>1.6891891891891893E-2</v>
      </c>
      <c r="AC18" s="9">
        <f>IFERROR(tblDépenses[[#This Row],[Déc.]]/tblDépenses[[#Totals],[Déc.]],"-")</f>
        <v>8.658008658008658E-3</v>
      </c>
      <c r="AD18" s="55">
        <f>IFERROR(tblDépenses[[#This Row],[Annuel]]/tblDépenses[[#Totals],[Annuel]],"-")</f>
        <v>5.2684228076025338E-2</v>
      </c>
    </row>
    <row r="19" spans="2:30" ht="30" customHeight="1" x14ac:dyDescent="0.2">
      <c r="B19" s="41" t="s">
        <v>66</v>
      </c>
      <c r="C19" t="s">
        <v>73</v>
      </c>
      <c r="D19" s="103">
        <v>16</v>
      </c>
      <c r="E19" s="103">
        <v>13</v>
      </c>
      <c r="F19" s="103">
        <v>10</v>
      </c>
      <c r="G19" s="103">
        <v>7</v>
      </c>
      <c r="H19" s="103">
        <v>13</v>
      </c>
      <c r="I19" s="103">
        <v>3</v>
      </c>
      <c r="J19" s="103">
        <v>13</v>
      </c>
      <c r="K19" s="103">
        <v>17</v>
      </c>
      <c r="L19" s="103">
        <v>9</v>
      </c>
      <c r="M19" s="103">
        <v>4</v>
      </c>
      <c r="N19" s="103">
        <v>22</v>
      </c>
      <c r="O19" s="103">
        <v>18</v>
      </c>
      <c r="P19" s="104">
        <f>SUM(tblDépenses[[#This Row],[Jan.]:[Déc.]])</f>
        <v>145</v>
      </c>
      <c r="Q19" s="9">
        <v>0.14000000000000001</v>
      </c>
      <c r="R19" s="54">
        <f>IFERROR(tblDépenses[[#This Row],[Jan.]]/tblDépenses[[#Totals],[Jan.]],"-")</f>
        <v>6.7796610169491525E-2</v>
      </c>
      <c r="S19" s="9">
        <f>IFERROR(tblDépenses[[#This Row],[Fév.]]/tblDépenses[[#Totals],[Fév.]],"-")</f>
        <v>6.3414634146341464E-2</v>
      </c>
      <c r="T19" s="9">
        <f>IFERROR(tblDépenses[[#This Row],[Mar.]]/tblDépenses[[#Totals],[Mar.]],"-")</f>
        <v>4.0160642570281124E-2</v>
      </c>
      <c r="U19" s="9">
        <f>IFERROR(tblDépenses[[#This Row],[Avr.]]/tblDépenses[[#Totals],[Avr.]],"-")</f>
        <v>2.681992337164751E-2</v>
      </c>
      <c r="V19" s="9">
        <f>IFERROR(tblDépenses[[#This Row],[Mai]]/tblDépenses[[#Totals],[Mai]],"-")</f>
        <v>5.0583657587548639E-2</v>
      </c>
      <c r="W19" s="9">
        <f>IFERROR(tblDépenses[[#This Row],[Juin]]/tblDépenses[[#Totals],[Juin]],"-")</f>
        <v>1.0948905109489052E-2</v>
      </c>
      <c r="X19" s="9">
        <f>IFERROR(tblDépenses[[#This Row],[Juil.]]/tblDépenses[[#Totals],[Juil.]],"-")</f>
        <v>4.8872180451127817E-2</v>
      </c>
      <c r="Y19" s="9">
        <f>IFERROR(tblDépenses[[#This Row],[Août]]/tblDépenses[[#Totals],[Août]],"-")</f>
        <v>7.2340425531914887E-2</v>
      </c>
      <c r="Z19" s="9">
        <f>IFERROR(tblDépenses[[#This Row],[Sept.]]/tblDépenses[[#Totals],[Sept.]],"-")</f>
        <v>3.9130434782608699E-2</v>
      </c>
      <c r="AA19" s="9">
        <f>IFERROR(tblDépenses[[#This Row],[Oct.]]/tblDépenses[[#Totals],[Oct.]],"-")</f>
        <v>1.5444015444015444E-2</v>
      </c>
      <c r="AB19" s="9">
        <f>IFERROR(tblDépenses[[#This Row],[Nov.]]/tblDépenses[[#Totals],[Nov.]],"-")</f>
        <v>7.4324324324324328E-2</v>
      </c>
      <c r="AC19" s="9">
        <f>IFERROR(tblDépenses[[#This Row],[Déc.]]/tblDépenses[[#Totals],[Déc.]],"-")</f>
        <v>7.792207792207792E-2</v>
      </c>
      <c r="AD19" s="55">
        <f>IFERROR(tblDépenses[[#This Row],[Annuel]]/tblDépenses[[#Totals],[Annuel]],"-")</f>
        <v>4.8349449816605536E-2</v>
      </c>
    </row>
    <row r="20" spans="2:30" ht="30" customHeight="1" x14ac:dyDescent="0.2">
      <c r="B20" s="41" t="s">
        <v>67</v>
      </c>
      <c r="C20" t="s">
        <v>73</v>
      </c>
      <c r="D20" s="103">
        <v>3</v>
      </c>
      <c r="E20" s="103">
        <v>2</v>
      </c>
      <c r="F20" s="103">
        <v>19</v>
      </c>
      <c r="G20" s="103">
        <v>21</v>
      </c>
      <c r="H20" s="103">
        <v>13</v>
      </c>
      <c r="I20" s="103">
        <v>9</v>
      </c>
      <c r="J20" s="103">
        <v>7</v>
      </c>
      <c r="K20" s="103">
        <v>13</v>
      </c>
      <c r="L20" s="103">
        <v>3</v>
      </c>
      <c r="M20" s="103">
        <v>6</v>
      </c>
      <c r="N20" s="103">
        <v>10</v>
      </c>
      <c r="O20" s="103">
        <v>13</v>
      </c>
      <c r="P20" s="104">
        <f>SUM(tblDépenses[[#This Row],[Jan.]:[Déc.]])</f>
        <v>119</v>
      </c>
      <c r="Q20" s="9">
        <v>0.06</v>
      </c>
      <c r="R20" s="54">
        <f>IFERROR(tblDépenses[[#This Row],[Jan.]]/tblDépenses[[#Totals],[Jan.]],"-")</f>
        <v>1.2711864406779662E-2</v>
      </c>
      <c r="S20" s="9">
        <f>IFERROR(tblDépenses[[#This Row],[Fév.]]/tblDépenses[[#Totals],[Fév.]],"-")</f>
        <v>9.7560975609756097E-3</v>
      </c>
      <c r="T20" s="9">
        <f>IFERROR(tblDépenses[[#This Row],[Mar.]]/tblDépenses[[#Totals],[Mar.]],"-")</f>
        <v>7.6305220883534142E-2</v>
      </c>
      <c r="U20" s="9">
        <f>IFERROR(tblDépenses[[#This Row],[Avr.]]/tblDépenses[[#Totals],[Avr.]],"-")</f>
        <v>8.0459770114942528E-2</v>
      </c>
      <c r="V20" s="9">
        <f>IFERROR(tblDépenses[[#This Row],[Mai]]/tblDépenses[[#Totals],[Mai]],"-")</f>
        <v>5.0583657587548639E-2</v>
      </c>
      <c r="W20" s="9">
        <f>IFERROR(tblDépenses[[#This Row],[Juin]]/tblDépenses[[#Totals],[Juin]],"-")</f>
        <v>3.2846715328467155E-2</v>
      </c>
      <c r="X20" s="9">
        <f>IFERROR(tblDépenses[[#This Row],[Juil.]]/tblDépenses[[#Totals],[Juil.]],"-")</f>
        <v>2.6315789473684209E-2</v>
      </c>
      <c r="Y20" s="9">
        <f>IFERROR(tblDépenses[[#This Row],[Août]]/tblDépenses[[#Totals],[Août]],"-")</f>
        <v>5.5319148936170209E-2</v>
      </c>
      <c r="Z20" s="9">
        <f>IFERROR(tblDépenses[[#This Row],[Sept.]]/tblDépenses[[#Totals],[Sept.]],"-")</f>
        <v>1.3043478260869565E-2</v>
      </c>
      <c r="AA20" s="9">
        <f>IFERROR(tblDépenses[[#This Row],[Oct.]]/tblDépenses[[#Totals],[Oct.]],"-")</f>
        <v>2.3166023166023165E-2</v>
      </c>
      <c r="AB20" s="9">
        <f>IFERROR(tblDépenses[[#This Row],[Nov.]]/tblDépenses[[#Totals],[Nov.]],"-")</f>
        <v>3.3783783783783786E-2</v>
      </c>
      <c r="AC20" s="9">
        <f>IFERROR(tblDépenses[[#This Row],[Déc.]]/tblDépenses[[#Totals],[Déc.]],"-")</f>
        <v>5.627705627705628E-2</v>
      </c>
      <c r="AD20" s="55">
        <f>IFERROR(tblDépenses[[#This Row],[Annuel]]/tblDépenses[[#Totals],[Annuel]],"-")</f>
        <v>3.9679893297765924E-2</v>
      </c>
    </row>
    <row r="21" spans="2:30" ht="30" customHeight="1" x14ac:dyDescent="0.2">
      <c r="B21" s="41" t="s">
        <v>68</v>
      </c>
      <c r="C21" t="s">
        <v>73</v>
      </c>
      <c r="D21" s="103">
        <v>8</v>
      </c>
      <c r="E21" s="103">
        <v>7</v>
      </c>
      <c r="F21" s="103">
        <v>6</v>
      </c>
      <c r="G21" s="103">
        <v>7</v>
      </c>
      <c r="H21" s="103">
        <v>7</v>
      </c>
      <c r="I21" s="103">
        <v>6</v>
      </c>
      <c r="J21" s="103">
        <v>15</v>
      </c>
      <c r="K21" s="103">
        <v>23</v>
      </c>
      <c r="L21" s="103">
        <v>21</v>
      </c>
      <c r="M21" s="103">
        <v>16</v>
      </c>
      <c r="N21" s="103">
        <v>19</v>
      </c>
      <c r="O21" s="103">
        <v>7</v>
      </c>
      <c r="P21" s="104">
        <f>SUM(tblDépenses[[#This Row],[Jan.]:[Déc.]])</f>
        <v>142</v>
      </c>
      <c r="Q21" s="9">
        <v>0.01</v>
      </c>
      <c r="R21" s="54">
        <f>IFERROR(tblDépenses[[#This Row],[Jan.]]/tblDépenses[[#Totals],[Jan.]],"-")</f>
        <v>3.3898305084745763E-2</v>
      </c>
      <c r="S21" s="9">
        <f>IFERROR(tblDépenses[[#This Row],[Fév.]]/tblDépenses[[#Totals],[Fév.]],"-")</f>
        <v>3.4146341463414637E-2</v>
      </c>
      <c r="T21" s="9">
        <f>IFERROR(tblDépenses[[#This Row],[Mar.]]/tblDépenses[[#Totals],[Mar.]],"-")</f>
        <v>2.4096385542168676E-2</v>
      </c>
      <c r="U21" s="9">
        <f>IFERROR(tblDépenses[[#This Row],[Avr.]]/tblDépenses[[#Totals],[Avr.]],"-")</f>
        <v>2.681992337164751E-2</v>
      </c>
      <c r="V21" s="9">
        <f>IFERROR(tblDépenses[[#This Row],[Mai]]/tblDépenses[[#Totals],[Mai]],"-")</f>
        <v>2.7237354085603113E-2</v>
      </c>
      <c r="W21" s="9">
        <f>IFERROR(tblDépenses[[#This Row],[Juin]]/tblDépenses[[#Totals],[Juin]],"-")</f>
        <v>2.1897810218978103E-2</v>
      </c>
      <c r="X21" s="9">
        <f>IFERROR(tblDépenses[[#This Row],[Juil.]]/tblDépenses[[#Totals],[Juil.]],"-")</f>
        <v>5.6390977443609019E-2</v>
      </c>
      <c r="Y21" s="9">
        <f>IFERROR(tblDépenses[[#This Row],[Août]]/tblDépenses[[#Totals],[Août]],"-")</f>
        <v>9.7872340425531917E-2</v>
      </c>
      <c r="Z21" s="9">
        <f>IFERROR(tblDépenses[[#This Row],[Sept.]]/tblDépenses[[#Totals],[Sept.]],"-")</f>
        <v>9.1304347826086957E-2</v>
      </c>
      <c r="AA21" s="9">
        <f>IFERROR(tblDépenses[[#This Row],[Oct.]]/tblDépenses[[#Totals],[Oct.]],"-")</f>
        <v>6.1776061776061778E-2</v>
      </c>
      <c r="AB21" s="9">
        <f>IFERROR(tblDépenses[[#This Row],[Nov.]]/tblDépenses[[#Totals],[Nov.]],"-")</f>
        <v>6.4189189189189186E-2</v>
      </c>
      <c r="AC21" s="9">
        <f>IFERROR(tblDépenses[[#This Row],[Déc.]]/tblDépenses[[#Totals],[Déc.]],"-")</f>
        <v>3.0303030303030304E-2</v>
      </c>
      <c r="AD21" s="55">
        <f>IFERROR(tblDépenses[[#This Row],[Annuel]]/tblDépenses[[#Totals],[Annuel]],"-")</f>
        <v>4.7349116372124044E-2</v>
      </c>
    </row>
    <row r="22" spans="2:30" ht="30" customHeight="1" x14ac:dyDescent="0.2">
      <c r="B22" s="41" t="s">
        <v>69</v>
      </c>
      <c r="C22" t="s">
        <v>73</v>
      </c>
      <c r="D22" s="103">
        <v>14</v>
      </c>
      <c r="E22" s="103">
        <v>4</v>
      </c>
      <c r="F22" s="103">
        <v>24</v>
      </c>
      <c r="G22" s="103">
        <v>6</v>
      </c>
      <c r="H22" s="103">
        <v>20</v>
      </c>
      <c r="I22" s="103">
        <v>14</v>
      </c>
      <c r="J22" s="103">
        <v>21</v>
      </c>
      <c r="K22" s="103">
        <v>20</v>
      </c>
      <c r="L22" s="103">
        <v>22</v>
      </c>
      <c r="M22" s="103">
        <v>3</v>
      </c>
      <c r="N22" s="103">
        <v>14</v>
      </c>
      <c r="O22" s="103">
        <v>6</v>
      </c>
      <c r="P22" s="104">
        <f>SUM(tblDépenses[[#This Row],[Jan.]:[Déc.]])</f>
        <v>168</v>
      </c>
      <c r="Q22" s="9">
        <v>0.01</v>
      </c>
      <c r="R22" s="54">
        <f>IFERROR(tblDépenses[[#This Row],[Jan.]]/tblDépenses[[#Totals],[Jan.]],"-")</f>
        <v>5.9322033898305086E-2</v>
      </c>
      <c r="S22" s="9">
        <f>IFERROR(tblDépenses[[#This Row],[Fév.]]/tblDépenses[[#Totals],[Fév.]],"-")</f>
        <v>1.9512195121951219E-2</v>
      </c>
      <c r="T22" s="9">
        <f>IFERROR(tblDépenses[[#This Row],[Mar.]]/tblDépenses[[#Totals],[Mar.]],"-")</f>
        <v>9.6385542168674704E-2</v>
      </c>
      <c r="U22" s="9">
        <f>IFERROR(tblDépenses[[#This Row],[Avr.]]/tblDépenses[[#Totals],[Avr.]],"-")</f>
        <v>2.2988505747126436E-2</v>
      </c>
      <c r="V22" s="9">
        <f>IFERROR(tblDépenses[[#This Row],[Mai]]/tblDépenses[[#Totals],[Mai]],"-")</f>
        <v>7.7821011673151752E-2</v>
      </c>
      <c r="W22" s="9">
        <f>IFERROR(tblDépenses[[#This Row],[Juin]]/tblDépenses[[#Totals],[Juin]],"-")</f>
        <v>5.1094890510948905E-2</v>
      </c>
      <c r="X22" s="9">
        <f>IFERROR(tblDépenses[[#This Row],[Juil.]]/tblDépenses[[#Totals],[Juil.]],"-")</f>
        <v>7.8947368421052627E-2</v>
      </c>
      <c r="Y22" s="9">
        <f>IFERROR(tblDépenses[[#This Row],[Août]]/tblDépenses[[#Totals],[Août]],"-")</f>
        <v>8.5106382978723402E-2</v>
      </c>
      <c r="Z22" s="9">
        <f>IFERROR(tblDépenses[[#This Row],[Sept.]]/tblDépenses[[#Totals],[Sept.]],"-")</f>
        <v>9.5652173913043481E-2</v>
      </c>
      <c r="AA22" s="9">
        <f>IFERROR(tblDépenses[[#This Row],[Oct.]]/tblDépenses[[#Totals],[Oct.]],"-")</f>
        <v>1.1583011583011582E-2</v>
      </c>
      <c r="AB22" s="9">
        <f>IFERROR(tblDépenses[[#This Row],[Nov.]]/tblDépenses[[#Totals],[Nov.]],"-")</f>
        <v>4.72972972972973E-2</v>
      </c>
      <c r="AC22" s="9">
        <f>IFERROR(tblDépenses[[#This Row],[Déc.]]/tblDépenses[[#Totals],[Déc.]],"-")</f>
        <v>2.5974025974025976E-2</v>
      </c>
      <c r="AD22" s="55">
        <f>IFERROR(tblDépenses[[#This Row],[Annuel]]/tblDépenses[[#Totals],[Annuel]],"-")</f>
        <v>5.6018672890963656E-2</v>
      </c>
    </row>
    <row r="23" spans="2:30" ht="30" customHeight="1" x14ac:dyDescent="0.2">
      <c r="B23" s="41" t="s">
        <v>69</v>
      </c>
      <c r="C23" t="s">
        <v>73</v>
      </c>
      <c r="D23" s="103">
        <v>14</v>
      </c>
      <c r="E23" s="103">
        <v>7</v>
      </c>
      <c r="F23" s="103">
        <v>24</v>
      </c>
      <c r="G23" s="103">
        <v>10</v>
      </c>
      <c r="H23" s="103">
        <v>7</v>
      </c>
      <c r="I23" s="103">
        <v>24</v>
      </c>
      <c r="J23" s="103">
        <v>2</v>
      </c>
      <c r="K23" s="103">
        <v>11</v>
      </c>
      <c r="L23" s="103">
        <v>21</v>
      </c>
      <c r="M23" s="103">
        <v>19</v>
      </c>
      <c r="N23" s="103">
        <v>19</v>
      </c>
      <c r="O23" s="103">
        <v>20</v>
      </c>
      <c r="P23" s="104">
        <f>SUM(tblDépenses[[#This Row],[Jan.]:[Déc.]])</f>
        <v>178</v>
      </c>
      <c r="Q23" s="9">
        <v>0.01</v>
      </c>
      <c r="R23" s="54">
        <f>IFERROR(tblDépenses[[#This Row],[Jan.]]/tblDépenses[[#Totals],[Jan.]],"-")</f>
        <v>5.9322033898305086E-2</v>
      </c>
      <c r="S23" s="9">
        <f>IFERROR(tblDépenses[[#This Row],[Fév.]]/tblDépenses[[#Totals],[Fév.]],"-")</f>
        <v>3.4146341463414637E-2</v>
      </c>
      <c r="T23" s="9">
        <f>IFERROR(tblDépenses[[#This Row],[Mar.]]/tblDépenses[[#Totals],[Mar.]],"-")</f>
        <v>9.6385542168674704E-2</v>
      </c>
      <c r="U23" s="9">
        <f>IFERROR(tblDépenses[[#This Row],[Avr.]]/tblDépenses[[#Totals],[Avr.]],"-")</f>
        <v>3.8314176245210725E-2</v>
      </c>
      <c r="V23" s="9">
        <f>IFERROR(tblDépenses[[#This Row],[Mai]]/tblDépenses[[#Totals],[Mai]],"-")</f>
        <v>2.7237354085603113E-2</v>
      </c>
      <c r="W23" s="9">
        <f>IFERROR(tblDépenses[[#This Row],[Juin]]/tblDépenses[[#Totals],[Juin]],"-")</f>
        <v>8.7591240875912413E-2</v>
      </c>
      <c r="X23" s="9">
        <f>IFERROR(tblDépenses[[#This Row],[Juil.]]/tblDépenses[[#Totals],[Juil.]],"-")</f>
        <v>7.5187969924812026E-3</v>
      </c>
      <c r="Y23" s="9">
        <f>IFERROR(tblDépenses[[#This Row],[Août]]/tblDépenses[[#Totals],[Août]],"-")</f>
        <v>4.6808510638297871E-2</v>
      </c>
      <c r="Z23" s="9">
        <f>IFERROR(tblDépenses[[#This Row],[Sept.]]/tblDépenses[[#Totals],[Sept.]],"-")</f>
        <v>9.1304347826086957E-2</v>
      </c>
      <c r="AA23" s="9">
        <f>IFERROR(tblDépenses[[#This Row],[Oct.]]/tblDépenses[[#Totals],[Oct.]],"-")</f>
        <v>7.3359073359073365E-2</v>
      </c>
      <c r="AB23" s="9">
        <f>IFERROR(tblDépenses[[#This Row],[Nov.]]/tblDépenses[[#Totals],[Nov.]],"-")</f>
        <v>6.4189189189189186E-2</v>
      </c>
      <c r="AC23" s="9">
        <f>IFERROR(tblDépenses[[#This Row],[Déc.]]/tblDépenses[[#Totals],[Déc.]],"-")</f>
        <v>8.6580086580086577E-2</v>
      </c>
      <c r="AD23" s="55">
        <f>IFERROR(tblDépenses[[#This Row],[Annuel]]/tblDépenses[[#Totals],[Annuel]],"-")</f>
        <v>5.9353117705901966E-2</v>
      </c>
    </row>
    <row r="24" spans="2:30" ht="30" customHeight="1" x14ac:dyDescent="0.2">
      <c r="B24" s="41" t="s">
        <v>69</v>
      </c>
      <c r="C24" t="s">
        <v>73</v>
      </c>
      <c r="D24" s="103">
        <v>11</v>
      </c>
      <c r="E24" s="103">
        <v>8</v>
      </c>
      <c r="F24" s="103">
        <v>25</v>
      </c>
      <c r="G24" s="103">
        <v>11</v>
      </c>
      <c r="H24" s="103">
        <v>9</v>
      </c>
      <c r="I24" s="103">
        <v>24</v>
      </c>
      <c r="J24" s="103">
        <v>13</v>
      </c>
      <c r="K24" s="103">
        <v>14</v>
      </c>
      <c r="L24" s="103">
        <v>19</v>
      </c>
      <c r="M24" s="103">
        <v>24</v>
      </c>
      <c r="N24" s="103">
        <v>15</v>
      </c>
      <c r="O24" s="103">
        <v>7</v>
      </c>
      <c r="P24" s="104">
        <f>SUM(tblDépenses[[#This Row],[Jan.]:[Déc.]])</f>
        <v>180</v>
      </c>
      <c r="Q24" s="9">
        <v>0.01</v>
      </c>
      <c r="R24" s="54">
        <f>IFERROR(tblDépenses[[#This Row],[Jan.]]/tblDépenses[[#Totals],[Jan.]],"-")</f>
        <v>4.6610169491525424E-2</v>
      </c>
      <c r="S24" s="9">
        <f>IFERROR(tblDépenses[[#This Row],[Fév.]]/tblDépenses[[#Totals],[Fév.]],"-")</f>
        <v>3.9024390243902439E-2</v>
      </c>
      <c r="T24" s="9">
        <f>IFERROR(tblDépenses[[#This Row],[Mar.]]/tblDépenses[[#Totals],[Mar.]],"-")</f>
        <v>0.10040160642570281</v>
      </c>
      <c r="U24" s="9">
        <f>IFERROR(tblDépenses[[#This Row],[Avr.]]/tblDépenses[[#Totals],[Avr.]],"-")</f>
        <v>4.2145593869731802E-2</v>
      </c>
      <c r="V24" s="9">
        <f>IFERROR(tblDépenses[[#This Row],[Mai]]/tblDépenses[[#Totals],[Mai]],"-")</f>
        <v>3.5019455252918288E-2</v>
      </c>
      <c r="W24" s="9">
        <f>IFERROR(tblDépenses[[#This Row],[Juin]]/tblDépenses[[#Totals],[Juin]],"-")</f>
        <v>8.7591240875912413E-2</v>
      </c>
      <c r="X24" s="9">
        <f>IFERROR(tblDépenses[[#This Row],[Juil.]]/tblDépenses[[#Totals],[Juil.]],"-")</f>
        <v>4.8872180451127817E-2</v>
      </c>
      <c r="Y24" s="9">
        <f>IFERROR(tblDépenses[[#This Row],[Août]]/tblDépenses[[#Totals],[Août]],"-")</f>
        <v>5.9574468085106386E-2</v>
      </c>
      <c r="Z24" s="9">
        <f>IFERROR(tblDépenses[[#This Row],[Sept.]]/tblDépenses[[#Totals],[Sept.]],"-")</f>
        <v>8.2608695652173908E-2</v>
      </c>
      <c r="AA24" s="9">
        <f>IFERROR(tblDépenses[[#This Row],[Oct.]]/tblDépenses[[#Totals],[Oct.]],"-")</f>
        <v>9.2664092664092659E-2</v>
      </c>
      <c r="AB24" s="9">
        <f>IFERROR(tblDépenses[[#This Row],[Nov.]]/tblDépenses[[#Totals],[Nov.]],"-")</f>
        <v>5.0675675675675678E-2</v>
      </c>
      <c r="AC24" s="9">
        <f>IFERROR(tblDépenses[[#This Row],[Déc.]]/tblDépenses[[#Totals],[Déc.]],"-")</f>
        <v>3.0303030303030304E-2</v>
      </c>
      <c r="AD24" s="55">
        <f>IFERROR(tblDépenses[[#This Row],[Annuel]]/tblDépenses[[#Totals],[Annuel]],"-")</f>
        <v>6.0020006668889632E-2</v>
      </c>
    </row>
    <row r="25" spans="2:30" ht="30" customHeight="1" x14ac:dyDescent="0.2">
      <c r="B25" s="41" t="s">
        <v>70</v>
      </c>
      <c r="C25" t="s">
        <v>73</v>
      </c>
      <c r="D25" s="103">
        <v>8</v>
      </c>
      <c r="E25" s="103">
        <v>20</v>
      </c>
      <c r="F25" s="103">
        <v>11</v>
      </c>
      <c r="G25" s="103">
        <v>11</v>
      </c>
      <c r="H25" s="103">
        <v>11</v>
      </c>
      <c r="I25" s="103">
        <v>20</v>
      </c>
      <c r="J25" s="103">
        <v>12</v>
      </c>
      <c r="K25" s="103">
        <v>16</v>
      </c>
      <c r="L25" s="103">
        <v>5</v>
      </c>
      <c r="M25" s="103">
        <v>7</v>
      </c>
      <c r="N25" s="103">
        <v>21</v>
      </c>
      <c r="O25" s="103">
        <v>3</v>
      </c>
      <c r="P25" s="104">
        <f>SUM(tblDépenses[[#This Row],[Jan.]:[Déc.]])</f>
        <v>145</v>
      </c>
      <c r="Q25" s="9">
        <v>0.02</v>
      </c>
      <c r="R25" s="54">
        <f>IFERROR(tblDépenses[[#This Row],[Jan.]]/tblDépenses[[#Totals],[Jan.]],"-")</f>
        <v>3.3898305084745763E-2</v>
      </c>
      <c r="S25" s="9">
        <f>IFERROR(tblDépenses[[#This Row],[Fév.]]/tblDépenses[[#Totals],[Fév.]],"-")</f>
        <v>9.7560975609756101E-2</v>
      </c>
      <c r="T25" s="9">
        <f>IFERROR(tblDépenses[[#This Row],[Mar.]]/tblDépenses[[#Totals],[Mar.]],"-")</f>
        <v>4.4176706827309238E-2</v>
      </c>
      <c r="U25" s="9">
        <f>IFERROR(tblDépenses[[#This Row],[Avr.]]/tblDépenses[[#Totals],[Avr.]],"-")</f>
        <v>4.2145593869731802E-2</v>
      </c>
      <c r="V25" s="9">
        <f>IFERROR(tblDépenses[[#This Row],[Mai]]/tblDépenses[[#Totals],[Mai]],"-")</f>
        <v>4.2801556420233464E-2</v>
      </c>
      <c r="W25" s="9">
        <f>IFERROR(tblDépenses[[#This Row],[Juin]]/tblDépenses[[#Totals],[Juin]],"-")</f>
        <v>7.2992700729927001E-2</v>
      </c>
      <c r="X25" s="9">
        <f>IFERROR(tblDépenses[[#This Row],[Juil.]]/tblDépenses[[#Totals],[Juil.]],"-")</f>
        <v>4.5112781954887216E-2</v>
      </c>
      <c r="Y25" s="9">
        <f>IFERROR(tblDépenses[[#This Row],[Août]]/tblDépenses[[#Totals],[Août]],"-")</f>
        <v>6.8085106382978725E-2</v>
      </c>
      <c r="Z25" s="9">
        <f>IFERROR(tblDépenses[[#This Row],[Sept.]]/tblDépenses[[#Totals],[Sept.]],"-")</f>
        <v>2.1739130434782608E-2</v>
      </c>
      <c r="AA25" s="9">
        <f>IFERROR(tblDépenses[[#This Row],[Oct.]]/tblDépenses[[#Totals],[Oct.]],"-")</f>
        <v>2.7027027027027029E-2</v>
      </c>
      <c r="AB25" s="9">
        <f>IFERROR(tblDépenses[[#This Row],[Nov.]]/tblDépenses[[#Totals],[Nov.]],"-")</f>
        <v>7.0945945945945943E-2</v>
      </c>
      <c r="AC25" s="9">
        <f>IFERROR(tblDépenses[[#This Row],[Déc.]]/tblDépenses[[#Totals],[Déc.]],"-")</f>
        <v>1.2987012987012988E-2</v>
      </c>
      <c r="AD25" s="55">
        <f>IFERROR(tblDépenses[[#This Row],[Annuel]]/tblDépenses[[#Totals],[Annuel]],"-")</f>
        <v>4.8349449816605536E-2</v>
      </c>
    </row>
    <row r="26" spans="2:30" ht="30" customHeight="1" x14ac:dyDescent="0.2">
      <c r="B26" s="81" t="s">
        <v>71</v>
      </c>
      <c r="C26" t="s">
        <v>73</v>
      </c>
      <c r="D26" s="98">
        <f>SUBTOTAL(109,tblDépenses[Jan.])</f>
        <v>236</v>
      </c>
      <c r="E26" s="98">
        <f>SUBTOTAL(109,tblDépenses[Fév.])</f>
        <v>205</v>
      </c>
      <c r="F26" s="98">
        <f>SUBTOTAL(109,tblDépenses[Mar.])</f>
        <v>249</v>
      </c>
      <c r="G26" s="98">
        <f>SUBTOTAL(109,tblDépenses[Avr.])</f>
        <v>261</v>
      </c>
      <c r="H26" s="98">
        <f>SUBTOTAL(109,tblDépenses[Mai])</f>
        <v>257</v>
      </c>
      <c r="I26" s="98">
        <f>SUBTOTAL(109,tblDépenses[Juin])</f>
        <v>274</v>
      </c>
      <c r="J26" s="98">
        <f>SUBTOTAL(109,tblDépenses[Juil.])</f>
        <v>266</v>
      </c>
      <c r="K26" s="98">
        <f>SUBTOTAL(109,tblDépenses[Août])</f>
        <v>235</v>
      </c>
      <c r="L26" s="98">
        <f>SUBTOTAL(109,tblDépenses[Sept.])</f>
        <v>230</v>
      </c>
      <c r="M26" s="98">
        <f>SUBTOTAL(109,tblDépenses[Oct.])</f>
        <v>259</v>
      </c>
      <c r="N26" s="98">
        <f>SUBTOTAL(109,tblDépenses[Nov.])</f>
        <v>296</v>
      </c>
      <c r="O26" s="98">
        <f>SUBTOTAL(109,tblDépenses[Déc.])</f>
        <v>231</v>
      </c>
      <c r="P26" s="105">
        <f>SUBTOTAL(109,tblDépenses[Annuel])</f>
        <v>2999</v>
      </c>
      <c r="Q26" s="89">
        <f>SUBTOTAL(109,tblDépenses[% index])</f>
        <v>1</v>
      </c>
      <c r="R26" s="82">
        <f>SUBTOTAL(109,tblDépenses[% jan.])</f>
        <v>1</v>
      </c>
      <c r="S26" s="82">
        <f>SUBTOTAL(109,tblDépenses[% fév.])</f>
        <v>1.0000000000000002</v>
      </c>
      <c r="T26" s="82">
        <f>SUBTOTAL(109,tblDépenses[% mar.])</f>
        <v>1.0000000000000002</v>
      </c>
      <c r="U26" s="82">
        <f>SUBTOTAL(109,tblDépenses[% avr.])</f>
        <v>1</v>
      </c>
      <c r="V26" s="82">
        <f>SUBTOTAL(109,tblDépenses[% mai])</f>
        <v>1.0000000000000002</v>
      </c>
      <c r="W26" s="82">
        <f>SUBTOTAL(109,tblDépenses[% juin])</f>
        <v>1</v>
      </c>
      <c r="X26" s="82">
        <f>SUBTOTAL(109,tblDépenses[% juil.])</f>
        <v>1</v>
      </c>
      <c r="Y26" s="82">
        <f>SUBTOTAL(109,tblDépenses[% août])</f>
        <v>0.99999999999999989</v>
      </c>
      <c r="Z26" s="82">
        <f>SUBTOTAL(109,tblDépenses[% sept.])</f>
        <v>1</v>
      </c>
      <c r="AA26" s="82">
        <f>SUBTOTAL(109,tblDépenses[% oct.])</f>
        <v>1</v>
      </c>
      <c r="AB26" s="82">
        <f>SUBTOTAL(109,tblDépenses[% nov.])</f>
        <v>0.99999999999999989</v>
      </c>
      <c r="AC26" s="82">
        <f>SUBTOTAL(109,tblDépenses[% déc.])</f>
        <v>1</v>
      </c>
      <c r="AD26" s="83">
        <f>SUBTOTAL(109,tblDépenses[% année])</f>
        <v>0.99999999999999989</v>
      </c>
    </row>
    <row r="27" spans="2:30" ht="9.9499999999999993" customHeight="1" x14ac:dyDescent="0.2">
      <c r="B27" s="5"/>
      <c r="C27" s="5"/>
      <c r="D27" s="106"/>
      <c r="E27" s="106"/>
      <c r="F27" s="106"/>
      <c r="G27" s="106"/>
      <c r="H27" s="106"/>
      <c r="I27" s="106"/>
      <c r="J27" s="106"/>
      <c r="K27" s="106"/>
      <c r="L27" s="106"/>
      <c r="M27" s="106"/>
      <c r="N27" s="106"/>
      <c r="O27" s="106"/>
      <c r="P27" s="106"/>
      <c r="Q27" s="5"/>
      <c r="R27" s="5"/>
      <c r="S27" s="5"/>
      <c r="T27" s="5"/>
      <c r="U27" s="5"/>
      <c r="V27" s="5"/>
      <c r="W27" s="5"/>
      <c r="X27" s="5"/>
      <c r="Y27" s="5"/>
      <c r="Z27" s="5"/>
      <c r="AA27" s="5"/>
      <c r="AB27" s="5"/>
      <c r="AC27" s="5"/>
      <c r="AD27" s="5"/>
    </row>
    <row r="28" spans="2:30" ht="30" customHeight="1" x14ac:dyDescent="0.2">
      <c r="B28" s="56" t="s">
        <v>72</v>
      </c>
      <c r="C28" s="57"/>
      <c r="D28" s="107">
        <f>'Coût des ventes'!$D$16-tblDépenses[[#Totals],[Jan.]]</f>
        <v>123</v>
      </c>
      <c r="E28" s="107">
        <f>'Coût des ventes'!E16-tblDépenses[[#Totals],[Fév.]]</f>
        <v>175</v>
      </c>
      <c r="F28" s="107">
        <f>'Coût des ventes'!F16-tblDépenses[[#Totals],[Mar.]]</f>
        <v>256</v>
      </c>
      <c r="G28" s="107">
        <f>'Coût des ventes'!G16-tblDépenses[[#Totals],[Avr.]]</f>
        <v>109</v>
      </c>
      <c r="H28" s="107">
        <f>'Coût des ventes'!H16-tblDépenses[[#Totals],[Mai]]</f>
        <v>156</v>
      </c>
      <c r="I28" s="107">
        <f>'Coût des ventes'!I16-tblDépenses[[#Totals],[Juin]]</f>
        <v>-8</v>
      </c>
      <c r="J28" s="107">
        <f>'Coût des ventes'!J16-tblDépenses[[#Totals],[Juil.]]</f>
        <v>32</v>
      </c>
      <c r="K28" s="107">
        <f>'Coût des ventes'!K16-tblDépenses[[#Totals],[Août]]</f>
        <v>214</v>
      </c>
      <c r="L28" s="107">
        <f>'Coût des ventes'!L16-tblDépenses[[#Totals],[Sept.]]</f>
        <v>100</v>
      </c>
      <c r="M28" s="107">
        <f>'Coût des ventes'!M16-tblDépenses[[#Totals],[Oct.]]</f>
        <v>148</v>
      </c>
      <c r="N28" s="107">
        <f>'Coût des ventes'!N16-tblDépenses[[#Totals],[Nov.]]</f>
        <v>179</v>
      </c>
      <c r="O28" s="107">
        <f>'Coût des ventes'!O16-tblDépenses[[#Totals],[Déc.]]</f>
        <v>359</v>
      </c>
      <c r="P28" s="107">
        <f>SUM(D28:O28)</f>
        <v>1843</v>
      </c>
      <c r="Q28" s="48"/>
      <c r="R28" s="58">
        <f>D28/$P$28</f>
        <v>6.6739012479652735E-2</v>
      </c>
      <c r="S28" s="58">
        <f t="shared" ref="S28:AD28" si="1">E28/$P$28</f>
        <v>9.4953879544221381E-2</v>
      </c>
      <c r="T28" s="58">
        <f t="shared" si="1"/>
        <v>0.13890396093326099</v>
      </c>
      <c r="U28" s="58">
        <f t="shared" si="1"/>
        <v>5.9142702116115033E-2</v>
      </c>
      <c r="V28" s="58">
        <f t="shared" si="1"/>
        <v>8.4644601193705912E-2</v>
      </c>
      <c r="W28" s="58">
        <f t="shared" si="1"/>
        <v>-4.3407487791644059E-3</v>
      </c>
      <c r="X28" s="58">
        <f t="shared" si="1"/>
        <v>1.7362995116657624E-2</v>
      </c>
      <c r="Y28" s="58">
        <f t="shared" si="1"/>
        <v>0.11611502984264786</v>
      </c>
      <c r="Z28" s="58">
        <f t="shared" si="1"/>
        <v>5.425935973955507E-2</v>
      </c>
      <c r="AA28" s="58">
        <f t="shared" si="1"/>
        <v>8.0303852414541507E-2</v>
      </c>
      <c r="AB28" s="58">
        <f t="shared" si="1"/>
        <v>9.7124253933803584E-2</v>
      </c>
      <c r="AC28" s="58">
        <f t="shared" si="1"/>
        <v>0.19479110146500273</v>
      </c>
      <c r="AD28" s="58">
        <f t="shared" si="1"/>
        <v>1</v>
      </c>
    </row>
  </sheetData>
  <dataValidations count="18">
    <dataValidation allowBlank="1" showInputMessage="1" showErrorMessage="1" prompt="Cette feuille de calcul calcule le total des dépenses par mois et par an, ainsi que le total des dépenses annuelles pour chaque élément. Les bénéfices nets sont calculés automatiquement en fonction de la marge brute et des dépenses totales" sqref="A1" xr:uid="{00000000-0002-0000-0200-000000000000}"/>
    <dataValidation allowBlank="1" showInputMessage="1" showErrorMessage="1" prompt="Titre automatiquement mis à jour à partir de la feuille de calcul Chiffre d’affaires (ventes). Entrez des valeurs dans le tableau Dépenses ci-dessous pour calculer le total des dépenses" sqref="B3:B4" xr:uid="{00000000-0002-0000-0200-000001000000}"/>
    <dataValidation allowBlank="1" showInputMessage="1" showErrorMessage="1" prompt="Entrez le pourcentage d’index dans cette colonne" sqref="Q6" xr:uid="{00000000-0002-0000-0200-000002000000}"/>
    <dataValidation allowBlank="1" showInputMessage="1" showErrorMessage="1" prompt="Les bénéfices nets sont calculés automatiquement par mois et par an en fonction de la marge brute et des dépenses totales" sqref="B28" xr:uid="{00000000-0002-0000-0200-000003000000}"/>
    <dataValidation allowBlank="1" showInputMessage="1" showErrorMessage="1" prompt="Entrez dans cette colonne les dépenses liées aux sources répertoriées dans la colonne B" sqref="D6:O6" xr:uid="{00000000-0002-0000-0200-000004000000}"/>
    <dataValidation allowBlank="1" showInputMessage="1" showErrorMessage="1" prompt="Un graphique de tendance représentant les dépenses au fil du temps figure dans cette colonne" sqref="C6" xr:uid="{00000000-0002-0000-0200-000005000000}"/>
    <dataValidation allowBlank="1" showInputMessage="1" showErrorMessage="1" prompt="Entrez les dépenses dans cette colonne" sqref="B6" xr:uid="{00000000-0002-0000-0200-000006000000}"/>
    <dataValidation allowBlank="1" showInputMessage="1" showErrorMessage="1" prompt="Calcule automatiquement la proportion de dépenses des différentes sources par rapport aux dépenses totales pour l’année dans cette colonne" sqref="AD5" xr:uid="{00000000-0002-0000-0200-000007000000}"/>
    <dataValidation allowBlank="1" showInputMessage="1" showErrorMessage="1" prompt="Calcule automatiquement la proportion de dépenses des différentes sources par rapport aux dépenses totales dans cette colonne, pour le mois figurant dans cette cellule" sqref="R5:AC5" xr:uid="{00000000-0002-0000-0200-000008000000}"/>
    <dataValidation allowBlank="1" showInputMessage="1" showErrorMessage="1" prompt="Mois automatiquement mis à jour" sqref="E5:O5" xr:uid="{00000000-0002-0000-0200-000009000000}"/>
    <dataValidation allowBlank="1" showInputMessage="1" showErrorMessage="1" prompt="Les dates de cette ligne sont automatiquement mises à jour en fonction du mois de début de chaque exercice. Pour modifier le mois de début, modifiez la cellule F2" sqref="D5" xr:uid="{00000000-0002-0000-0200-00000A000000}"/>
    <dataValidation allowBlank="1" showInputMessage="1" showErrorMessage="1" prompt="Les dépenses annuelles sont calculées automatiquement dans cette colonne" sqref="P5" xr:uid="{00000000-0002-0000-0200-00000B000000}"/>
    <dataValidation allowBlank="1" showInputMessage="1" showErrorMessage="1" prompt="Le pourcentage d’index figure dans cette colonne" sqref="Q5" xr:uid="{00000000-0002-0000-0200-00000C000000}"/>
    <dataValidation allowBlank="1" showInputMessage="1" showErrorMessage="1" prompt="Le mois et l’année sont automatiquement mis à jour dans les cellules à droite. Pour modifier le mois ou chaque année, modifiez les cellules F2 et G2 dans la feuille de calcul recettes (Ventes)" sqref="E2" xr:uid="{00000000-0002-0000-0200-00000D000000}"/>
    <dataValidation allowBlank="1" showInputMessage="1" showErrorMessage="1" prompt="Mois automatiquement mis à jour. Pour modifier, modifier la feuille de calcul cellule F2 dans chiffres d’affaires (ventes)" sqref="F2" xr:uid="{00000000-0002-0000-0200-00000E000000}"/>
    <dataValidation allowBlank="1" showInputMessage="1" showErrorMessage="1" prompt="Année automatiquement mis à jour. Pour modifier, modifier la feuille de calcul cellule G2 dans chiffres d’affaires (ventes)" sqref="G2" xr:uid="{00000000-0002-0000-0200-00000F000000}"/>
    <dataValidation allowBlank="1" showInputMessage="1" showErrorMessage="1" prompt="Cette cellule est automatiquement mise à jour à partir du titre de la période de prévision de la feuille de calcul Chiffre d’affaires (ventes)" sqref="B2" xr:uid="{00000000-0002-0000-0200-000010000000}"/>
    <dataValidation allowBlank="1" showInputMessage="1" showErrorMessage="1" prompt="Le nom de l’entreprise est automatiquement mis à jour à l’aide de la feuille de calcul Chiffre d’affaires (ventes)" sqref="AD2 B1" xr:uid="{00000000-0002-0000-0200-000011000000}"/>
  </dataValidations>
  <printOptions horizontalCentered="1"/>
  <pageMargins left="0.25" right="0.25" top="0.75" bottom="0.75" header="0.3" footer="0.3"/>
  <pageSetup paperSize="9" scale="46" fitToHeight="0" orientation="landscape" r:id="rId1"/>
  <headerFooter differentFirst="1">
    <oddFooter>Page &amp;P of &amp;N</oddFooter>
  </headerFooter>
  <tableParts count="1">
    <tablePart r:id="rId2"/>
  </tableParts>
  <extLst>
    <ext xmlns:x14="http://schemas.microsoft.com/office/spreadsheetml/2009/9/main" uri="{05C60535-1F16-4fd2-B633-F4F36F0B64E0}">
      <x14:sparklineGroups xmlns:xm="http://schemas.microsoft.com/office/excel/2006/main">
        <x14:sparklineGroup lineWeight="1" displayEmptyCellsAs="gap" high="1" low="1" xr2:uid="{00000000-0003-0000-0200-000005000000}">
          <x14:colorSeries theme="9" tint="-0.499984740745262"/>
          <x14:colorNegative theme="5"/>
          <x14:colorAxis rgb="FF000000"/>
          <x14:colorMarkers theme="4" tint="-0.499984740745262"/>
          <x14:colorFirst theme="4" tint="0.39997558519241921"/>
          <x14:colorLast theme="4" tint="0.39997558519241921"/>
          <x14:colorHigh theme="9" tint="-0.499984740745262"/>
          <x14:colorLow theme="9" tint="-0.499984740745262"/>
          <x14:sparklines>
            <x14:sparkline>
              <xm:f>Dépenses!D26:O26</xm:f>
              <xm:sqref>C26</xm:sqref>
            </x14:sparkline>
          </x14:sparklines>
        </x14:sparklineGroup>
        <x14:sparklineGroup lineWeight="1" displayEmptyCellsAs="gap" high="1" low="1" xr2:uid="{00000000-0003-0000-0200-000004000000}">
          <x14:colorSeries theme="9" tint="-0.499984740745262"/>
          <x14:colorNegative theme="5"/>
          <x14:colorAxis rgb="FF000000"/>
          <x14:colorMarkers theme="4" tint="-0.499984740745262"/>
          <x14:colorFirst theme="4" tint="0.39997558519241921"/>
          <x14:colorLast theme="4" tint="0.39997558519241921"/>
          <x14:colorHigh theme="9" tint="-0.499984740745262"/>
          <x14:colorLow theme="9" tint="-0.499984740745262"/>
          <x14:sparklines>
            <x14:sparkline>
              <xm:f>Dépenses!D7:O7</xm:f>
              <xm:sqref>C7</xm:sqref>
            </x14:sparkline>
            <x14:sparkline>
              <xm:f>Dépenses!D8:O8</xm:f>
              <xm:sqref>C8</xm:sqref>
            </x14:sparkline>
            <x14:sparkline>
              <xm:f>Dépenses!D9:O9</xm:f>
              <xm:sqref>C9</xm:sqref>
            </x14:sparkline>
            <x14:sparkline>
              <xm:f>Dépenses!D10:O10</xm:f>
              <xm:sqref>C10</xm:sqref>
            </x14:sparkline>
            <x14:sparkline>
              <xm:f>Dépenses!D11:O11</xm:f>
              <xm:sqref>C11</xm:sqref>
            </x14:sparkline>
            <x14:sparkline>
              <xm:f>Dépenses!D12:O12</xm:f>
              <xm:sqref>C12</xm:sqref>
            </x14:sparkline>
            <x14:sparkline>
              <xm:f>Dépenses!D13:O13</xm:f>
              <xm:sqref>C13</xm:sqref>
            </x14:sparkline>
            <x14:sparkline>
              <xm:f>Dépenses!D14:O14</xm:f>
              <xm:sqref>C14</xm:sqref>
            </x14:sparkline>
            <x14:sparkline>
              <xm:f>Dépenses!D15:O15</xm:f>
              <xm:sqref>C15</xm:sqref>
            </x14:sparkline>
            <x14:sparkline>
              <xm:f>Dépenses!D16:O16</xm:f>
              <xm:sqref>C16</xm:sqref>
            </x14:sparkline>
            <x14:sparkline>
              <xm:f>Dépenses!D17:O17</xm:f>
              <xm:sqref>C17</xm:sqref>
            </x14:sparkline>
            <x14:sparkline>
              <xm:f>Dépenses!D18:O18</xm:f>
              <xm:sqref>C18</xm:sqref>
            </x14:sparkline>
            <x14:sparkline>
              <xm:f>Dépenses!D19:O19</xm:f>
              <xm:sqref>C19</xm:sqref>
            </x14:sparkline>
            <x14:sparkline>
              <xm:f>Dépenses!D20:O20</xm:f>
              <xm:sqref>C20</xm:sqref>
            </x14:sparkline>
            <x14:sparkline>
              <xm:f>Dépenses!D21:O21</xm:f>
              <xm:sqref>C21</xm:sqref>
            </x14:sparkline>
            <x14:sparkline>
              <xm:f>Dépenses!D22:O22</xm:f>
              <xm:sqref>C22</xm:sqref>
            </x14:sparkline>
            <x14:sparkline>
              <xm:f>Dépenses!D23:O23</xm:f>
              <xm:sqref>C23</xm:sqref>
            </x14:sparkline>
            <x14:sparkline>
              <xm:f>Dépenses!D24:O24</xm:f>
              <xm:sqref>C24</xm:sqref>
            </x14:sparkline>
            <x14:sparkline>
              <xm:f>Dépenses!D25:O25</xm:f>
              <xm:sqref>C25</xm:sqref>
            </x14:sparkline>
          </x14:sparklines>
        </x14:sparklineGroup>
      </x14:sparklineGroup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0" ma:contentTypeDescription="Create a new document." ma:contentTypeScope="" ma:versionID="e3b47856d4cf355c0dacb39e1084d14f">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a845a615265fdb1f7b12cc65ac20ecbd"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4755C0DC-2BAC-4262-95AA-1319CC0100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1E4CF0-2589-44C0-BE62-F28DADEE0B09}">
  <ds:schemaRefs>
    <ds:schemaRef ds:uri="http://schemas.microsoft.com/office/2006/documentManagement/types"/>
    <ds:schemaRef ds:uri="fb0879af-3eba-417a-a55a-ffe6dcd6ca77"/>
    <ds:schemaRef ds:uri="http://purl.org/dc/elements/1.1/"/>
    <ds:schemaRef ds:uri="http://schemas.microsoft.com/office/2006/metadata/properties"/>
    <ds:schemaRef ds:uri="http://schemas.microsoft.com/sharepoint/v3"/>
    <ds:schemaRef ds:uri="http://purl.org/dc/terms/"/>
    <ds:schemaRef ds:uri="6dc4bcd6-49db-4c07-9060-8acfc67cef9f"/>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11</vt:i4>
      </vt:variant>
    </vt:vector>
  </HeadingPairs>
  <TitlesOfParts>
    <vt:vector size="14" baseType="lpstr">
      <vt:lpstr>Chiffre d’affaires (ventes)</vt:lpstr>
      <vt:lpstr>Coût des ventes</vt:lpstr>
      <vt:lpstr>Dépenses</vt:lpstr>
      <vt:lpstr>FYMonthStart</vt:lpstr>
      <vt:lpstr>FYStartYear</vt:lpstr>
      <vt:lpstr>Nom_Entreprise</vt:lpstr>
      <vt:lpstr>'Chiffre d’affaires (ventes)'!Print_Titles</vt:lpstr>
      <vt:lpstr>'Coût des ventes'!Print_Titles</vt:lpstr>
      <vt:lpstr>Dépenses!Print_Titles</vt:lpstr>
      <vt:lpstr>Titre_Feuille_Calcul</vt:lpstr>
      <vt:lpstr>Titre_Période_Prévisions</vt:lpstr>
      <vt:lpstr>Titre1</vt:lpstr>
      <vt:lpstr>Titre2</vt:lpstr>
      <vt:lpstr>Titre3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2019-05-14T04:04:50Z</dcterms:created>
  <dcterms:modified xsi:type="dcterms:W3CDTF">2019-05-14T04:04:50Z</dcterms:modified>
</cp:coreProperties>
</file>