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2.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3.xml" ContentType="application/vnd.openxmlformats-officedocument.drawing+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4.xml" ContentType="application/vnd.openxmlformats-officedocument.drawing+xml"/>
  <Override PartName="/xl/tables/table16.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0"/>
  <workbookPr codeName="ThisWorkbook"/>
  <mc:AlternateContent xmlns:mc="http://schemas.openxmlformats.org/markup-compatibility/2006">
    <mc:Choice Requires="x15">
      <x15ac:absPath xmlns:x15ac="http://schemas.microsoft.com/office/spreadsheetml/2010/11/ac" url="C:\Users\admin\Desktop\en-GB\"/>
    </mc:Choice>
  </mc:AlternateContent>
  <bookViews>
    <workbookView xWindow="0" yWindow="0" windowWidth="21600" windowHeight="8325" tabRatio="756" xr2:uid="{00000000-000D-0000-FFFF-FFFF00000000}"/>
  </bookViews>
  <sheets>
    <sheet name="START" sheetId="6" r:id="rId1"/>
    <sheet name="PLANNED EXPENSES" sheetId="2" r:id="rId2"/>
    <sheet name="ACTUAL EXPENSES" sheetId="3" r:id="rId3"/>
    <sheet name="EXPENSE VARIANCES" sheetId="4" r:id="rId4"/>
    <sheet name="EXPENSE ANALYSIS" sheetId="5" r:id="rId5"/>
  </sheets>
  <definedNames>
    <definedName name="worksheet_title">'PLANNED EXPENSES'!$K$2</definedName>
  </definedNames>
  <calcPr calcId="1790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 i="3" l="1"/>
  <c r="K2" i="4"/>
  <c r="E3" i="5"/>
  <c r="B2" i="3" l="1"/>
  <c r="B2" i="5" l="1"/>
  <c r="B2" i="4"/>
  <c r="I7" i="3" l="1"/>
  <c r="J7" i="3"/>
  <c r="K7" i="3"/>
  <c r="L7" i="3"/>
  <c r="M7" i="3"/>
  <c r="N7" i="3"/>
  <c r="C32" i="4"/>
  <c r="D32" i="4"/>
  <c r="E32" i="4"/>
  <c r="F32" i="4"/>
  <c r="G32" i="4"/>
  <c r="H32" i="4"/>
  <c r="I32" i="4"/>
  <c r="J32" i="4"/>
  <c r="K32" i="4"/>
  <c r="L32" i="4"/>
  <c r="M32" i="4"/>
  <c r="N32" i="4"/>
  <c r="D31" i="4"/>
  <c r="E31" i="4"/>
  <c r="F31" i="4"/>
  <c r="G31" i="4"/>
  <c r="H31" i="4"/>
  <c r="I31" i="4"/>
  <c r="J31" i="4"/>
  <c r="K31" i="4"/>
  <c r="L31" i="4"/>
  <c r="M31" i="4"/>
  <c r="N31" i="4"/>
  <c r="C31" i="4"/>
  <c r="C23" i="4"/>
  <c r="D23" i="4"/>
  <c r="E23" i="4"/>
  <c r="F23" i="4"/>
  <c r="G23" i="4"/>
  <c r="H23" i="4"/>
  <c r="I23" i="4"/>
  <c r="J23" i="4"/>
  <c r="K23" i="4"/>
  <c r="L23" i="4"/>
  <c r="M23" i="4"/>
  <c r="N23" i="4"/>
  <c r="C24" i="4"/>
  <c r="D24" i="4"/>
  <c r="E24" i="4"/>
  <c r="F24" i="4"/>
  <c r="G24" i="4"/>
  <c r="H24" i="4"/>
  <c r="I24" i="4"/>
  <c r="J24" i="4"/>
  <c r="K24" i="4"/>
  <c r="L24" i="4"/>
  <c r="M24" i="4"/>
  <c r="N24" i="4"/>
  <c r="C25" i="4"/>
  <c r="D25" i="4"/>
  <c r="E25" i="4"/>
  <c r="F25" i="4"/>
  <c r="G25" i="4"/>
  <c r="H25" i="4"/>
  <c r="I25" i="4"/>
  <c r="J25" i="4"/>
  <c r="K25" i="4"/>
  <c r="L25" i="4"/>
  <c r="M25" i="4"/>
  <c r="N25" i="4"/>
  <c r="C26" i="4"/>
  <c r="D26" i="4"/>
  <c r="E26" i="4"/>
  <c r="F26" i="4"/>
  <c r="G26" i="4"/>
  <c r="H26" i="4"/>
  <c r="I26" i="4"/>
  <c r="J26" i="4"/>
  <c r="K26" i="4"/>
  <c r="L26" i="4"/>
  <c r="M26" i="4"/>
  <c r="N26" i="4"/>
  <c r="C27" i="4"/>
  <c r="D27" i="4"/>
  <c r="E27" i="4"/>
  <c r="F27" i="4"/>
  <c r="G27" i="4"/>
  <c r="H27" i="4"/>
  <c r="I27" i="4"/>
  <c r="J27" i="4"/>
  <c r="K27" i="4"/>
  <c r="L27" i="4"/>
  <c r="M27" i="4"/>
  <c r="N27" i="4"/>
  <c r="D22" i="4"/>
  <c r="E22" i="4"/>
  <c r="F22" i="4"/>
  <c r="G22" i="4"/>
  <c r="H22" i="4"/>
  <c r="I22" i="4"/>
  <c r="J22" i="4"/>
  <c r="K22" i="4"/>
  <c r="L22" i="4"/>
  <c r="M22" i="4"/>
  <c r="N22" i="4"/>
  <c r="C22" i="4"/>
  <c r="D6" i="4"/>
  <c r="E6" i="4"/>
  <c r="F6" i="4"/>
  <c r="G6" i="4"/>
  <c r="H6" i="4"/>
  <c r="I6" i="4"/>
  <c r="J6" i="4"/>
  <c r="K6" i="4"/>
  <c r="L6" i="4"/>
  <c r="M6" i="4"/>
  <c r="N6" i="4"/>
  <c r="C6" i="4"/>
  <c r="C12" i="4"/>
  <c r="D12" i="4"/>
  <c r="E12" i="4"/>
  <c r="F12" i="4"/>
  <c r="G12" i="4"/>
  <c r="H12" i="4"/>
  <c r="I12" i="4"/>
  <c r="J12" i="4"/>
  <c r="K12" i="4"/>
  <c r="L12" i="4"/>
  <c r="M12" i="4"/>
  <c r="N12" i="4"/>
  <c r="C13" i="4"/>
  <c r="D13" i="4"/>
  <c r="E13" i="4"/>
  <c r="F13" i="4"/>
  <c r="G13" i="4"/>
  <c r="H13" i="4"/>
  <c r="I13" i="4"/>
  <c r="J13" i="4"/>
  <c r="K13" i="4"/>
  <c r="L13" i="4"/>
  <c r="M13" i="4"/>
  <c r="N13" i="4"/>
  <c r="C14" i="4"/>
  <c r="D14" i="4"/>
  <c r="E14" i="4"/>
  <c r="F14" i="4"/>
  <c r="G14" i="4"/>
  <c r="H14" i="4"/>
  <c r="I14" i="4"/>
  <c r="J14" i="4"/>
  <c r="K14" i="4"/>
  <c r="L14" i="4"/>
  <c r="M14" i="4"/>
  <c r="N14" i="4"/>
  <c r="C15" i="4"/>
  <c r="D15" i="4"/>
  <c r="E15" i="4"/>
  <c r="F15" i="4"/>
  <c r="G15" i="4"/>
  <c r="H15" i="4"/>
  <c r="I15" i="4"/>
  <c r="J15" i="4"/>
  <c r="K15" i="4"/>
  <c r="L15" i="4"/>
  <c r="M15" i="4"/>
  <c r="N15" i="4"/>
  <c r="C16" i="4"/>
  <c r="D16" i="4"/>
  <c r="E16" i="4"/>
  <c r="F16" i="4"/>
  <c r="G16" i="4"/>
  <c r="H16" i="4"/>
  <c r="I16" i="4"/>
  <c r="J16" i="4"/>
  <c r="K16" i="4"/>
  <c r="L16" i="4"/>
  <c r="M16" i="4"/>
  <c r="N16" i="4"/>
  <c r="C17" i="4"/>
  <c r="D17" i="4"/>
  <c r="E17" i="4"/>
  <c r="F17" i="4"/>
  <c r="G17" i="4"/>
  <c r="H17" i="4"/>
  <c r="I17" i="4"/>
  <c r="J17" i="4"/>
  <c r="K17" i="4"/>
  <c r="L17" i="4"/>
  <c r="M17" i="4"/>
  <c r="N17" i="4"/>
  <c r="C18" i="4"/>
  <c r="D18" i="4"/>
  <c r="E18" i="4"/>
  <c r="F18" i="4"/>
  <c r="G18" i="4"/>
  <c r="H18" i="4"/>
  <c r="I18" i="4"/>
  <c r="J18" i="4"/>
  <c r="K18" i="4"/>
  <c r="L18" i="4"/>
  <c r="M18" i="4"/>
  <c r="N18" i="4"/>
  <c r="D11" i="4"/>
  <c r="E11" i="4"/>
  <c r="F11" i="4"/>
  <c r="G11" i="4"/>
  <c r="H11" i="4"/>
  <c r="I11" i="4"/>
  <c r="J11" i="4"/>
  <c r="K11" i="4"/>
  <c r="L11" i="4"/>
  <c r="M11" i="4"/>
  <c r="N11" i="4"/>
  <c r="C11" i="4"/>
  <c r="D19" i="3"/>
  <c r="E19" i="3"/>
  <c r="F19" i="3"/>
  <c r="G19" i="3"/>
  <c r="H19" i="3"/>
  <c r="I19" i="3"/>
  <c r="J19" i="3"/>
  <c r="K19" i="3"/>
  <c r="L19" i="3"/>
  <c r="M19" i="3"/>
  <c r="N19" i="3"/>
  <c r="D28" i="3"/>
  <c r="E28" i="3"/>
  <c r="F28" i="3"/>
  <c r="G28" i="3"/>
  <c r="H28" i="3"/>
  <c r="I28" i="3"/>
  <c r="J28" i="3"/>
  <c r="K28" i="3"/>
  <c r="L28" i="3"/>
  <c r="M28" i="3"/>
  <c r="N28" i="3"/>
  <c r="D33" i="3"/>
  <c r="E33" i="3"/>
  <c r="F33" i="3"/>
  <c r="G33" i="3"/>
  <c r="H33" i="3"/>
  <c r="I33" i="3"/>
  <c r="J33" i="3"/>
  <c r="K33" i="3"/>
  <c r="L33" i="3"/>
  <c r="M33" i="3"/>
  <c r="N33" i="3"/>
  <c r="C33" i="3"/>
  <c r="C28" i="3"/>
  <c r="C19" i="3"/>
  <c r="D33" i="2"/>
  <c r="E33" i="2"/>
  <c r="F33" i="2"/>
  <c r="G33" i="2"/>
  <c r="H33" i="2"/>
  <c r="I33" i="2"/>
  <c r="J33" i="2"/>
  <c r="K33" i="2"/>
  <c r="L33" i="2"/>
  <c r="M33" i="2"/>
  <c r="N33" i="2"/>
  <c r="C33" i="2"/>
  <c r="D28" i="2"/>
  <c r="E28" i="2"/>
  <c r="F28" i="2"/>
  <c r="G28" i="2"/>
  <c r="H28" i="2"/>
  <c r="I28" i="2"/>
  <c r="J28" i="2"/>
  <c r="K28" i="2"/>
  <c r="L28" i="2"/>
  <c r="M28" i="2"/>
  <c r="N28" i="2"/>
  <c r="C28" i="2"/>
  <c r="D19" i="2"/>
  <c r="E19" i="2"/>
  <c r="F19" i="2"/>
  <c r="G19" i="2"/>
  <c r="H19" i="2"/>
  <c r="I19" i="2"/>
  <c r="J19" i="2"/>
  <c r="K19" i="2"/>
  <c r="L19" i="2"/>
  <c r="M19" i="2"/>
  <c r="N19" i="2"/>
  <c r="C19" i="2"/>
  <c r="O22" i="4" l="1"/>
  <c r="O24" i="4"/>
  <c r="O6" i="4"/>
  <c r="O23" i="4"/>
  <c r="O32" i="4"/>
  <c r="O27" i="4"/>
  <c r="O26" i="4"/>
  <c r="O25" i="4"/>
  <c r="O31" i="4"/>
  <c r="O17" i="4"/>
  <c r="O16" i="4"/>
  <c r="O15" i="4"/>
  <c r="O14" i="4"/>
  <c r="O12" i="4"/>
  <c r="O18" i="4"/>
  <c r="O13" i="4"/>
  <c r="O11" i="4"/>
  <c r="B10" i="5"/>
  <c r="B9" i="5"/>
  <c r="B8" i="5"/>
  <c r="B7" i="5"/>
  <c r="N33" i="4"/>
  <c r="M33" i="4"/>
  <c r="L33" i="4"/>
  <c r="K33" i="4"/>
  <c r="J33" i="4"/>
  <c r="I33" i="4"/>
  <c r="H33" i="4"/>
  <c r="G33" i="4"/>
  <c r="F33" i="4"/>
  <c r="E33" i="4"/>
  <c r="D33" i="4"/>
  <c r="C33" i="4"/>
  <c r="N28" i="4"/>
  <c r="M28" i="4"/>
  <c r="L28" i="4"/>
  <c r="K28" i="4"/>
  <c r="J28" i="4"/>
  <c r="I28" i="4"/>
  <c r="H28" i="4"/>
  <c r="G28" i="4"/>
  <c r="F28" i="4"/>
  <c r="E28" i="4"/>
  <c r="D28" i="4"/>
  <c r="C28" i="4"/>
  <c r="N19" i="4"/>
  <c r="M19" i="4"/>
  <c r="L19" i="4"/>
  <c r="K19" i="4"/>
  <c r="J19" i="4"/>
  <c r="I19" i="4"/>
  <c r="H19" i="4"/>
  <c r="G19" i="4"/>
  <c r="F19" i="4"/>
  <c r="E19" i="4"/>
  <c r="D19" i="4"/>
  <c r="C19" i="4"/>
  <c r="O32" i="3"/>
  <c r="O31" i="3"/>
  <c r="O27" i="3"/>
  <c r="O26" i="3"/>
  <c r="O25" i="3"/>
  <c r="O24" i="3"/>
  <c r="O23" i="3"/>
  <c r="O22" i="3"/>
  <c r="O18" i="3"/>
  <c r="O17" i="3"/>
  <c r="O16" i="3"/>
  <c r="O15" i="3"/>
  <c r="O14" i="3"/>
  <c r="O13" i="3"/>
  <c r="O12" i="3"/>
  <c r="O11" i="3"/>
  <c r="N8" i="3"/>
  <c r="N36" i="3" s="1"/>
  <c r="M8" i="3"/>
  <c r="M36" i="3" s="1"/>
  <c r="L8" i="3"/>
  <c r="L36" i="3" s="1"/>
  <c r="K8" i="3"/>
  <c r="K36" i="3" s="1"/>
  <c r="J8" i="3"/>
  <c r="J36" i="3" s="1"/>
  <c r="I8" i="3"/>
  <c r="I36" i="3" s="1"/>
  <c r="H7" i="3"/>
  <c r="H8" i="3" s="1"/>
  <c r="H36" i="3" s="1"/>
  <c r="G7" i="3"/>
  <c r="G8" i="3" s="1"/>
  <c r="G36" i="3" s="1"/>
  <c r="F7" i="3"/>
  <c r="F8" i="3" s="1"/>
  <c r="F36" i="3" s="1"/>
  <c r="E7" i="3"/>
  <c r="E8" i="3" s="1"/>
  <c r="E36" i="3" s="1"/>
  <c r="D7" i="3"/>
  <c r="D8" i="3" s="1"/>
  <c r="D36" i="3" s="1"/>
  <c r="C7" i="3"/>
  <c r="C8" i="3" s="1"/>
  <c r="C36" i="3" s="1"/>
  <c r="O6" i="3"/>
  <c r="O32" i="2"/>
  <c r="O31" i="2"/>
  <c r="O33" i="2" s="1"/>
  <c r="O27" i="2"/>
  <c r="O26" i="2"/>
  <c r="O25" i="2"/>
  <c r="O24" i="2"/>
  <c r="O23" i="2"/>
  <c r="O22" i="2"/>
  <c r="O18" i="2"/>
  <c r="O17" i="2"/>
  <c r="O16" i="2"/>
  <c r="O15" i="2"/>
  <c r="O14" i="2"/>
  <c r="O13" i="2"/>
  <c r="O12" i="2"/>
  <c r="O11" i="2"/>
  <c r="N7" i="2"/>
  <c r="M7" i="2"/>
  <c r="L7" i="2"/>
  <c r="K7" i="2"/>
  <c r="J7" i="2"/>
  <c r="I7" i="2"/>
  <c r="H7" i="2"/>
  <c r="G7" i="2"/>
  <c r="F7" i="2"/>
  <c r="E7" i="2"/>
  <c r="D7" i="2"/>
  <c r="C7" i="2"/>
  <c r="O6" i="2"/>
  <c r="J8" i="2" l="1"/>
  <c r="J36" i="2" s="1"/>
  <c r="J7" i="4"/>
  <c r="J8" i="4" s="1"/>
  <c r="J36" i="4" s="1"/>
  <c r="L8" i="2"/>
  <c r="L36" i="2" s="1"/>
  <c r="L7" i="4"/>
  <c r="L8" i="4" s="1"/>
  <c r="L36" i="4" s="1"/>
  <c r="G8" i="2"/>
  <c r="G36" i="2" s="1"/>
  <c r="G7" i="4"/>
  <c r="G8" i="4" s="1"/>
  <c r="G36" i="4" s="1"/>
  <c r="H8" i="2"/>
  <c r="H36" i="2" s="1"/>
  <c r="H7" i="4"/>
  <c r="H8" i="4" s="1"/>
  <c r="H36" i="4" s="1"/>
  <c r="N8" i="2"/>
  <c r="N36" i="2" s="1"/>
  <c r="N7" i="4"/>
  <c r="N8" i="4" s="1"/>
  <c r="N36" i="4" s="1"/>
  <c r="D8" i="2"/>
  <c r="D36" i="2" s="1"/>
  <c r="D7" i="4"/>
  <c r="D8" i="4" s="1"/>
  <c r="D36" i="4" s="1"/>
  <c r="E7" i="4"/>
  <c r="E8" i="4" s="1"/>
  <c r="E36" i="4" s="1"/>
  <c r="E8" i="2"/>
  <c r="E36" i="2" s="1"/>
  <c r="K8" i="2"/>
  <c r="K36" i="2" s="1"/>
  <c r="K7" i="4"/>
  <c r="K8" i="4" s="1"/>
  <c r="K36" i="4" s="1"/>
  <c r="F7" i="4"/>
  <c r="F8" i="4" s="1"/>
  <c r="F36" i="4" s="1"/>
  <c r="F8" i="2"/>
  <c r="F36" i="2" s="1"/>
  <c r="M8" i="2"/>
  <c r="M36" i="2" s="1"/>
  <c r="M7" i="4"/>
  <c r="M8" i="4" s="1"/>
  <c r="M36" i="4" s="1"/>
  <c r="C7" i="4"/>
  <c r="C8" i="4" s="1"/>
  <c r="C36" i="4" s="1"/>
  <c r="C8" i="2"/>
  <c r="C36" i="2" s="1"/>
  <c r="I7" i="4"/>
  <c r="I8" i="4" s="1"/>
  <c r="I36" i="4" s="1"/>
  <c r="I8" i="2"/>
  <c r="I36" i="2" s="1"/>
  <c r="O33" i="3"/>
  <c r="O28" i="3"/>
  <c r="D8" i="5" s="1"/>
  <c r="O19" i="3"/>
  <c r="D7" i="5" s="1"/>
  <c r="C9" i="5"/>
  <c r="O28" i="2"/>
  <c r="C8" i="5" s="1"/>
  <c r="O19" i="2"/>
  <c r="C7" i="5" s="1"/>
  <c r="O7" i="3"/>
  <c r="O8" i="3" s="1"/>
  <c r="D6" i="5" s="1"/>
  <c r="O33" i="4"/>
  <c r="O7" i="2"/>
  <c r="O8" i="2" s="1"/>
  <c r="C6" i="5" s="1"/>
  <c r="E37" i="2" l="1"/>
  <c r="D37" i="2"/>
  <c r="J37" i="2"/>
  <c r="O7" i="4"/>
  <c r="O8" i="4" s="1"/>
  <c r="O36" i="2"/>
  <c r="C10" i="5" s="1"/>
  <c r="I37" i="2"/>
  <c r="C37" i="2"/>
  <c r="F37" i="2"/>
  <c r="E8" i="5"/>
  <c r="F8" i="5" s="1"/>
  <c r="D37" i="4"/>
  <c r="J37" i="4"/>
  <c r="M37" i="4"/>
  <c r="H37" i="4"/>
  <c r="N37" i="4"/>
  <c r="C37" i="4"/>
  <c r="E37" i="4"/>
  <c r="K37" i="4"/>
  <c r="F37" i="4"/>
  <c r="L37" i="4"/>
  <c r="G37" i="4"/>
  <c r="I37" i="4"/>
  <c r="O19" i="4"/>
  <c r="O28" i="4"/>
  <c r="D9" i="5"/>
  <c r="E9" i="5" s="1"/>
  <c r="F9" i="5" s="1"/>
  <c r="O36" i="3"/>
  <c r="D10" i="5" s="1"/>
  <c r="K37" i="2"/>
  <c r="G37" i="3"/>
  <c r="M37" i="3"/>
  <c r="J37" i="3"/>
  <c r="F37" i="3"/>
  <c r="H37" i="3"/>
  <c r="N37" i="3"/>
  <c r="I37" i="3"/>
  <c r="C37" i="3"/>
  <c r="D37" i="3"/>
  <c r="E37" i="3"/>
  <c r="K37" i="3"/>
  <c r="L37" i="3"/>
  <c r="E7" i="5"/>
  <c r="F7" i="5" s="1"/>
  <c r="N37" i="2"/>
  <c r="H37" i="2"/>
  <c r="M37" i="2"/>
  <c r="L37" i="2"/>
  <c r="G37" i="2"/>
  <c r="E6" i="5"/>
  <c r="F6" i="5" s="1"/>
  <c r="O36" i="4" l="1"/>
  <c r="E10" i="5"/>
  <c r="F10" i="5" s="1"/>
</calcChain>
</file>

<file path=xl/sharedStrings.xml><?xml version="1.0" encoding="utf-8"?>
<sst xmlns="http://schemas.openxmlformats.org/spreadsheetml/2006/main" count="388" uniqueCount="108">
  <si>
    <t>ABOUT THIS TEMPLATE</t>
  </si>
  <si>
    <t>Use this Business Expense Budget workbook to track Planned and Actual Expenses and Variances.</t>
  </si>
  <si>
    <t>Fill in Company Name and add Logo.</t>
  </si>
  <si>
    <t>Enter details in tables in Planned Expenses worksheet and Actual Expenses worksheet.</t>
  </si>
  <si>
    <t>Tables are auto-updated in Expense Variances worksheet and charts in Expense Analysis worksheet</t>
  </si>
  <si>
    <t>Note: </t>
  </si>
  <si>
    <t>Additional instructions have been provided in column A in each worksheet. This text has been intentionally hidden. To remove text, select column A, then select DELETE. To unhide text, select column A, then change font colour.</t>
  </si>
  <si>
    <t>To learn more about tables, press SHIFT and then F10 within a table, select the TABLE option, then select ALTERNATIVE TEXT</t>
  </si>
  <si>
    <t>Enter Planned Employee Costs, Office Costs, Marketing Costs and Training or Travel Cost in the respective tables in this worksheet. Totals are auto-calculated. Helpful instructions on how to use this worksheet are in cells in this column. Arrow-down to get started.</t>
  </si>
  <si>
    <t>Enter Company Name in cell to the right and Logo in cell N2. Title of this worksheet is in cell K2.</t>
  </si>
  <si>
    <t>Tip is in cell K3.</t>
  </si>
  <si>
    <t>Planned Expenses label is in cell to the right, months in cells C4 to N4, Year label in O4, and How to use this template instructions in cell R4.</t>
  </si>
  <si>
    <t>Enter Employee Costs in Employee Plan table starting in cell to the right. Next instruction is in cell A10.</t>
  </si>
  <si>
    <t>Enter Office Costs in Office Plan table starting in cell to the right. Next instruction is in cell A21.</t>
  </si>
  <si>
    <t>Enter Marketing Costs in Marketing Plan table starting in cell to the right. Next instruction is in cell A30.</t>
  </si>
  <si>
    <t>Enter Training and Travel Costs in Training and Travel Plan table starting in cell to the right. Next instruction is in cell A35.</t>
  </si>
  <si>
    <t>Totals are auto-calculated in Planned Total table starting in cell to the right.</t>
  </si>
  <si>
    <t>Company Name</t>
  </si>
  <si>
    <t>PLANNED EXPENSES</t>
  </si>
  <si>
    <t>Employee Costs</t>
  </si>
  <si>
    <t>Wages</t>
  </si>
  <si>
    <t>Benefits</t>
  </si>
  <si>
    <t>Subtotal</t>
  </si>
  <si>
    <t>Office Costs</t>
  </si>
  <si>
    <t>Office lease</t>
  </si>
  <si>
    <t>Gas</t>
  </si>
  <si>
    <t>Electricity</t>
  </si>
  <si>
    <t>Water</t>
  </si>
  <si>
    <t>Telephone</t>
  </si>
  <si>
    <t>Internet access</t>
  </si>
  <si>
    <t>Office supplies</t>
  </si>
  <si>
    <t>Security</t>
  </si>
  <si>
    <t>Marketing Costs</t>
  </si>
  <si>
    <t>Website hosting</t>
  </si>
  <si>
    <t>Website updates</t>
  </si>
  <si>
    <t>Collateral preparation</t>
  </si>
  <si>
    <t>Collateral printing</t>
  </si>
  <si>
    <t>Marketing events</t>
  </si>
  <si>
    <t>Miscellaneous expenses</t>
  </si>
  <si>
    <t>Training/Travel</t>
  </si>
  <si>
    <t>Training classes</t>
  </si>
  <si>
    <t>Training-related travel costs</t>
  </si>
  <si>
    <t>TOTALS</t>
  </si>
  <si>
    <t>Monthly Planned Expenses</t>
  </si>
  <si>
    <t>TOTAL Planned Expenses</t>
  </si>
  <si>
    <t>JAN</t>
  </si>
  <si>
    <t>Jan</t>
  </si>
  <si>
    <t>FEB</t>
  </si>
  <si>
    <t>Feb</t>
  </si>
  <si>
    <t>MAR</t>
  </si>
  <si>
    <t>Mar</t>
  </si>
  <si>
    <t>APR</t>
  </si>
  <si>
    <t>Apr</t>
  </si>
  <si>
    <t>MAY</t>
  </si>
  <si>
    <t>May</t>
  </si>
  <si>
    <t>JUN</t>
  </si>
  <si>
    <t>Jun</t>
  </si>
  <si>
    <t>JUL</t>
  </si>
  <si>
    <t>Jul</t>
  </si>
  <si>
    <t>AUG</t>
  </si>
  <si>
    <t>Aug</t>
  </si>
  <si>
    <t>Detailed Expense Estimates</t>
  </si>
  <si>
    <t>Shaded cells are calculations.</t>
  </si>
  <si>
    <t>SEPT</t>
  </si>
  <si>
    <t>Sep</t>
  </si>
  <si>
    <t>OCT</t>
  </si>
  <si>
    <t>Oct</t>
  </si>
  <si>
    <t>NOV</t>
  </si>
  <si>
    <t>Nov</t>
  </si>
  <si>
    <t>Logo placeholder is in this cell.</t>
  </si>
  <si>
    <t>DEC</t>
  </si>
  <si>
    <t>Dec</t>
  </si>
  <si>
    <t>YEAR</t>
  </si>
  <si>
    <t>Year</t>
  </si>
  <si>
    <t xml:space="preserve"> </t>
  </si>
  <si>
    <t>Tip: HOW TO USE THIS TEMPLATE
Input data in the white cells on the PLANNED EXPENSES and ACTUAL EXPENSES worksheets, and the EXPENSE VARIANCES and EXPENSE ANALYSIS will be calculated for you. If you add a row on one sheet, the other sheets need to match.</t>
  </si>
  <si>
    <t>Enter Actual Employee Costs, Office Costs, Marketing Costs and Training or Travel Cost in the respective tables in this worksheet. Totals are auto-calculated. Helpful instructions on how to use this worksheet are in cells in this column. Arrow-down to get started.</t>
  </si>
  <si>
    <t>Company Name is auto-updated in cell to the right. Title of this worksheet is in cell K2. Enter Logo in cell N2.</t>
  </si>
  <si>
    <t>Actual Expenses label is in cell to the right, months in cells C4 to N4, and Year label in O4.</t>
  </si>
  <si>
    <t>Enter Employee Costs in Employee Actual table starting in cell to the right. Next instruction is in cell A10.</t>
  </si>
  <si>
    <t>Enter Office Costs in Office Actual table starting in cell to the right. Next instruction is in cell A21.</t>
  </si>
  <si>
    <t>Enter Marketing Costs in Marketing Actual table starting in cell to the right. Next instruction is in cell A30.</t>
  </si>
  <si>
    <t>Enter Training or Travel Costs in Training and Travel Actual table starting in cell to the right. Next instruction is in cell A35.</t>
  </si>
  <si>
    <t>Total Actual Expenses are auto-calculated in Total Actual table starting in cell to the right.</t>
  </si>
  <si>
    <t>ACTUAL EXPENSES</t>
  </si>
  <si>
    <t>Monthly Actual Expenses</t>
  </si>
  <si>
    <t>TOTAL Actual Expenses</t>
  </si>
  <si>
    <t>Expense Variances are auto-calculated in this worksheet for Employee Costs, Office Costs, Marketing Costs and Training or Travel Cost in the respective tables in this worksheet. Helpful instructions on how to use this worksheet are in cells in this column. Arrow-down to get started.</t>
  </si>
  <si>
    <t>Expense Variances label is in cell to the right, months in cells C4 to N4, and Year label in O4.</t>
  </si>
  <si>
    <t>Variance in Employee Costs is auto-calculated in Employee Variances table starting in cell to the right. Next instruction is in cell A10.</t>
  </si>
  <si>
    <t>Variance in Office Costs is auto-calculated in Office Variances table starting in cell to the right. Next instruction is in cell A21.</t>
  </si>
  <si>
    <t>Variance in Marketing Costs is auto-calculated in Marketing Variances table starting in cell to the right. Next instruction is in cell A30.</t>
  </si>
  <si>
    <t>Variance in Training or Travel Costs is auto-calculated in Training and Travel Variances table starting in cell to the right. Next instruction is in cell A35.</t>
  </si>
  <si>
    <t>Expense Variances are auto-calculated in Total Variance table starting in cell to the right.</t>
  </si>
  <si>
    <t>EXPENSE VARIANCES</t>
  </si>
  <si>
    <t xml:space="preserve">Annual Planned and Actual Expenses, Expense Variances and Variance Percentage are auto-updated for each Expense Category in this worksheet. Helpful instructions on how to use this worksheet are in cells in this column. Arrow-down to get started. </t>
  </si>
  <si>
    <t>Company Name is auto-updated in cell to the right. Enter Logo in cell F2.</t>
  </si>
  <si>
    <t>Title of this worksheet is in cell E3. Next instruction is in cell A5.</t>
  </si>
  <si>
    <t>Planned Expenses, Actual Expenses, Expense Variance and Variance Percentage are auto-calculated in Analysis table starting in cell to the right. Next instruction is in cell A12.</t>
  </si>
  <si>
    <t>Planned Expenses pie chart is in cell to the right and Actual Expenses pie chart in cell D12. Next instruction is in cell A14.</t>
  </si>
  <si>
    <t>Chart showing Planned, Actual and Variance in Monthly Expenses is in cell to the right.</t>
  </si>
  <si>
    <t>Expense Category</t>
  </si>
  <si>
    <t>Pie chart showing planned expenses for various categories is in this cell.</t>
  </si>
  <si>
    <t>Planned Expenses</t>
  </si>
  <si>
    <t>Actual Expenses</t>
  </si>
  <si>
    <t>Pie chart showing actual expenses incurred for various categories is in this cell.</t>
  </si>
  <si>
    <t>Expense Variances</t>
  </si>
  <si>
    <t>Variance 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</si>
</sst>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2" formatCode="_-&quot;£&quot;* #,##0_-;\-&quot;£&quot;* #,##0_-;_-&quot;£&quot;* &quot;-&quot;_-;_-@_-"/>
    <numFmt numFmtId="44" formatCode="_-&quot;£&quot;* #,##0.00_-;\-&quot;£&quot;* #,##0.00_-;_-&quot;£&quot;* &quot;-&quot;??_-;_-@_-"/>
    <numFmt numFmtId="164" formatCode="_(* #,##0_);_(* \(#,##0\);_(* &quot;-&quot;_);_(@_)"/>
    <numFmt numFmtId="165" formatCode="_(* #,##0.00_);_(* \(#,##0.00\);_(* &quot;-&quot;??_);_(@_)"/>
    <numFmt numFmtId="166" formatCode="&quot;£&quot;#,##0.00;[Red]&quot;£&quot;#,##0.00"/>
    <numFmt numFmtId="168" formatCode="#,##0_ ;\-#,##0\ "/>
  </numFmts>
  <fonts count="54" x14ac:knownFonts="1">
    <font>
      <sz val="9"/>
      <color theme="1" tint="0.24994659260841701"/>
      <name val="Microsoft Sans Serif"/>
      <family val="2"/>
      <scheme val="minor"/>
    </font>
    <font>
      <sz val="11"/>
      <color theme="1"/>
      <name val="Microsoft Sans Serif"/>
      <family val="2"/>
      <scheme val="minor"/>
    </font>
    <font>
      <sz val="14"/>
      <color theme="1"/>
      <name val="Microsoft Sans Serif"/>
      <family val="2"/>
      <scheme val="minor"/>
    </font>
    <font>
      <b/>
      <sz val="14"/>
      <color theme="1"/>
      <name val="Microsoft Sans Serif"/>
      <family val="2"/>
      <scheme val="minor"/>
    </font>
    <font>
      <sz val="10"/>
      <color theme="1"/>
      <name val="Microsoft Sans Serif"/>
      <family val="2"/>
      <scheme val="minor"/>
    </font>
    <font>
      <b/>
      <u/>
      <sz val="10"/>
      <color theme="1"/>
      <name val="Microsoft Sans Serif"/>
      <family val="2"/>
      <scheme val="minor"/>
    </font>
    <font>
      <b/>
      <sz val="10"/>
      <color theme="1"/>
      <name val="Microsoft Sans Serif"/>
      <family val="2"/>
      <scheme val="minor"/>
    </font>
    <font>
      <b/>
      <i/>
      <sz val="10"/>
      <color theme="1"/>
      <name val="Microsoft Sans Serif"/>
      <family val="2"/>
      <scheme val="minor"/>
    </font>
    <font>
      <b/>
      <sz val="22"/>
      <color theme="1" tint="0.24994659260841701"/>
      <name val="Franklin Gothic Book"/>
      <family val="2"/>
      <scheme val="major"/>
    </font>
    <font>
      <sz val="11"/>
      <color theme="1" tint="0.24994659260841701"/>
      <name val="Franklin Gothic Book"/>
      <family val="2"/>
      <scheme val="major"/>
    </font>
    <font>
      <b/>
      <sz val="10"/>
      <color theme="2"/>
      <name val="Franklin Gothic Book"/>
      <family val="2"/>
      <scheme val="major"/>
    </font>
    <font>
      <b/>
      <sz val="14"/>
      <color theme="0"/>
      <name val="Franklin Gothic Book"/>
      <family val="2"/>
      <scheme val="major"/>
    </font>
    <font>
      <i/>
      <sz val="11"/>
      <color theme="3" tint="0.79998168889431442"/>
      <name val="Microsoft Sans Serif"/>
      <family val="2"/>
      <scheme val="minor"/>
    </font>
    <font>
      <b/>
      <sz val="36"/>
      <color theme="0"/>
      <name val="Franklin Gothic Book"/>
      <family val="2"/>
      <scheme val="major"/>
    </font>
    <font>
      <sz val="9"/>
      <color theme="1"/>
      <name val="Microsoft Sans Serif"/>
      <family val="2"/>
      <scheme val="minor"/>
    </font>
    <font>
      <b/>
      <sz val="9"/>
      <color theme="1"/>
      <name val="Microsoft Sans Serif"/>
      <family val="2"/>
      <scheme val="minor"/>
    </font>
    <font>
      <b/>
      <sz val="10"/>
      <color theme="0"/>
      <name val="Microsoft Sans Serif"/>
      <family val="2"/>
      <scheme val="minor"/>
    </font>
    <font>
      <b/>
      <sz val="16"/>
      <color theme="0"/>
      <name val="Franklin Gothic Book"/>
      <family val="2"/>
      <scheme val="major"/>
    </font>
    <font>
      <sz val="10"/>
      <color theme="1" tint="0.24994659260841701"/>
      <name val="Microsoft Sans Serif"/>
      <family val="2"/>
      <scheme val="minor"/>
    </font>
    <font>
      <b/>
      <sz val="10"/>
      <color theme="1" tint="0.24994659260841701"/>
      <name val="Microsoft Sans Serif"/>
      <family val="2"/>
      <scheme val="minor"/>
    </font>
    <font>
      <sz val="9"/>
      <color theme="6" tint="0.39997558519241921"/>
      <name val="Microsoft Sans Serif"/>
      <family val="2"/>
      <scheme val="minor"/>
    </font>
    <font>
      <b/>
      <sz val="14"/>
      <color theme="2"/>
      <name val="Franklin Gothic Book"/>
      <family val="2"/>
      <scheme val="major"/>
    </font>
    <font>
      <sz val="14"/>
      <color theme="3"/>
      <name val="Microsoft Sans Serif"/>
      <family val="2"/>
      <scheme val="minor"/>
    </font>
    <font>
      <b/>
      <sz val="13"/>
      <color theme="3"/>
      <name val="Franklin Gothic Book"/>
      <family val="2"/>
      <scheme val="major"/>
    </font>
    <font>
      <b/>
      <sz val="14"/>
      <color theme="0"/>
      <name val="Microsoft Sans Serif"/>
      <family val="2"/>
      <scheme val="minor"/>
    </font>
    <font>
      <sz val="9"/>
      <name val="Microsoft Sans Serif"/>
      <family val="2"/>
      <scheme val="minor"/>
    </font>
    <font>
      <b/>
      <sz val="9"/>
      <name val="Microsoft Sans Serif"/>
      <family val="2"/>
      <scheme val="minor"/>
    </font>
    <font>
      <b/>
      <sz val="10"/>
      <name val="Microsoft Sans Serif"/>
      <family val="2"/>
      <scheme val="minor"/>
    </font>
    <font>
      <b/>
      <sz val="10"/>
      <color theme="3" tint="-0.499984740745262"/>
      <name val="Franklin Gothic Book"/>
      <family val="2"/>
      <scheme val="major"/>
    </font>
    <font>
      <b/>
      <sz val="14"/>
      <color theme="3"/>
      <name val="Microsoft Sans Serif"/>
      <family val="2"/>
      <scheme val="minor"/>
    </font>
    <font>
      <b/>
      <sz val="14"/>
      <color theme="3" tint="-0.499984740745262"/>
      <name val="Franklin Gothic Book"/>
      <family val="2"/>
      <scheme val="major"/>
    </font>
    <font>
      <sz val="10"/>
      <color theme="5" tint="0.79998168889431442"/>
      <name val="Microsoft Sans Serif"/>
      <family val="2"/>
      <scheme val="minor"/>
    </font>
    <font>
      <b/>
      <sz val="16"/>
      <color theme="0"/>
      <name val="Arial"/>
      <family val="2"/>
    </font>
    <font>
      <sz val="14"/>
      <color theme="3" tint="-0.249977111117893"/>
      <name val="Microsoft Sans Serif"/>
      <family val="2"/>
      <scheme val="minor"/>
    </font>
    <font>
      <sz val="14"/>
      <color theme="6" tint="0.39997558519241921"/>
      <name val="Microsoft Sans Serif"/>
      <family val="2"/>
      <scheme val="minor"/>
    </font>
    <font>
      <sz val="11"/>
      <color theme="6" tint="0.39997558519241921"/>
      <name val="Calibri"/>
      <family val="2"/>
    </font>
    <font>
      <sz val="11"/>
      <color theme="1" tint="4.9989318521683403E-2"/>
      <name val="Calibri"/>
      <family val="2"/>
    </font>
    <font>
      <b/>
      <sz val="11"/>
      <color theme="1" tint="4.9989318521683403E-2"/>
      <name val="Calibri"/>
      <family val="2"/>
    </font>
    <font>
      <i/>
      <sz val="11"/>
      <color theme="0"/>
      <name val="Microsoft Sans Serif"/>
      <family val="2"/>
      <scheme val="minor"/>
    </font>
    <font>
      <b/>
      <sz val="16"/>
      <color theme="3"/>
      <name val="Franklin Gothic Book"/>
      <family val="2"/>
      <scheme val="major"/>
    </font>
    <font>
      <sz val="14"/>
      <color theme="0"/>
      <name val="Microsoft Sans Serif"/>
      <family val="2"/>
      <scheme val="minor"/>
    </font>
    <font>
      <sz val="9"/>
      <color theme="1" tint="0.24994659260841701"/>
      <name val="Microsoft Sans Serif"/>
      <family val="2"/>
      <scheme val="minor"/>
    </font>
    <font>
      <sz val="18"/>
      <color theme="3"/>
      <name val="Franklin Gothic Book"/>
      <family val="2"/>
      <scheme val="major"/>
    </font>
    <font>
      <sz val="11"/>
      <color rgb="FF006100"/>
      <name val="Microsoft Sans Serif"/>
      <family val="2"/>
      <scheme val="minor"/>
    </font>
    <font>
      <sz val="11"/>
      <color rgb="FF9C0006"/>
      <name val="Microsoft Sans Serif"/>
      <family val="2"/>
      <scheme val="minor"/>
    </font>
    <font>
      <sz val="11"/>
      <color rgb="FF9C5700"/>
      <name val="Microsoft Sans Serif"/>
      <family val="2"/>
      <scheme val="minor"/>
    </font>
    <font>
      <sz val="11"/>
      <color rgb="FF3F3F76"/>
      <name val="Microsoft Sans Serif"/>
      <family val="2"/>
      <scheme val="minor"/>
    </font>
    <font>
      <b/>
      <sz val="11"/>
      <color rgb="FF3F3F3F"/>
      <name val="Microsoft Sans Serif"/>
      <family val="2"/>
      <scheme val="minor"/>
    </font>
    <font>
      <b/>
      <sz val="11"/>
      <color rgb="FFFA7D00"/>
      <name val="Microsoft Sans Serif"/>
      <family val="2"/>
      <scheme val="minor"/>
    </font>
    <font>
      <sz val="11"/>
      <color rgb="FFFA7D00"/>
      <name val="Microsoft Sans Serif"/>
      <family val="2"/>
      <scheme val="minor"/>
    </font>
    <font>
      <b/>
      <sz val="11"/>
      <color theme="0"/>
      <name val="Microsoft Sans Serif"/>
      <family val="2"/>
      <scheme val="minor"/>
    </font>
    <font>
      <sz val="11"/>
      <color rgb="FFFF0000"/>
      <name val="Microsoft Sans Serif"/>
      <family val="2"/>
      <scheme val="minor"/>
    </font>
    <font>
      <b/>
      <sz val="11"/>
      <color theme="1"/>
      <name val="Microsoft Sans Serif"/>
      <family val="2"/>
      <scheme val="minor"/>
    </font>
    <font>
      <sz val="11"/>
      <color theme="0"/>
      <name val="Microsoft Sans Serif"/>
      <family val="2"/>
      <scheme val="minor"/>
    </font>
  </fonts>
  <fills count="45">
    <fill>
      <patternFill patternType="none"/>
    </fill>
    <fill>
      <patternFill patternType="gray125"/>
    </fill>
    <fill>
      <patternFill patternType="solid">
        <fgColor theme="5" tint="-0.499984740745262"/>
        <bgColor indexed="64"/>
      </patternFill>
    </fill>
    <fill>
      <patternFill patternType="solid">
        <fgColor theme="3" tint="0.89996032593768116"/>
        <bgColor indexed="64"/>
      </patternFill>
    </fill>
    <fill>
      <patternFill patternType="solid">
        <fgColor theme="3"/>
        <bgColor indexed="64"/>
      </patternFill>
    </fill>
    <fill>
      <patternFill patternType="solid">
        <fgColor theme="5"/>
        <bgColor indexed="64"/>
      </patternFill>
    </fill>
    <fill>
      <patternFill patternType="solid">
        <fgColor theme="4"/>
        <bgColor indexed="64"/>
      </patternFill>
    </fill>
    <fill>
      <patternFill patternType="solid">
        <fgColor theme="7"/>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6" tint="0.3999450666829432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medium">
        <color theme="6" tint="0.39997558519241921"/>
      </left>
      <right style="medium">
        <color theme="6" tint="0.39997558519241921"/>
      </right>
      <top style="medium">
        <color theme="6" tint="0.39997558519241921"/>
      </top>
      <bottom style="medium">
        <color theme="6" tint="0.39997558519241921"/>
      </bottom>
      <diagonal/>
    </border>
    <border>
      <left/>
      <right/>
      <top/>
      <bottom style="medium">
        <color theme="6" tint="0.39997558519241921"/>
      </bottom>
      <diagonal/>
    </border>
    <border>
      <left/>
      <right/>
      <top style="medium">
        <color theme="6" tint="0.39997558519241921"/>
      </top>
      <bottom/>
      <diagonal/>
    </border>
    <border>
      <left style="medium">
        <color theme="6" tint="0.39997558519241921"/>
      </left>
      <right style="medium">
        <color theme="6" tint="0.39997558519241921"/>
      </right>
      <top style="medium">
        <color theme="6" tint="0.39997558519241921"/>
      </top>
      <bottom/>
      <diagonal/>
    </border>
    <border>
      <left/>
      <right style="medium">
        <color theme="6" tint="0.39997558519241921"/>
      </right>
      <top/>
      <bottom/>
      <diagonal/>
    </border>
    <border>
      <left/>
      <right style="medium">
        <color theme="6" tint="0.39997558519241921"/>
      </right>
      <top style="medium">
        <color theme="6" tint="0.39997558519241921"/>
      </top>
      <bottom/>
      <diagonal/>
    </border>
    <border>
      <left style="medium">
        <color theme="6" tint="0.39997558519241921"/>
      </left>
      <right style="medium">
        <color theme="6" tint="0.39997558519241921"/>
      </right>
      <top/>
      <bottom/>
      <diagonal/>
    </border>
    <border>
      <left/>
      <right/>
      <top/>
      <bottom style="medium">
        <color theme="6" tint="0.39994506668294322"/>
      </bottom>
      <diagonal/>
    </border>
    <border>
      <left/>
      <right/>
      <top style="medium">
        <color theme="6" tint="0.39994506668294322"/>
      </top>
      <bottom style="medium">
        <color theme="6" tint="0.39994506668294322"/>
      </bottom>
      <diagonal/>
    </border>
    <border>
      <left/>
      <right/>
      <top style="medium">
        <color theme="6" tint="0.39994506668294322"/>
      </top>
      <bottom/>
      <diagonal/>
    </border>
    <border>
      <left/>
      <right style="medium">
        <color theme="6" tint="0.39991454817346722"/>
      </right>
      <top style="medium">
        <color theme="6" tint="0.39994506668294322"/>
      </top>
      <bottom/>
      <diagonal/>
    </border>
    <border>
      <left style="medium">
        <color theme="6" tint="0.39994506668294322"/>
      </left>
      <right style="medium">
        <color theme="6" tint="0.39994506668294322"/>
      </right>
      <top style="medium">
        <color theme="6" tint="0.39994506668294322"/>
      </top>
      <bottom style="medium">
        <color theme="6" tint="0.39994506668294322"/>
      </bottom>
      <diagonal/>
    </border>
    <border>
      <left/>
      <right style="medium">
        <color theme="6" tint="0.39994506668294322"/>
      </right>
      <top/>
      <bottom style="medium">
        <color theme="6" tint="0.39994506668294322"/>
      </bottom>
      <diagonal/>
    </border>
    <border>
      <left style="medium">
        <color theme="6" tint="0.39994506668294322"/>
      </left>
      <right style="medium">
        <color theme="6" tint="0.39994506668294322"/>
      </right>
      <top/>
      <bottom style="medium">
        <color theme="6" tint="0.39994506668294322"/>
      </bottom>
      <diagonal/>
    </border>
    <border>
      <left style="medium">
        <color theme="6" tint="0.39994506668294322"/>
      </left>
      <right/>
      <top/>
      <bottom style="medium">
        <color theme="6" tint="0.39994506668294322"/>
      </bottom>
      <diagonal/>
    </border>
    <border>
      <left/>
      <right style="medium">
        <color theme="6" tint="0.39994506668294322"/>
      </right>
      <top style="medium">
        <color theme="6" tint="0.39994506668294322"/>
      </top>
      <bottom style="medium">
        <color theme="6" tint="0.39994506668294322"/>
      </bottom>
      <diagonal/>
    </border>
    <border>
      <left style="medium">
        <color theme="6" tint="0.39994506668294322"/>
      </left>
      <right/>
      <top style="medium">
        <color theme="6" tint="0.39994506668294322"/>
      </top>
      <bottom style="medium">
        <color theme="6" tint="0.39994506668294322"/>
      </bottom>
      <diagonal/>
    </border>
    <border>
      <left/>
      <right style="medium">
        <color theme="6" tint="0.39994506668294322"/>
      </right>
      <top style="medium">
        <color theme="6" tint="0.39994506668294322"/>
      </top>
      <bottom/>
      <diagonal/>
    </border>
    <border>
      <left style="medium">
        <color theme="6" tint="0.39994506668294322"/>
      </left>
      <right style="medium">
        <color theme="6" tint="0.39994506668294322"/>
      </right>
      <top style="medium">
        <color theme="6" tint="0.39994506668294322"/>
      </top>
      <bottom/>
      <diagonal/>
    </border>
    <border>
      <left style="medium">
        <color theme="6" tint="0.39994506668294322"/>
      </left>
      <right/>
      <top style="medium">
        <color theme="6" tint="0.39994506668294322"/>
      </top>
      <bottom/>
      <diagonal/>
    </border>
    <border>
      <left/>
      <right style="medium">
        <color theme="6" tint="0.39994506668294322"/>
      </right>
      <top style="medium">
        <color theme="6" tint="0.39991454817346722"/>
      </top>
      <bottom style="medium">
        <color theme="6" tint="0.39994506668294322"/>
      </bottom>
      <diagonal/>
    </border>
    <border>
      <left style="medium">
        <color theme="6" tint="0.39994506668294322"/>
      </left>
      <right style="medium">
        <color theme="6" tint="0.39994506668294322"/>
      </right>
      <top style="medium">
        <color theme="6" tint="0.39991454817346722"/>
      </top>
      <bottom style="medium">
        <color theme="6" tint="0.39994506668294322"/>
      </bottom>
      <diagonal/>
    </border>
    <border>
      <left style="medium">
        <color theme="6" tint="0.39994506668294322"/>
      </left>
      <right/>
      <top style="medium">
        <color theme="6" tint="0.39991454817346722"/>
      </top>
      <bottom style="medium">
        <color theme="6" tint="0.39994506668294322"/>
      </bottom>
      <diagonal/>
    </border>
    <border>
      <left style="medium">
        <color theme="6" tint="0.39988402966399123"/>
      </left>
      <right/>
      <top style="medium">
        <color theme="6" tint="0.39991454817346722"/>
      </top>
      <bottom style="medium">
        <color theme="6" tint="0.39994506668294322"/>
      </bottom>
      <diagonal/>
    </border>
    <border>
      <left style="medium">
        <color theme="6" tint="0.39988402966399123"/>
      </left>
      <right/>
      <top style="medium">
        <color theme="6" tint="0.39994506668294322"/>
      </top>
      <bottom style="medium">
        <color theme="6" tint="0.39994506668294322"/>
      </bottom>
      <diagonal/>
    </border>
    <border>
      <left/>
      <right style="medium">
        <color theme="6" tint="0.39994506668294322"/>
      </right>
      <top style="medium">
        <color theme="6" tint="0.39994506668294322"/>
      </top>
      <bottom style="medium">
        <color theme="6" tint="0.39985351115451523"/>
      </bottom>
      <diagonal/>
    </border>
    <border>
      <left style="medium">
        <color theme="6" tint="0.39994506668294322"/>
      </left>
      <right style="medium">
        <color theme="6" tint="0.39994506668294322"/>
      </right>
      <top style="medium">
        <color theme="6" tint="0.39994506668294322"/>
      </top>
      <bottom style="medium">
        <color theme="6" tint="0.39985351115451523"/>
      </bottom>
      <diagonal/>
    </border>
    <border>
      <left style="medium">
        <color theme="6" tint="0.39994506668294322"/>
      </left>
      <right/>
      <top style="medium">
        <color theme="6" tint="0.39994506668294322"/>
      </top>
      <bottom style="medium">
        <color theme="6" tint="0.39985351115451523"/>
      </bottom>
      <diagonal/>
    </border>
    <border>
      <left style="medium">
        <color theme="6" tint="0.39988402966399123"/>
      </left>
      <right style="medium">
        <color theme="6" tint="0.39985351115451523"/>
      </right>
      <top style="medium">
        <color theme="6" tint="0.39994506668294322"/>
      </top>
      <bottom style="medium">
        <color theme="6" tint="0.39985351115451523"/>
      </bottom>
      <diagonal/>
    </border>
    <border>
      <left/>
      <right style="medium">
        <color theme="6" tint="0.39997558519241921"/>
      </right>
      <top style="medium">
        <color theme="6" tint="0.39997558519241921"/>
      </top>
      <bottom style="medium">
        <color theme="6" tint="0.39997558519241921"/>
      </bottom>
      <diagonal/>
    </border>
    <border>
      <left/>
      <right style="medium">
        <color theme="6" tint="0.39994506668294322"/>
      </right>
      <top/>
      <bottom style="medium">
        <color theme="6"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10" borderId="0"/>
    <xf numFmtId="0" fontId="8" fillId="0" borderId="0" applyNumberFormat="0" applyFill="0" applyProtection="0">
      <alignment vertical="center"/>
    </xf>
    <xf numFmtId="0" fontId="17" fillId="4" borderId="0" applyNumberFormat="0" applyProtection="0">
      <alignment vertical="center"/>
    </xf>
    <xf numFmtId="0" fontId="10" fillId="2" borderId="0" applyNumberFormat="0" applyProtection="0">
      <alignment vertical="center"/>
    </xf>
    <xf numFmtId="0" fontId="9" fillId="3" borderId="1" applyNumberFormat="0" applyProtection="0">
      <alignment horizontal="left" vertical="center" indent="1"/>
    </xf>
    <xf numFmtId="0" fontId="12" fillId="0" borderId="0" applyNumberFormat="0" applyFill="0" applyBorder="0" applyAlignment="0" applyProtection="0"/>
    <xf numFmtId="165" fontId="41" fillId="0" borderId="0" applyFont="0" applyFill="0" applyBorder="0" applyAlignment="0" applyProtection="0"/>
    <xf numFmtId="164" fontId="41" fillId="0" borderId="0" applyFont="0" applyFill="0" applyBorder="0" applyAlignment="0" applyProtection="0"/>
    <xf numFmtId="44" fontId="41" fillId="0" borderId="0" applyFont="0" applyFill="0" applyBorder="0" applyAlignment="0" applyProtection="0"/>
    <xf numFmtId="42" fontId="41" fillId="0" borderId="0" applyFont="0" applyFill="0" applyBorder="0" applyAlignment="0" applyProtection="0"/>
    <xf numFmtId="9" fontId="41" fillId="0" borderId="0" applyFont="0" applyFill="0" applyBorder="0" applyAlignment="0" applyProtection="0"/>
    <xf numFmtId="0" fontId="42" fillId="0" borderId="0" applyNumberFormat="0" applyFill="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5" fillId="16" borderId="0" applyNumberFormat="0" applyBorder="0" applyAlignment="0" applyProtection="0"/>
    <xf numFmtId="0" fontId="46" fillId="17" borderId="33" applyNumberFormat="0" applyAlignment="0" applyProtection="0"/>
    <xf numFmtId="0" fontId="47" fillId="18" borderId="34" applyNumberFormat="0" applyAlignment="0" applyProtection="0"/>
    <xf numFmtId="0" fontId="48" fillId="18" borderId="33" applyNumberFormat="0" applyAlignment="0" applyProtection="0"/>
    <xf numFmtId="0" fontId="49" fillId="0" borderId="35" applyNumberFormat="0" applyFill="0" applyAlignment="0" applyProtection="0"/>
    <xf numFmtId="0" fontId="50" fillId="19" borderId="36" applyNumberFormat="0" applyAlignment="0" applyProtection="0"/>
    <xf numFmtId="0" fontId="51" fillId="0" borderId="0" applyNumberFormat="0" applyFill="0" applyBorder="0" applyAlignment="0" applyProtection="0"/>
    <xf numFmtId="0" fontId="41" fillId="20" borderId="37" applyNumberFormat="0" applyFont="0" applyAlignment="0" applyProtection="0"/>
    <xf numFmtId="0" fontId="52" fillId="0" borderId="38" applyNumberFormat="0" applyFill="0" applyAlignment="0" applyProtection="0"/>
    <xf numFmtId="0" fontId="5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5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5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53"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53"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cellStyleXfs>
  <cellXfs count="146">
    <xf numFmtId="0" fontId="0" fillId="10" borderId="0" xfId="0"/>
    <xf numFmtId="0" fontId="2" fillId="10" borderId="0" xfId="0" applyFont="1"/>
    <xf numFmtId="0" fontId="4" fillId="10" borderId="0" xfId="0" applyNumberFormat="1" applyFont="1" applyAlignment="1"/>
    <xf numFmtId="0" fontId="2" fillId="10" borderId="0" xfId="0" applyFont="1" applyBorder="1"/>
    <xf numFmtId="0" fontId="4" fillId="10" borderId="0" xfId="0" applyFont="1"/>
    <xf numFmtId="0" fontId="4" fillId="10" borderId="0" xfId="0" applyFont="1" applyBorder="1"/>
    <xf numFmtId="9" fontId="0" fillId="10" borderId="0" xfId="0" applyNumberFormat="1" applyFont="1" applyBorder="1" applyAlignment="1">
      <alignment horizontal="right"/>
    </xf>
    <xf numFmtId="0" fontId="2" fillId="4" borderId="0" xfId="0" applyFont="1" applyFill="1" applyAlignment="1">
      <alignment horizontal="left" vertical="top" indent="1"/>
    </xf>
    <xf numFmtId="0" fontId="3" fillId="4" borderId="0" xfId="0" applyNumberFormat="1" applyFont="1" applyFill="1" applyAlignment="1">
      <alignment horizontal="left" vertical="top" indent="1"/>
    </xf>
    <xf numFmtId="0" fontId="5" fillId="4" borderId="0" xfId="0" applyNumberFormat="1" applyFont="1" applyFill="1" applyAlignment="1">
      <alignment horizontal="left" vertical="top" indent="1"/>
    </xf>
    <xf numFmtId="0" fontId="2" fillId="8" borderId="0" xfId="0" applyFont="1" applyFill="1" applyAlignment="1">
      <alignment horizontal="left" vertical="top" indent="1"/>
    </xf>
    <xf numFmtId="0" fontId="22" fillId="10" borderId="0" xfId="0" applyFont="1"/>
    <xf numFmtId="0" fontId="21" fillId="9" borderId="0" xfId="3" applyNumberFormat="1" applyFont="1" applyFill="1" applyAlignment="1">
      <alignment horizontal="left" vertical="center" indent="1"/>
    </xf>
    <xf numFmtId="0" fontId="16" fillId="4" borderId="5" xfId="0" applyNumberFormat="1" applyFont="1" applyFill="1" applyBorder="1" applyAlignment="1">
      <alignment horizontal="left" vertical="center" indent="1"/>
    </xf>
    <xf numFmtId="0" fontId="4" fillId="10" borderId="4" xfId="0" applyNumberFormat="1" applyFont="1" applyBorder="1" applyAlignment="1"/>
    <xf numFmtId="0" fontId="17" fillId="4" borderId="0" xfId="2" applyNumberFormat="1" applyFont="1" applyFill="1" applyAlignment="1"/>
    <xf numFmtId="0" fontId="10" fillId="6" borderId="0" xfId="3" applyNumberFormat="1" applyFill="1" applyAlignment="1">
      <alignment horizontal="left" vertical="center" indent="2"/>
    </xf>
    <xf numFmtId="0" fontId="10" fillId="5" borderId="0" xfId="3" applyNumberFormat="1" applyFill="1" applyAlignment="1">
      <alignment horizontal="left" vertical="center" indent="2"/>
    </xf>
    <xf numFmtId="0" fontId="10" fillId="7" borderId="0" xfId="3" applyNumberFormat="1" applyFill="1" applyAlignment="1">
      <alignment horizontal="left" vertical="center" indent="2"/>
    </xf>
    <xf numFmtId="0" fontId="10" fillId="4" borderId="0" xfId="3" applyNumberFormat="1" applyFill="1" applyAlignment="1">
      <alignment horizontal="left" vertical="center" indent="2"/>
    </xf>
    <xf numFmtId="0" fontId="0" fillId="11" borderId="2" xfId="0" applyNumberFormat="1" applyFont="1" applyFill="1" applyBorder="1" applyAlignment="1">
      <alignment horizontal="left" vertical="center" indent="2"/>
    </xf>
    <xf numFmtId="9" fontId="0" fillId="11" borderId="2" xfId="0" applyNumberFormat="1" applyFont="1" applyFill="1" applyBorder="1" applyAlignment="1">
      <alignment horizontal="right" vertical="center" indent="2"/>
    </xf>
    <xf numFmtId="0" fontId="22" fillId="10" borderId="0" xfId="0" applyFont="1" applyAlignment="1"/>
    <xf numFmtId="0" fontId="23" fillId="12" borderId="0" xfId="3" applyNumberFormat="1" applyFont="1" applyFill="1" applyAlignment="1">
      <alignment horizontal="left"/>
    </xf>
    <xf numFmtId="0" fontId="23" fillId="12" borderId="0" xfId="3" applyNumberFormat="1" applyFont="1" applyFill="1" applyAlignment="1">
      <alignment horizontal="center"/>
    </xf>
    <xf numFmtId="0" fontId="11" fillId="9" borderId="3" xfId="3" applyNumberFormat="1" applyFont="1" applyFill="1" applyBorder="1" applyAlignment="1">
      <alignment horizontal="left" vertical="center" indent="1"/>
    </xf>
    <xf numFmtId="0" fontId="16" fillId="4" borderId="7" xfId="0" applyNumberFormat="1" applyFont="1" applyFill="1" applyBorder="1" applyAlignment="1">
      <alignment horizontal="left" vertical="center" indent="1"/>
    </xf>
    <xf numFmtId="0" fontId="28" fillId="9" borderId="3" xfId="3" applyNumberFormat="1" applyFont="1" applyFill="1" applyBorder="1" applyAlignment="1">
      <alignment vertical="center"/>
    </xf>
    <xf numFmtId="0" fontId="20" fillId="10" borderId="0" xfId="0" applyFont="1" applyAlignment="1">
      <alignment wrapText="1"/>
    </xf>
    <xf numFmtId="0" fontId="21" fillId="9" borderId="3" xfId="3" applyNumberFormat="1" applyFont="1" applyFill="1" applyBorder="1" applyAlignment="1">
      <alignment horizontal="left" vertical="center" indent="1"/>
    </xf>
    <xf numFmtId="0" fontId="30" fillId="9" borderId="0" xfId="3" applyNumberFormat="1" applyFont="1" applyFill="1" applyAlignment="1">
      <alignment vertical="center"/>
    </xf>
    <xf numFmtId="0" fontId="0" fillId="10" borderId="0" xfId="0" applyAlignment="1">
      <alignment vertical="center"/>
    </xf>
    <xf numFmtId="0" fontId="32" fillId="8" borderId="0" xfId="2" applyFont="1" applyFill="1" applyBorder="1" applyAlignment="1">
      <alignment horizontal="center" vertical="center"/>
    </xf>
    <xf numFmtId="0" fontId="33" fillId="8" borderId="0" xfId="0" applyFont="1" applyFill="1" applyAlignment="1">
      <alignment horizontal="left" vertical="top" indent="1"/>
    </xf>
    <xf numFmtId="0" fontId="34" fillId="10" borderId="0" xfId="0" applyFont="1"/>
    <xf numFmtId="0" fontId="33" fillId="8" borderId="0" xfId="0" applyFont="1" applyFill="1" applyAlignment="1">
      <alignment horizontal="left" vertical="top" wrapText="1" indent="1"/>
    </xf>
    <xf numFmtId="0" fontId="34" fillId="10" borderId="0" xfId="0" applyFont="1" applyAlignment="1"/>
    <xf numFmtId="0" fontId="33" fillId="8" borderId="0" xfId="0" applyFont="1" applyFill="1" applyAlignment="1">
      <alignment horizontal="left" vertical="top" wrapText="1"/>
    </xf>
    <xf numFmtId="0" fontId="34" fillId="10" borderId="0" xfId="0" applyFont="1" applyAlignment="1">
      <alignment wrapText="1"/>
    </xf>
    <xf numFmtId="0" fontId="35" fillId="10" borderId="0" xfId="0" applyFont="1" applyAlignment="1">
      <alignment vertical="center" wrapText="1"/>
    </xf>
    <xf numFmtId="0" fontId="2" fillId="10" borderId="0" xfId="0" applyFont="1" applyAlignment="1">
      <alignment wrapText="1"/>
    </xf>
    <xf numFmtId="0" fontId="0" fillId="11" borderId="5" xfId="0" applyNumberFormat="1" applyFont="1" applyFill="1" applyBorder="1" applyAlignment="1">
      <alignment horizontal="left" vertical="center" indent="2"/>
    </xf>
    <xf numFmtId="9" fontId="0" fillId="11" borderId="5" xfId="0" applyNumberFormat="1" applyFont="1" applyFill="1" applyBorder="1" applyAlignment="1">
      <alignment horizontal="right" vertical="center" indent="2"/>
    </xf>
    <xf numFmtId="0" fontId="34" fillId="10" borderId="0" xfId="0" applyFont="1" applyBorder="1"/>
    <xf numFmtId="0" fontId="34" fillId="10" borderId="6" xfId="0" applyFont="1" applyBorder="1"/>
    <xf numFmtId="0" fontId="36" fillId="10" borderId="0" xfId="0" applyFont="1" applyAlignment="1">
      <alignment vertical="center" wrapText="1"/>
    </xf>
    <xf numFmtId="0" fontId="36" fillId="10" borderId="0" xfId="0" applyFont="1" applyAlignment="1">
      <alignment wrapText="1"/>
    </xf>
    <xf numFmtId="0" fontId="37" fillId="10" borderId="0" xfId="0" applyFont="1" applyAlignment="1">
      <alignment vertical="center" wrapText="1"/>
    </xf>
    <xf numFmtId="0" fontId="24" fillId="6" borderId="9" xfId="4" applyNumberFormat="1" applyFont="1" applyFill="1" applyBorder="1" applyAlignment="1">
      <alignment horizontal="left" vertical="center" indent="1"/>
    </xf>
    <xf numFmtId="0" fontId="16" fillId="4" borderId="10" xfId="0" applyNumberFormat="1" applyFont="1" applyFill="1" applyBorder="1" applyAlignment="1">
      <alignment horizontal="left" vertical="center" indent="1"/>
    </xf>
    <xf numFmtId="0" fontId="6" fillId="11" borderId="12" xfId="0" applyFont="1" applyFill="1" applyBorder="1" applyAlignment="1">
      <alignment horizontal="left" vertical="center" indent="1"/>
    </xf>
    <xf numFmtId="0" fontId="6" fillId="11" borderId="12" xfId="0" applyFont="1" applyFill="1" applyBorder="1" applyAlignment="1">
      <alignment horizontal="left" vertical="center" indent="2"/>
    </xf>
    <xf numFmtId="0" fontId="24" fillId="5" borderId="14" xfId="4" applyNumberFormat="1" applyFont="1" applyFill="1" applyBorder="1">
      <alignment horizontal="left" vertical="center" indent="1"/>
    </xf>
    <xf numFmtId="0" fontId="20" fillId="12" borderId="15" xfId="4" applyNumberFormat="1" applyFont="1" applyFill="1" applyBorder="1">
      <alignment horizontal="left" vertical="center" indent="1"/>
    </xf>
    <xf numFmtId="0" fontId="20" fillId="12" borderId="16" xfId="4" applyNumberFormat="1" applyFont="1" applyFill="1" applyBorder="1">
      <alignment horizontal="left" vertical="center" indent="1"/>
    </xf>
    <xf numFmtId="0" fontId="24" fillId="5" borderId="9" xfId="4" applyNumberFormat="1" applyFont="1" applyFill="1" applyBorder="1">
      <alignment horizontal="left" vertical="center" indent="1"/>
    </xf>
    <xf numFmtId="0" fontId="20" fillId="12" borderId="22" xfId="4" applyNumberFormat="1" applyFont="1" applyFill="1" applyBorder="1">
      <alignment horizontal="left" vertical="center" indent="1"/>
    </xf>
    <xf numFmtId="0" fontId="20" fillId="12" borderId="23" xfId="4" applyNumberFormat="1" applyFont="1" applyFill="1" applyBorder="1">
      <alignment horizontal="left" vertical="center" indent="1"/>
    </xf>
    <xf numFmtId="0" fontId="20" fillId="12" borderId="24" xfId="4" applyNumberFormat="1" applyFont="1" applyFill="1" applyBorder="1">
      <alignment horizontal="left" vertical="center" indent="1"/>
    </xf>
    <xf numFmtId="0" fontId="24" fillId="5" borderId="25" xfId="4" applyNumberFormat="1" applyFont="1" applyFill="1" applyBorder="1">
      <alignment horizontal="left" vertical="center" indent="1"/>
    </xf>
    <xf numFmtId="0" fontId="24" fillId="7" borderId="14" xfId="4" applyNumberFormat="1" applyFont="1" applyFill="1" applyBorder="1">
      <alignment horizontal="left" vertical="center" indent="1"/>
    </xf>
    <xf numFmtId="0" fontId="24" fillId="6" borderId="14" xfId="4" applyNumberFormat="1" applyFont="1" applyFill="1" applyBorder="1">
      <alignment horizontal="left" vertical="center" indent="1"/>
    </xf>
    <xf numFmtId="0" fontId="24" fillId="6" borderId="14" xfId="4" applyNumberFormat="1" applyFont="1" applyFill="1" applyBorder="1" applyAlignment="1">
      <alignment horizontal="left" vertical="center" indent="1"/>
    </xf>
    <xf numFmtId="0" fontId="20" fillId="12" borderId="15" xfId="4" applyNumberFormat="1" applyFont="1" applyFill="1" applyBorder="1" applyAlignment="1">
      <alignment horizontal="center" vertical="center"/>
    </xf>
    <xf numFmtId="0" fontId="20" fillId="12" borderId="16" xfId="4" applyNumberFormat="1" applyFont="1" applyFill="1" applyBorder="1" applyAlignment="1">
      <alignment horizontal="center" vertical="center"/>
    </xf>
    <xf numFmtId="0" fontId="20" fillId="12" borderId="14" xfId="4" applyNumberFormat="1" applyFont="1" applyFill="1" applyBorder="1" applyAlignment="1">
      <alignment horizontal="center" vertical="center"/>
    </xf>
    <xf numFmtId="0" fontId="6" fillId="11" borderId="30" xfId="0" applyFont="1" applyFill="1" applyBorder="1" applyAlignment="1">
      <alignment horizontal="left" vertical="center" indent="2"/>
    </xf>
    <xf numFmtId="0" fontId="40" fillId="4" borderId="0" xfId="0" applyFont="1" applyFill="1" applyAlignment="1">
      <alignment horizontal="left" vertical="top" indent="1"/>
    </xf>
    <xf numFmtId="0" fontId="20" fillId="12" borderId="15" xfId="4" applyNumberFormat="1" applyFont="1" applyFill="1" applyBorder="1" applyAlignment="1">
      <alignment horizontal="left" vertical="center" indent="1"/>
    </xf>
    <xf numFmtId="0" fontId="20" fillId="12" borderId="16" xfId="4" applyNumberFormat="1" applyFont="1" applyFill="1" applyBorder="1" applyAlignment="1">
      <alignment horizontal="left" vertical="center" indent="1"/>
    </xf>
    <xf numFmtId="0" fontId="16" fillId="4" borderId="17" xfId="0" applyNumberFormat="1" applyFont="1" applyFill="1" applyBorder="1" applyAlignment="1">
      <alignment horizontal="left" vertical="center" indent="1"/>
    </xf>
    <xf numFmtId="0" fontId="27" fillId="11" borderId="19" xfId="0" applyFont="1" applyFill="1" applyBorder="1" applyAlignment="1">
      <alignment horizontal="left" vertical="center" indent="1"/>
    </xf>
    <xf numFmtId="0" fontId="20" fillId="12" borderId="14" xfId="4" applyNumberFormat="1" applyFont="1" applyFill="1" applyBorder="1" applyAlignment="1">
      <alignment horizontal="left" vertical="center" indent="1"/>
    </xf>
    <xf numFmtId="0" fontId="27" fillId="11" borderId="11" xfId="0" applyFont="1" applyFill="1" applyBorder="1" applyAlignment="1">
      <alignment horizontal="left" vertical="center" indent="1"/>
    </xf>
    <xf numFmtId="0" fontId="27" fillId="11" borderId="19" xfId="0" applyFont="1" applyFill="1" applyBorder="1" applyAlignment="1">
      <alignment horizontal="left" vertical="center" indent="2"/>
    </xf>
    <xf numFmtId="0" fontId="24" fillId="7" borderId="9" xfId="4" applyNumberFormat="1" applyFont="1" applyFill="1" applyBorder="1">
      <alignment horizontal="left" vertical="center" indent="1"/>
    </xf>
    <xf numFmtId="0" fontId="16" fillId="4" borderId="4" xfId="0" applyNumberFormat="1" applyFont="1" applyFill="1" applyBorder="1" applyAlignment="1">
      <alignment horizontal="left" vertical="center" indent="1"/>
    </xf>
    <xf numFmtId="0" fontId="30" fillId="9" borderId="32" xfId="3" applyNumberFormat="1" applyFont="1" applyFill="1" applyBorder="1" applyAlignment="1">
      <alignment vertical="center"/>
    </xf>
    <xf numFmtId="0" fontId="20" fillId="12" borderId="15" xfId="4" applyNumberFormat="1" applyFont="1" applyFill="1" applyBorder="1" applyAlignment="1">
      <alignment horizontal="left"/>
    </xf>
    <xf numFmtId="0" fontId="20" fillId="12" borderId="16" xfId="4" applyNumberFormat="1" applyFont="1" applyFill="1" applyBorder="1" applyAlignment="1">
      <alignment horizontal="left"/>
    </xf>
    <xf numFmtId="0" fontId="19" fillId="11" borderId="19" xfId="0" applyNumberFormat="1" applyFont="1" applyFill="1" applyBorder="1" applyAlignment="1">
      <alignment horizontal="left" vertical="center" indent="1"/>
    </xf>
    <xf numFmtId="0" fontId="18" fillId="11" borderId="19" xfId="0" applyNumberFormat="1" applyFont="1" applyFill="1" applyBorder="1" applyAlignment="1">
      <alignment horizontal="left" vertical="center" indent="2"/>
    </xf>
    <xf numFmtId="0" fontId="6" fillId="11" borderId="19" xfId="0" applyNumberFormat="1" applyFont="1" applyFill="1" applyBorder="1" applyAlignment="1">
      <alignment horizontal="left" vertical="center" indent="1"/>
    </xf>
    <xf numFmtId="0" fontId="19" fillId="11" borderId="19" xfId="0" applyNumberFormat="1" applyFont="1" applyFill="1" applyBorder="1" applyAlignment="1">
      <alignment horizontal="left" vertical="center" indent="2"/>
    </xf>
    <xf numFmtId="0" fontId="0" fillId="11" borderId="2" xfId="0" applyNumberFormat="1" applyFont="1" applyFill="1" applyBorder="1" applyAlignment="1">
      <alignment horizontal="left" vertical="center" indent="1"/>
    </xf>
    <xf numFmtId="0" fontId="16" fillId="4" borderId="26" xfId="0" applyNumberFormat="1" applyFont="1" applyFill="1" applyBorder="1" applyAlignment="1">
      <alignment horizontal="left" vertical="center" indent="1"/>
    </xf>
    <xf numFmtId="0" fontId="0" fillId="10" borderId="0" xfId="0" applyNumberFormat="1" applyFont="1" applyBorder="1" applyAlignment="1">
      <alignment horizontal="left" indent="1"/>
    </xf>
    <xf numFmtId="0" fontId="4" fillId="10" borderId="0" xfId="0" applyFont="1" applyAlignment="1">
      <alignment horizontal="left"/>
    </xf>
    <xf numFmtId="166" fontId="14" fillId="13" borderId="17" xfId="0" applyNumberFormat="1" applyFont="1" applyFill="1" applyBorder="1" applyAlignment="1">
      <alignment horizontal="right" vertical="center"/>
    </xf>
    <xf numFmtId="166" fontId="14" fillId="13" borderId="13" xfId="0" applyNumberFormat="1" applyFont="1" applyFill="1" applyBorder="1" applyAlignment="1">
      <alignment horizontal="right" vertical="center"/>
    </xf>
    <xf numFmtId="166" fontId="14" fillId="11" borderId="18" xfId="0" applyNumberFormat="1" applyFont="1" applyFill="1" applyBorder="1" applyAlignment="1">
      <alignment horizontal="right" vertical="center"/>
    </xf>
    <xf numFmtId="166" fontId="14" fillId="11" borderId="19" xfId="0" applyNumberFormat="1" applyFont="1" applyFill="1" applyBorder="1" applyAlignment="1">
      <alignment horizontal="right" vertical="center"/>
    </xf>
    <xf numFmtId="166" fontId="14" fillId="11" borderId="20" xfId="0" applyNumberFormat="1" applyFont="1" applyFill="1" applyBorder="1" applyAlignment="1">
      <alignment horizontal="right" vertical="center"/>
    </xf>
    <xf numFmtId="166" fontId="14" fillId="11" borderId="21" xfId="0" applyNumberFormat="1" applyFont="1" applyFill="1" applyBorder="1" applyAlignment="1">
      <alignment horizontal="right" vertical="center"/>
    </xf>
    <xf numFmtId="42" fontId="20" fillId="12" borderId="23" xfId="4" applyNumberFormat="1" applyFont="1" applyFill="1" applyBorder="1">
      <alignment horizontal="left" vertical="center" indent="1"/>
    </xf>
    <xf numFmtId="166" fontId="14" fillId="11" borderId="27" xfId="0" applyNumberFormat="1" applyFont="1" applyFill="1" applyBorder="1" applyAlignment="1">
      <alignment horizontal="right" vertical="center"/>
    </xf>
    <xf numFmtId="166" fontId="14" fillId="11" borderId="28" xfId="0" applyNumberFormat="1" applyFont="1" applyFill="1" applyBorder="1" applyAlignment="1">
      <alignment horizontal="right" vertical="center"/>
    </xf>
    <xf numFmtId="166" fontId="14" fillId="11" borderId="29" xfId="0" applyNumberFormat="1" applyFont="1" applyFill="1" applyBorder="1" applyAlignment="1">
      <alignment horizontal="right" vertical="center"/>
    </xf>
    <xf numFmtId="42" fontId="20" fillId="12" borderId="15" xfId="4" applyNumberFormat="1" applyFont="1" applyFill="1" applyBorder="1">
      <alignment horizontal="left" vertical="center" indent="1"/>
    </xf>
    <xf numFmtId="166" fontId="0" fillId="13" borderId="17" xfId="0" applyNumberFormat="1" applyFont="1" applyFill="1" applyBorder="1" applyAlignment="1">
      <alignment horizontal="right" vertical="center"/>
    </xf>
    <xf numFmtId="166" fontId="0" fillId="13" borderId="13" xfId="0" applyNumberFormat="1" applyFont="1" applyFill="1" applyBorder="1" applyAlignment="1">
      <alignment horizontal="right" vertical="center"/>
    </xf>
    <xf numFmtId="166" fontId="0" fillId="11" borderId="18" xfId="0" applyNumberFormat="1" applyFont="1" applyFill="1" applyBorder="1" applyAlignment="1">
      <alignment horizontal="right" vertical="center"/>
    </xf>
    <xf numFmtId="166" fontId="0" fillId="11" borderId="19" xfId="0" applyNumberFormat="1" applyFont="1" applyFill="1" applyBorder="1" applyAlignment="1">
      <alignment horizontal="right" vertical="center"/>
    </xf>
    <xf numFmtId="166" fontId="0" fillId="11" borderId="20" xfId="0" applyNumberFormat="1" applyFont="1" applyFill="1" applyBorder="1" applyAlignment="1">
      <alignment horizontal="right" vertical="center"/>
    </xf>
    <xf numFmtId="166" fontId="0" fillId="11" borderId="21" xfId="0" applyNumberFormat="1" applyFont="1" applyFill="1" applyBorder="1" applyAlignment="1">
      <alignment horizontal="right" vertical="center"/>
    </xf>
    <xf numFmtId="166" fontId="15" fillId="11" borderId="5" xfId="0" applyNumberFormat="1" applyFont="1" applyFill="1" applyBorder="1" applyAlignment="1">
      <alignment horizontal="right" vertical="center"/>
    </xf>
    <xf numFmtId="166" fontId="15" fillId="11" borderId="2" xfId="0" applyNumberFormat="1" applyFont="1" applyFill="1" applyBorder="1" applyAlignment="1">
      <alignment horizontal="right" vertical="center"/>
    </xf>
    <xf numFmtId="42" fontId="20" fillId="12" borderId="15" xfId="4" applyNumberFormat="1" applyFont="1" applyFill="1" applyBorder="1" applyAlignment="1">
      <alignment horizontal="left" vertical="center" indent="1"/>
    </xf>
    <xf numFmtId="166" fontId="0" fillId="11" borderId="19" xfId="0" applyNumberFormat="1" applyFont="1" applyFill="1" applyBorder="1" applyAlignment="1">
      <alignment vertical="center"/>
    </xf>
    <xf numFmtId="166" fontId="0" fillId="11" borderId="20" xfId="0" applyNumberFormat="1" applyFont="1" applyFill="1" applyBorder="1" applyAlignment="1">
      <alignment vertical="center"/>
    </xf>
    <xf numFmtId="166" fontId="0" fillId="11" borderId="21" xfId="0" applyNumberFormat="1" applyFont="1" applyFill="1" applyBorder="1" applyAlignment="1">
      <alignment vertical="center"/>
    </xf>
    <xf numFmtId="166" fontId="25" fillId="11" borderId="20" xfId="0" applyNumberFormat="1" applyFont="1" applyFill="1" applyBorder="1" applyAlignment="1">
      <alignment horizontal="right" vertical="center"/>
    </xf>
    <xf numFmtId="166" fontId="15" fillId="11" borderId="31" xfId="0" applyNumberFormat="1" applyFont="1" applyFill="1" applyBorder="1" applyAlignment="1">
      <alignment horizontal="right"/>
    </xf>
    <xf numFmtId="166" fontId="15" fillId="11" borderId="2" xfId="0" applyNumberFormat="1" applyFont="1" applyFill="1" applyBorder="1" applyAlignment="1">
      <alignment horizontal="right"/>
    </xf>
    <xf numFmtId="166" fontId="15" fillId="11" borderId="6" xfId="0" applyNumberFormat="1" applyFont="1" applyFill="1" applyBorder="1" applyAlignment="1">
      <alignment horizontal="right"/>
    </xf>
    <xf numFmtId="166" fontId="15" fillId="11" borderId="8" xfId="0" applyNumberFormat="1" applyFont="1" applyFill="1" applyBorder="1" applyAlignment="1">
      <alignment horizontal="right"/>
    </xf>
    <xf numFmtId="166" fontId="15" fillId="11" borderId="5" xfId="0" applyNumberFormat="1" applyFont="1" applyFill="1" applyBorder="1" applyAlignment="1">
      <alignment horizontal="right"/>
    </xf>
    <xf numFmtId="166" fontId="14" fillId="11" borderId="20" xfId="0" applyNumberFormat="1" applyFont="1" applyFill="1" applyBorder="1" applyAlignment="1">
      <alignment vertical="center"/>
    </xf>
    <xf numFmtId="166" fontId="26" fillId="11" borderId="2" xfId="0" applyNumberFormat="1" applyFont="1" applyFill="1" applyBorder="1" applyAlignment="1">
      <alignment horizontal="right"/>
    </xf>
    <xf numFmtId="166" fontId="26" fillId="11" borderId="8" xfId="0" applyNumberFormat="1" applyFont="1" applyFill="1" applyBorder="1" applyAlignment="1">
      <alignment horizontal="right"/>
    </xf>
    <xf numFmtId="166" fontId="0" fillId="11" borderId="2" xfId="0" applyNumberFormat="1" applyFont="1" applyFill="1" applyBorder="1" applyAlignment="1">
      <alignment horizontal="right" vertical="center" indent="2"/>
    </xf>
    <xf numFmtId="166" fontId="0" fillId="11" borderId="5" xfId="0" applyNumberFormat="1" applyFont="1" applyFill="1" applyBorder="1" applyAlignment="1">
      <alignment horizontal="right" vertical="center" indent="2"/>
    </xf>
    <xf numFmtId="166" fontId="0" fillId="10" borderId="0" xfId="0" applyNumberFormat="1" applyFont="1" applyBorder="1" applyAlignment="1">
      <alignment horizontal="right"/>
    </xf>
    <xf numFmtId="0" fontId="20" fillId="10" borderId="0" xfId="0" applyFont="1" applyAlignment="1">
      <alignment wrapText="1"/>
    </xf>
    <xf numFmtId="0" fontId="20" fillId="10" borderId="0" xfId="0" applyFont="1"/>
    <xf numFmtId="0" fontId="29" fillId="4" borderId="0" xfId="0" applyNumberFormat="1" applyFont="1" applyFill="1" applyAlignment="1">
      <alignment horizontal="center" vertical="top"/>
    </xf>
    <xf numFmtId="0" fontId="17" fillId="4" borderId="0" xfId="2" applyNumberFormat="1" applyFont="1" applyFill="1" applyAlignment="1">
      <alignment horizontal="left" indent="1"/>
    </xf>
    <xf numFmtId="0" fontId="6" fillId="10" borderId="0" xfId="0" applyNumberFormat="1" applyFont="1" applyBorder="1" applyAlignment="1">
      <alignment horizontal="center"/>
    </xf>
    <xf numFmtId="0" fontId="4" fillId="10" borderId="0" xfId="0" applyNumberFormat="1" applyFont="1" applyBorder="1" applyAlignment="1">
      <alignment horizontal="center"/>
    </xf>
    <xf numFmtId="0" fontId="13" fillId="8" borderId="0" xfId="1" applyNumberFormat="1" applyFont="1" applyFill="1" applyAlignment="1">
      <alignment horizontal="left" vertical="top" indent="1"/>
    </xf>
    <xf numFmtId="0" fontId="12" fillId="4" borderId="0" xfId="5" applyNumberFormat="1" applyFill="1" applyAlignment="1">
      <alignment horizontal="left" vertical="top" indent="1"/>
    </xf>
    <xf numFmtId="0" fontId="38" fillId="4" borderId="0" xfId="5" applyNumberFormat="1" applyFont="1" applyFill="1" applyAlignment="1">
      <alignment horizontal="left" vertical="top" indent="1"/>
    </xf>
    <xf numFmtId="0" fontId="6" fillId="10" borderId="0" xfId="0" applyNumberFormat="1" applyFont="1" applyAlignment="1">
      <alignment horizontal="center"/>
    </xf>
    <xf numFmtId="0" fontId="4" fillId="10" borderId="0" xfId="0" applyNumberFormat="1" applyFont="1" applyAlignment="1">
      <alignment horizontal="center"/>
    </xf>
    <xf numFmtId="0" fontId="31" fillId="11" borderId="0" xfId="0" applyFont="1" applyFill="1" applyAlignment="1">
      <alignment horizontal="center"/>
    </xf>
    <xf numFmtId="0" fontId="31" fillId="11" borderId="0" xfId="0" applyFont="1" applyFill="1" applyAlignment="1">
      <alignment horizontal="left"/>
    </xf>
    <xf numFmtId="0" fontId="4" fillId="10" borderId="0" xfId="0" applyFont="1" applyAlignment="1">
      <alignment horizontal="left"/>
    </xf>
    <xf numFmtId="0" fontId="4" fillId="10" borderId="0" xfId="0" applyFont="1" applyAlignment="1">
      <alignment horizontal="center"/>
    </xf>
    <xf numFmtId="0" fontId="4" fillId="10" borderId="0" xfId="0" applyFont="1" applyAlignment="1">
      <alignment horizontal="left" indent="1"/>
    </xf>
    <xf numFmtId="0" fontId="17" fillId="4" borderId="0" xfId="2" applyNumberFormat="1" applyFont="1" applyFill="1" applyAlignment="1">
      <alignment horizontal="right" vertical="center" indent="3"/>
    </xf>
    <xf numFmtId="0" fontId="39" fillId="4" borderId="0" xfId="2" applyNumberFormat="1" applyFont="1" applyFill="1" applyAlignment="1">
      <alignment horizontal="center" wrapText="1"/>
    </xf>
    <xf numFmtId="0" fontId="3" fillId="8" borderId="0" xfId="0" applyNumberFormat="1" applyFont="1" applyFill="1" applyAlignment="1">
      <alignment horizontal="left" vertical="top" indent="1"/>
    </xf>
    <xf numFmtId="0" fontId="5" fillId="8" borderId="0" xfId="0" applyNumberFormat="1" applyFont="1" applyFill="1" applyAlignment="1">
      <alignment horizontal="left" vertical="top" indent="1"/>
    </xf>
    <xf numFmtId="168" fontId="6" fillId="10" borderId="0" xfId="0" applyNumberFormat="1" applyFont="1" applyAlignment="1">
      <alignment horizontal="right"/>
    </xf>
    <xf numFmtId="168" fontId="7" fillId="10" borderId="0" xfId="0" applyNumberFormat="1" applyFont="1" applyAlignment="1">
      <alignment horizontal="right"/>
    </xf>
    <xf numFmtId="168" fontId="4" fillId="10" borderId="0" xfId="0" applyNumberFormat="1" applyFont="1" applyAlignment="1">
      <alignment horizontal="right"/>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3" builtinId="27" customBuiltin="1"/>
    <cellStyle name="Calculation" xfId="17" builtinId="22" customBuiltin="1"/>
    <cellStyle name="Check Cell" xfId="19" builtinId="23" customBuiltin="1"/>
    <cellStyle name="Comma" xfId="6" builtinId="3" customBuiltin="1"/>
    <cellStyle name="Comma [0]" xfId="7" builtinId="6" customBuiltin="1"/>
    <cellStyle name="Currency" xfId="8" builtinId="4" customBuiltin="1"/>
    <cellStyle name="Currency [0]" xfId="9" builtinId="7" customBuiltin="1"/>
    <cellStyle name="Explanatory Text" xfId="5" builtinId="53" customBuiltin="1"/>
    <cellStyle name="Good" xfId="12" builtinId="26" customBuiltin="1"/>
    <cellStyle name="Heading 1" xfId="1" builtinId="16" customBuiltin="1"/>
    <cellStyle name="Heading 2" xfId="2" builtinId="17" customBuiltin="1"/>
    <cellStyle name="Heading 3" xfId="3" builtinId="18" customBuiltin="1"/>
    <cellStyle name="Heading 4" xfId="4" builtinId="19" customBuiltin="1"/>
    <cellStyle name="Input" xfId="15" builtinId="20" customBuiltin="1"/>
    <cellStyle name="Linked Cell" xfId="18" builtinId="24" customBuiltin="1"/>
    <cellStyle name="Neutral" xfId="14" builtinId="28" customBuiltin="1"/>
    <cellStyle name="Normal" xfId="0" builtinId="0" customBuiltin="1"/>
    <cellStyle name="Note" xfId="21" builtinId="10" customBuiltin="1"/>
    <cellStyle name="Output" xfId="16" builtinId="21" customBuiltin="1"/>
    <cellStyle name="Percent" xfId="10" builtinId="5" customBuiltin="1"/>
    <cellStyle name="Title" xfId="11" builtinId="15" customBuiltin="1"/>
    <cellStyle name="Total" xfId="22" builtinId="25" customBuiltin="1"/>
    <cellStyle name="Warning Text" xfId="20" builtinId="11" customBuiltin="1"/>
  </cellStyles>
  <dxfs count="451">
    <dxf>
      <font>
        <b val="0"/>
        <i val="0"/>
        <strike val="0"/>
        <condense val="0"/>
        <extend val="0"/>
        <outline val="0"/>
        <shadow val="0"/>
        <u val="none"/>
        <vertAlign val="baseline"/>
        <sz val="9"/>
        <color theme="1" tint="0.24994659260841701"/>
        <name val="Microsoft Sans Serif"/>
        <family val="2"/>
        <scheme val="minor"/>
      </font>
      <numFmt numFmtId="167" formatCode="&quot;$&quot;#,##0.00_);[Red]\(&quot;$&quot;#,##0.00\)"/>
      <fill>
        <patternFill patternType="solid">
          <fgColor indexed="64"/>
          <bgColor theme="6" tint="0.79998168889431442"/>
        </patternFill>
      </fill>
      <alignment horizontal="right" vertical="center" textRotation="0" wrapText="0" indent="2"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val="0"/>
        <i val="0"/>
        <strike val="0"/>
        <condense val="0"/>
        <extend val="0"/>
        <outline val="0"/>
        <shadow val="0"/>
        <u val="none"/>
        <vertAlign val="baseline"/>
        <sz val="9"/>
        <color theme="1" tint="0.24994659260841701"/>
        <name val="Microsoft Sans Serif"/>
        <family val="2"/>
        <scheme val="minor"/>
      </font>
      <numFmt numFmtId="167" formatCode="&quot;$&quot;#,##0.00_);[Red]\(&quot;$&quot;#,##0.00\)"/>
      <fill>
        <patternFill patternType="solid">
          <fgColor indexed="64"/>
          <bgColor theme="6" tint="0.79998168889431442"/>
        </patternFill>
      </fill>
      <alignment horizontal="right" vertical="center" textRotation="0" wrapText="0" indent="2"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val="0"/>
        <i val="0"/>
        <strike val="0"/>
        <condense val="0"/>
        <extend val="0"/>
        <outline val="0"/>
        <shadow val="0"/>
        <u val="none"/>
        <vertAlign val="baseline"/>
        <sz val="9"/>
        <color theme="1" tint="0.24994659260841701"/>
        <name val="Microsoft Sans Serif"/>
        <family val="2"/>
        <scheme val="minor"/>
      </font>
      <numFmt numFmtId="167" formatCode="&quot;$&quot;#,##0.00_);[Red]\(&quot;$&quot;#,##0.00\)"/>
      <fill>
        <patternFill patternType="solid">
          <fgColor indexed="64"/>
          <bgColor theme="6" tint="0.79998168889431442"/>
        </patternFill>
      </fill>
      <alignment horizontal="right" vertical="center" textRotation="0" wrapText="0" indent="2"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67"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67"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67"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67"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67"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67"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67"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67"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67"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67"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67"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67"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67"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right style="medium">
          <color theme="6" tint="0.39997558519241921"/>
        </right>
        <top style="medium">
          <color theme="6" tint="0.39997558519241921"/>
        </top>
        <bottom style="medium">
          <color theme="6" tint="0.39997558519241921"/>
        </bottom>
      </border>
    </dxf>
    <dxf>
      <alignmen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border diagonalUp="0" diagonalDown="0">
        <left/>
        <right style="medium">
          <color theme="6" tint="0.39994506668294322"/>
        </right>
        <top style="medium">
          <color theme="6" tint="0.39994506668294322"/>
        </top>
        <bottom style="medium">
          <color theme="6" tint="0.39994506668294322"/>
        </bottom>
      </border>
    </dxf>
    <dxf>
      <alignment horizontal="righ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horizontal="righ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horizontal="righ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ont>
        <b/>
        <i val="0"/>
        <strike val="0"/>
        <condense val="0"/>
        <extend val="0"/>
        <outline val="0"/>
        <shadow val="0"/>
        <u val="none"/>
        <vertAlign val="baseline"/>
        <sz val="9"/>
        <color auto="1"/>
        <name val="Microsoft Sans Serif"/>
        <family val="2"/>
        <scheme val="minor"/>
      </font>
      <numFmt numFmtId="167"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67"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67"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67"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67"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67"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67"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67"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67"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67"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67"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67"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67"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right style="medium">
          <color theme="6" tint="0.39997558519241921"/>
        </right>
        <top style="medium">
          <color theme="6" tint="0.39997558519241921"/>
        </top>
        <bottom style="medium">
          <color theme="6" tint="0.39997558519241921"/>
        </bottom>
      </border>
    </dxf>
    <dxf>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ont>
        <b val="0"/>
      </font>
      <fill>
        <patternFill patternType="solid">
          <fgColor indexed="64"/>
          <bgColor theme="6" tint="0.79998168889431442"/>
        </patternFill>
      </fill>
      <border diagonalUp="0" diagonalDown="0">
        <left style="medium">
          <color theme="6" tint="0.39994506668294322"/>
        </left>
        <right/>
        <top style="medium">
          <color theme="6" tint="0.39994506668294322"/>
        </top>
        <bottom style="medium">
          <color theme="6" tint="0.39994506668294322"/>
        </bottom>
      </border>
    </dxf>
    <dxf>
      <font>
        <b/>
        <i val="0"/>
        <strike val="0"/>
        <condense val="0"/>
        <extend val="0"/>
        <outline val="0"/>
        <shadow val="0"/>
        <u val="none"/>
        <vertAlign val="baseline"/>
        <sz val="9"/>
        <color theme="1"/>
        <name val="Microsoft Sans Serif"/>
        <family val="2"/>
        <scheme val="minor"/>
      </font>
      <numFmt numFmtId="167"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67"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67"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67"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67"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67"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67"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67"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67"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67"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67"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67"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67"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right style="medium">
          <color theme="6" tint="0.39997558519241921"/>
        </right>
        <top style="medium">
          <color theme="6" tint="0.39997558519241921"/>
        </top>
        <bottom/>
      </border>
    </dxf>
    <dxf>
      <font>
        <strike val="0"/>
        <outline val="0"/>
        <shadow val="0"/>
        <u val="none"/>
        <vertAlign val="baseline"/>
        <sz val="9"/>
        <color theme="1"/>
        <name val="Microsoft Sans Serif"/>
        <family val="2"/>
        <scheme val="minor"/>
      </font>
      <border diagonalUp="0" diagonalDown="0">
        <left style="medium">
          <color theme="6" tint="0.39994506668294322"/>
        </left>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fill>
        <patternFill patternType="solid">
          <fgColor indexed="64"/>
          <bgColor theme="0"/>
        </patternFill>
      </fill>
      <border diagonalUp="0" diagonalDown="0">
        <left/>
        <right style="medium">
          <color theme="6" tint="0.39994506668294322"/>
        </right>
        <top style="medium">
          <color theme="6" tint="0.39994506668294322"/>
        </top>
        <bottom style="medium">
          <color theme="6" tint="0.39994506668294322"/>
        </bottom>
      </border>
    </dxf>
    <dxf>
      <alignment horizontal="righ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horizontal="righ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ill>
        <patternFill patternType="solid">
          <fgColor indexed="64"/>
          <bgColor theme="0"/>
        </patternFill>
      </fill>
      <alignment horizontal="righ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fill>
        <patternFill patternType="solid">
          <fgColor indexed="64"/>
          <bgColor theme="0"/>
        </patternFill>
      </fill>
      <alignment horizontal="righ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ont>
        <b val="0"/>
        <i val="0"/>
        <strike val="0"/>
        <condense val="0"/>
        <extend val="0"/>
        <outline val="0"/>
        <shadow val="0"/>
        <u val="none"/>
        <vertAlign val="baseline"/>
        <sz val="9"/>
        <color theme="1" tint="0.24994659260841701"/>
        <name val="Microsoft Sans Serif"/>
        <family val="2"/>
        <scheme val="minor"/>
      </font>
      <numFmt numFmtId="13" formatCode="0%"/>
      <fill>
        <patternFill patternType="solid">
          <fgColor indexed="64"/>
          <bgColor theme="6" tint="0.79998168889431442"/>
        </patternFill>
      </fill>
      <alignment horizontal="right" vertical="center" textRotation="0" wrapText="0" indent="2"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val="0"/>
        <i val="0"/>
        <strike val="0"/>
        <condense val="0"/>
        <extend val="0"/>
        <outline val="0"/>
        <shadow val="0"/>
        <u val="none"/>
        <vertAlign val="baseline"/>
        <sz val="9"/>
        <color theme="1" tint="0.24994659260841701"/>
        <name val="Microsoft Sans Serif"/>
        <family val="2"/>
        <scheme val="minor"/>
      </font>
      <numFmt numFmtId="0" formatCode="General"/>
      <fill>
        <patternFill patternType="solid">
          <fgColor indexed="64"/>
          <bgColor theme="6" tint="0.79998168889431442"/>
        </patternFill>
      </fill>
      <alignment horizontal="left" vertical="center" textRotation="0" wrapText="0" indent="2"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border outline="0">
        <bottom style="medium">
          <color theme="6" tint="0.39997558519241921"/>
        </bottom>
      </border>
    </dxf>
    <dxf>
      <font>
        <b val="0"/>
        <i val="0"/>
        <strike val="0"/>
        <condense val="0"/>
        <extend val="0"/>
        <outline val="0"/>
        <shadow val="0"/>
        <u val="none"/>
        <vertAlign val="baseline"/>
        <sz val="9"/>
        <color theme="1" tint="0.24994659260841701"/>
        <name val="Microsoft Sans Serif"/>
        <family val="2"/>
        <scheme val="minor"/>
      </font>
      <fill>
        <patternFill patternType="solid">
          <fgColor indexed="64"/>
          <bgColor theme="6" tint="0.79998168889431442"/>
        </patternFill>
      </fill>
      <alignment horizontal="right" vertical="center" textRotation="0" wrapText="0" indent="2" justifyLastLine="0" shrinkToFit="0" readingOrder="0"/>
    </dxf>
    <dxf>
      <font>
        <b/>
        <i val="0"/>
        <strike val="0"/>
        <condense val="0"/>
        <extend val="0"/>
        <outline val="0"/>
        <shadow val="0"/>
        <u val="none"/>
        <vertAlign val="baseline"/>
        <sz val="10"/>
        <color theme="0"/>
        <name val="Microsoft Sans Serif"/>
        <family val="2"/>
        <scheme val="minor"/>
      </font>
      <numFmt numFmtId="0" formatCode="General"/>
      <fill>
        <patternFill patternType="solid">
          <fgColor indexed="64"/>
          <bgColor theme="3"/>
        </patternFill>
      </fill>
      <alignment horizontal="left" vertical="center" textRotation="0" wrapText="0" relativeIndent="1" justifyLastLine="0" shrinkToFit="0" readingOrder="0"/>
      <border diagonalUp="0" diagonalDown="0" outline="0">
        <left style="medium">
          <color theme="6" tint="0.39997558519241921"/>
        </left>
        <right style="medium">
          <color theme="6" tint="0.39997558519241921"/>
        </right>
        <top style="medium">
          <color theme="6" tint="0.39997558519241921"/>
        </top>
        <bottom/>
      </border>
    </dxf>
    <dxf>
      <border outline="0">
        <bottom style="medium">
          <color theme="6" tint="0.39997558519241921"/>
        </bottom>
      </border>
    </dxf>
    <dxf>
      <font>
        <b/>
        <i val="0"/>
        <strike val="0"/>
        <condense val="0"/>
        <extend val="0"/>
        <outline val="0"/>
        <shadow val="0"/>
        <u val="none"/>
        <vertAlign val="baseline"/>
        <sz val="9"/>
        <color auto="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dxf>
    <dxf>
      <font>
        <b/>
        <i val="0"/>
        <strike val="0"/>
        <condense val="0"/>
        <extend val="0"/>
        <outline val="0"/>
        <shadow val="0"/>
        <u val="none"/>
        <vertAlign val="baseline"/>
        <sz val="14"/>
        <color theme="2"/>
        <name val="Franklin Gothic Book"/>
        <family val="2"/>
        <scheme val="major"/>
      </font>
      <numFmt numFmtId="0" formatCode="General"/>
      <fill>
        <patternFill patternType="solid">
          <fgColor indexed="64"/>
          <bgColor theme="3" tint="-0.499984740745262"/>
        </patternFill>
      </fill>
      <alignment horizontal="general" vertical="center" textRotation="0" wrapText="0" indent="0" justifyLastLine="0" shrinkToFit="0" readingOrder="0"/>
    </dxf>
    <dxf>
      <numFmt numFmtId="166" formatCode="&quot;£&quot;#,##0.00;[Red]&quot;£&quot;#,##0.00"/>
      <fill>
        <patternFill patternType="solid">
          <fgColor indexed="64"/>
          <bgColor theme="6" tint="0.79998168889431442"/>
        </patternFill>
      </fill>
      <border diagonalUp="0" diagonalDown="0" outline="0">
        <left style="medium">
          <color theme="6" tint="0.39994506668294322"/>
        </left>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6" tint="0.79998168889431442"/>
        </patternFill>
      </fill>
      <border diagonalUp="0" diagonalDown="0" outline="0">
        <left/>
        <right style="medium">
          <color theme="6" tint="0.39994506668294322"/>
        </right>
        <top/>
        <bottom/>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border>
        <top style="medium">
          <color theme="6" tint="0.39994506668294322"/>
        </top>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6" tint="0.79998168889431442"/>
        </patternFill>
      </fill>
      <border diagonalUp="0" diagonalDown="0" outline="0">
        <left/>
        <right style="medium">
          <color theme="6" tint="0.39994506668294322"/>
        </right>
        <top/>
        <bottom/>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border>
        <top style="medium">
          <color theme="6" tint="0.39994506668294322"/>
        </top>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numFmt numFmtId="166" formatCode="&quot;£&quot;#,##0.00;[Red]&quot;£&quot;#,##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top/>
        <bottom/>
      </border>
    </dxf>
    <dxf>
      <numFmt numFmtId="166" formatCode="&quot;£&quot;#,##0.00;[Red]&quot;£&quot;#,##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color theme="1"/>
        <name val="Microsoft Sans Serif"/>
        <family val="2"/>
        <scheme val="minor"/>
      </font>
      <numFmt numFmtId="166" formatCode="&quot;£&quot;#,##0.00;[Red]&quot;£&quot;#,##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color theme="1"/>
        <name val="Microsoft Sans Serif"/>
        <family val="2"/>
        <scheme val="minor"/>
      </font>
      <fill>
        <patternFill patternType="solid">
          <fgColor indexed="64"/>
          <bgColor theme="6" tint="0.79998168889431442"/>
        </patternFill>
      </fill>
      <alignment vertical="center" textRotation="0" wrapText="0" indent="0" justifyLastLine="0" shrinkToFit="0" readingOrder="0"/>
      <border diagonalUp="0" diagonalDown="0" outline="0">
        <left/>
        <right style="medium">
          <color theme="6" tint="0.39994506668294322"/>
        </right>
        <top/>
        <bottom/>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border>
        <top style="medium">
          <color theme="6" tint="0.39994506668294322"/>
        </top>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numFmt numFmtId="166" formatCode="&quot;£&quot;#,##0.00;[Red]&quot;£&quot;#,##0.00"/>
    </dxf>
    <dxf>
      <numFmt numFmtId="166" formatCode="&quot;£&quot;#,##0.00;[Red]&quot;£&quot;#,##0.00"/>
    </dxf>
    <dxf>
      <numFmt numFmtId="166" formatCode="&quot;£&quot;#,##0.00;[Red]&quot;£&quot;#,##0.00"/>
    </dxf>
    <dxf>
      <numFmt numFmtId="166" formatCode="&quot;£&quot;#,##0.00;[Red]&quot;£&quot;#,##0.00"/>
    </dxf>
    <dxf>
      <numFmt numFmtId="166" formatCode="&quot;£&quot;#,##0.00;[Red]&quot;£&quot;#,##0.00"/>
    </dxf>
    <dxf>
      <numFmt numFmtId="166" formatCode="&quot;£&quot;#,##0.00;[Red]&quot;£&quot;#,##0.00"/>
    </dxf>
    <dxf>
      <numFmt numFmtId="166" formatCode="&quot;£&quot;#,##0.00;[Red]&quot;£&quot;#,##0.00"/>
    </dxf>
    <dxf>
      <numFmt numFmtId="166" formatCode="&quot;£&quot;#,##0.00;[Red]&quot;£&quot;#,##0.00"/>
    </dxf>
    <dxf>
      <numFmt numFmtId="166" formatCode="&quot;£&quot;#,##0.00;[Red]&quot;£&quot;#,##0.00"/>
    </dxf>
    <dxf>
      <numFmt numFmtId="166" formatCode="&quot;£&quot;#,##0.00;[Red]&quot;£&quot;#,##0.00"/>
    </dxf>
    <dxf>
      <numFmt numFmtId="166" formatCode="&quot;£&quot;#,##0.00;[Red]&quot;£&quot;#,##0.00"/>
    </dxf>
    <dxf>
      <numFmt numFmtId="166" formatCode="&quot;£&quot;#,##0.00;[Red]&quot;£&quot;#,##0.00"/>
    </dxf>
    <dxf>
      <numFmt numFmtId="166" formatCode="&quot;£&quot;#,##0.00;[Red]&quot;£&quot;#,##0.00"/>
    </dxf>
    <dxf>
      <fill>
        <patternFill patternType="solid">
          <fgColor indexed="64"/>
          <bgColor theme="6" tint="0.79998168889431442"/>
        </patternFill>
      </fill>
      <alignment horizontal="left" vertical="center" textRotation="0" wrapText="0" justifyLastLine="0" shrinkToFit="0" readingOrder="0"/>
      <border diagonalUp="0" diagonalDown="0">
        <left/>
        <right style="medium">
          <color theme="6" tint="0.39994506668294322"/>
        </right>
        <top/>
        <bottom/>
        <vertical style="medium">
          <color theme="6" tint="0.39994506668294322"/>
        </vertical>
        <horizontal style="medium">
          <color theme="6" tint="0.39994506668294322"/>
        </horizontal>
      </border>
    </dxf>
    <dxf>
      <alignment horizontal="left" vertical="center" textRotation="0" wrapText="0" relativeIndent="1" justifyLastLine="0" shrinkToFit="0" readingOrder="0"/>
    </dxf>
    <dxf>
      <border>
        <top style="medium">
          <color theme="6" tint="0.39994506668294322"/>
        </top>
      </border>
    </dxf>
    <dxf>
      <fill>
        <patternFill patternType="solid">
          <fgColor indexed="64"/>
          <bgColor theme="6" tint="0.79998168889431442"/>
        </patternFill>
      </fill>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ont>
        <b/>
        <i val="0"/>
        <strike val="0"/>
        <condense val="0"/>
        <extend val="0"/>
        <outline val="0"/>
        <shadow val="0"/>
        <u val="none"/>
        <vertAlign val="baseline"/>
        <sz val="10"/>
        <color theme="0"/>
        <name val="Microsoft Sans Serif"/>
        <family val="2"/>
        <scheme val="minor"/>
      </font>
      <numFmt numFmtId="0" formatCode="General"/>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7558519241921"/>
        </top>
        <bottom/>
      </border>
    </dxf>
    <dxf>
      <border outline="0">
        <left style="medium">
          <color theme="6" tint="0.39997558519241921"/>
        </left>
        <bottom style="medium">
          <color theme="6" tint="0.39997558519241921"/>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dxf>
    <dxf>
      <font>
        <b/>
        <i val="0"/>
        <strike val="0"/>
        <condense val="0"/>
        <extend val="0"/>
        <outline val="0"/>
        <shadow val="0"/>
        <u val="none"/>
        <vertAlign val="baseline"/>
        <sz val="14"/>
        <color theme="2"/>
        <name val="Franklin Gothic Book"/>
        <family val="2"/>
        <scheme val="major"/>
      </font>
      <numFmt numFmtId="0" formatCode="General"/>
      <fill>
        <patternFill patternType="solid">
          <fgColor indexed="64"/>
          <bgColor theme="3" tint="-0.499984740745262"/>
        </patternFill>
      </fill>
      <alignment horizontal="general" vertical="center" textRotation="0" wrapText="0" indent="0" justifyLastLine="0" shrinkToFit="0" readingOrder="0"/>
    </dxf>
    <dxf>
      <numFmt numFmtId="166" formatCode="&quot;£&quot;#,##0.00;[Red]&quot;£&quot;#,##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top/>
        <bottom/>
      </border>
    </dxf>
    <dxf>
      <numFmt numFmtId="166" formatCode="&quot;£&quot;#,##0.00;[Red]&quot;£&quot;#,##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strike val="0"/>
        <outline val="0"/>
        <shadow val="0"/>
        <u val="none"/>
        <vertAlign val="baseline"/>
        <sz val="10"/>
        <color auto="1"/>
        <name val="Microsoft Sans Serif"/>
        <family val="2"/>
        <scheme val="minor"/>
      </font>
      <fill>
        <patternFill patternType="solid">
          <fgColor indexed="64"/>
          <bgColor theme="6" tint="0.79998168889431442"/>
        </patternFill>
      </fill>
      <alignment horizontal="left" vertical="center" textRotation="0" wrapText="0" indent="0" justifyLastLine="0" shrinkToFit="0" readingOrder="0"/>
      <border diagonalUp="0" diagonalDown="0">
        <left/>
        <right/>
        <top style="medium">
          <color theme="6" tint="0.39994506668294322"/>
        </top>
        <bottom style="medium">
          <color theme="6" tint="0.39994506668294322"/>
        </bottom>
        <vertical/>
        <horizontal style="medium">
          <color theme="6" tint="0.39994506668294322"/>
        </horizontal>
      </border>
    </dxf>
    <dxf>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b/>
        <strike val="0"/>
        <outline val="0"/>
        <shadow val="0"/>
        <u val="none"/>
        <vertAlign val="baseline"/>
        <sz val="10"/>
        <color auto="1"/>
        <name val="Microsoft Sans Serif"/>
        <family val="2"/>
        <scheme val="minor"/>
      </font>
      <fill>
        <patternFill patternType="solid">
          <fgColor indexed="64"/>
          <bgColor theme="6" tint="0.79998168889431442"/>
        </patternFill>
      </fill>
      <alignment horizontal="left" vertical="center" textRotation="0" wrapText="0" justifyLastLine="0" shrinkToFit="0" readingOrder="0"/>
      <border diagonalUp="0" diagonalDown="0" outline="0">
        <left/>
        <right style="medium">
          <color theme="6" tint="0.39994506668294322"/>
        </right>
        <top/>
        <bottom/>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border>
        <top style="medium">
          <color theme="6" tint="0.39994506668294322"/>
        </top>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numFmt numFmtId="166" formatCode="&quot;£&quot;#,##0.00;[Red]&quot;£&quot;#,##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top/>
        <bottom/>
      </border>
    </dxf>
    <dxf>
      <numFmt numFmtId="166" formatCode="&quot;£&quot;#,##0.00;[Red]&quot;£&quot;#,##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color auto="1"/>
        <name val="Microsoft Sans Serif"/>
        <family val="2"/>
        <scheme val="minor"/>
      </font>
      <numFmt numFmtId="166" formatCode="&quot;£&quot;#,##0.00;[Red]&quot;£&quot;#,##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strike val="0"/>
        <outline val="0"/>
        <shadow val="0"/>
        <u val="none"/>
        <vertAlign val="baseline"/>
        <sz val="10"/>
        <color auto="1"/>
        <name val="Microsoft Sans Serif"/>
        <family val="2"/>
        <scheme val="minor"/>
      </font>
      <fill>
        <patternFill patternType="solid">
          <fgColor indexed="64"/>
          <bgColor theme="6" tint="0.79998168889431442"/>
        </patternFill>
      </fill>
      <alignment vertical="center" textRotation="0" wrapText="0" indent="0" justifyLastLine="0" shrinkToFit="0" readingOrder="0"/>
      <border diagonalUp="0" diagonalDown="0">
        <left/>
        <right style="medium">
          <color theme="6" tint="0.39994506668294322"/>
        </right>
        <top/>
        <bottom/>
        <vertical style="medium">
          <color theme="6" tint="0.39994506668294322"/>
        </vertical>
        <horizontal style="medium">
          <color theme="6" tint="0.39994506668294322"/>
        </horizontal>
      </border>
    </dxf>
    <dxf>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10"/>
        <color auto="1"/>
        <name val="Microsoft Sans Serif"/>
        <family val="2"/>
        <scheme val="minor"/>
      </font>
      <fill>
        <patternFill patternType="solid">
          <fgColor indexed="64"/>
          <bgColor theme="6" tint="0.79998168889431442"/>
        </patternFill>
      </fill>
      <border diagonalUp="0" diagonalDown="0">
        <left/>
        <right style="medium">
          <color theme="6" tint="0.39994506668294322"/>
        </right>
        <top/>
        <bottom/>
        <vertical style="medium">
          <color theme="6" tint="0.39994506668294322"/>
        </vertical>
        <horizontal style="medium">
          <color theme="6" tint="0.39994506668294322"/>
        </horizontal>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ont>
        <b/>
        <i val="0"/>
        <strike val="0"/>
        <condense val="0"/>
        <extend val="0"/>
        <outline val="0"/>
        <shadow val="0"/>
        <u val="none"/>
        <vertAlign val="baseline"/>
        <sz val="10"/>
        <color theme="0"/>
        <name val="Microsoft Sans Serif"/>
        <family val="2"/>
        <scheme val="minor"/>
      </font>
      <numFmt numFmtId="0" formatCode="General"/>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7558519241921"/>
        </right>
        <top style="medium">
          <color theme="6" tint="0.39997558519241921"/>
        </top>
        <bottom/>
      </border>
    </dxf>
    <dxf>
      <border outline="0">
        <top style="medium">
          <color theme="6" tint="0.39997558519241921"/>
        </top>
      </border>
    </dxf>
    <dxf>
      <border outline="0">
        <left style="medium">
          <color theme="6" tint="0.39997558519241921"/>
        </left>
        <bottom style="medium">
          <color theme="6" tint="0.39997558519241921"/>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center" textRotation="0" wrapText="0" indent="0" justifyLastLine="0" shrinkToFit="0" readingOrder="0"/>
    </dxf>
    <dxf>
      <border outline="0">
        <bottom style="medium">
          <color theme="6" tint="0.39997558519241921"/>
        </bottom>
      </border>
    </dxf>
    <dxf>
      <font>
        <b/>
        <i val="0"/>
        <strike val="0"/>
        <condense val="0"/>
        <extend val="0"/>
        <outline val="0"/>
        <shadow val="0"/>
        <u val="none"/>
        <vertAlign val="baseline"/>
        <sz val="10"/>
        <color theme="0"/>
        <name val="Franklin Gothic Book"/>
        <family val="2"/>
        <scheme val="major"/>
      </font>
      <numFmt numFmtId="0" formatCode="General"/>
      <fill>
        <patternFill patternType="solid">
          <fgColor indexed="64"/>
          <bgColor theme="3" tint="-0.499984740745262"/>
        </patternFill>
      </fill>
      <alignment horizontal="general" vertical="center" textRotation="0" wrapText="0" indent="0" justifyLastLine="0" shrinkToFit="0" readingOrder="0"/>
    </dxf>
    <dxf>
      <font>
        <strike val="0"/>
        <outline val="0"/>
        <shadow val="0"/>
        <u val="none"/>
        <vertAlign val="baseline"/>
        <sz val="9"/>
        <color theme="1"/>
        <name val="Microsoft Sans Serif"/>
        <family val="2"/>
        <scheme val="minor"/>
      </font>
      <numFmt numFmtId="166" formatCode="&quot;£&quot;#,##0.00;[Red]&quot;£&quot;#,##0.00"/>
      <fill>
        <patternFill patternType="solid">
          <fgColor indexed="64"/>
          <bgColor theme="6" tint="0.79998168889431442"/>
        </patternFill>
      </fill>
      <border diagonalUp="0" diagonalDown="0" outline="0">
        <left style="medium">
          <color theme="6" tint="0.39994506668294322"/>
        </left>
        <right/>
        <top/>
        <bottom/>
      </border>
    </dxf>
    <dxf>
      <font>
        <strike val="0"/>
        <outline val="0"/>
        <shadow val="0"/>
        <u val="none"/>
        <vertAlign val="baseline"/>
        <sz val="9"/>
        <color theme="1"/>
        <name val="Microsoft Sans Serif"/>
        <family val="2"/>
        <scheme val="minor"/>
      </font>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b/>
        <strike val="0"/>
        <outline val="0"/>
        <shadow val="0"/>
        <u val="none"/>
        <vertAlign val="baseline"/>
        <sz val="10"/>
        <color theme="1"/>
        <name val="Microsoft Sans Serif"/>
        <family val="2"/>
        <scheme val="minor"/>
      </font>
      <fill>
        <patternFill patternType="solid">
          <fgColor indexed="64"/>
          <bgColor theme="6" tint="0.79998168889431442"/>
        </patternFill>
      </fill>
      <border diagonalUp="0" diagonalDown="0">
        <left/>
        <right style="medium">
          <color theme="6" tint="0.39991454817346722"/>
        </right>
        <top style="medium">
          <color theme="6" tint="0.39994506668294322"/>
        </top>
        <bottom/>
        <vertical/>
        <horizontal/>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10"/>
        <color theme="1"/>
        <name val="Microsoft Sans Serif"/>
        <family val="2"/>
        <scheme val="minor"/>
      </font>
      <fill>
        <patternFill patternType="solid">
          <fgColor indexed="64"/>
          <bgColor theme="6" tint="0.79998168889431442"/>
        </patternFill>
      </fill>
      <border diagonalUp="0" diagonalDown="0">
        <left/>
        <right style="medium">
          <color theme="6" tint="0.39991454817346722"/>
        </right>
        <top style="medium">
          <color theme="6" tint="0.39994506668294322"/>
        </top>
        <bottom/>
        <vertical/>
        <horizontal/>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numFmt numFmtId="166" formatCode="&quot;£&quot;#,##0.00;[Red]&quot;£&quot;#,##0.00"/>
      <fill>
        <patternFill patternType="solid">
          <fgColor indexed="64"/>
          <bgColor theme="6" tint="0.79998168889431442"/>
        </patternFill>
      </fill>
      <border diagonalUp="0" diagonalDown="0" outline="0">
        <left style="medium">
          <color theme="6" tint="0.39994506668294322"/>
        </left>
        <right/>
        <top/>
        <bottom/>
      </border>
    </dxf>
    <dxf>
      <font>
        <strike val="0"/>
        <outline val="0"/>
        <shadow val="0"/>
        <u val="none"/>
        <vertAlign val="baseline"/>
        <sz val="9"/>
        <color theme="1"/>
        <name val="Microsoft Sans Serif"/>
        <family val="2"/>
        <scheme val="minor"/>
      </font>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quot;£&quot;#,##0.00;[Red]&quot;£&quot;#,##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10"/>
        <color theme="1"/>
        <name val="Microsoft Sans Serif"/>
        <family val="2"/>
        <scheme val="minor"/>
      </font>
      <fill>
        <patternFill patternType="solid">
          <fgColor indexed="64"/>
          <bgColor theme="6" tint="0.79998168889431442"/>
        </patternFill>
      </fill>
      <border diagonalUp="0" diagonalDown="0">
        <left/>
        <right style="medium">
          <color theme="6" tint="0.39991454817346722"/>
        </right>
        <top style="medium">
          <color theme="6" tint="0.39994506668294322"/>
        </top>
        <bottom/>
        <vertical/>
        <horizontal/>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Sans Serif"/>
        <family val="2"/>
        <scheme val="minor"/>
      </font>
      <numFmt numFmtId="166" formatCode="&quot;£&quot;#,##0.00;[Red]&quot;£&quot;#,##0.00"/>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top/>
        <bottom/>
      </border>
    </dxf>
    <dxf>
      <font>
        <b val="0"/>
        <i val="0"/>
        <strike val="0"/>
        <condense val="0"/>
        <extend val="0"/>
        <outline val="0"/>
        <shadow val="0"/>
        <u val="none"/>
        <vertAlign val="baseline"/>
        <sz val="9"/>
        <color theme="1"/>
        <name val="Microsoft Sans Serif"/>
        <family val="2"/>
        <scheme val="minor"/>
      </font>
      <numFmt numFmtId="166" formatCode="&quot;£&quot;#,##0.00;[Red]&quot;£&quot;#,##0.00"/>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Microsoft Sans Serif"/>
        <family val="2"/>
        <scheme val="minor"/>
      </font>
      <numFmt numFmtId="166" formatCode="&quot;£&quot;#,##0.00;[Red]&quot;£&quot;#,##0.00"/>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Microsoft Sans Serif"/>
        <family val="2"/>
        <scheme val="minor"/>
      </font>
      <numFmt numFmtId="166" formatCode="&quot;£&quot;#,##0.00;[Red]&quot;£&quot;#,##0.00"/>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Microsoft Sans Serif"/>
        <family val="2"/>
        <scheme val="minor"/>
      </font>
      <numFmt numFmtId="166" formatCode="&quot;£&quot;#,##0.00;[Red]&quot;£&quot;#,##0.00"/>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Microsoft Sans Serif"/>
        <family val="2"/>
        <scheme val="minor"/>
      </font>
      <numFmt numFmtId="166" formatCode="&quot;£&quot;#,##0.00;[Red]&quot;£&quot;#,##0.00"/>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Microsoft Sans Serif"/>
        <family val="2"/>
        <scheme val="minor"/>
      </font>
      <numFmt numFmtId="166" formatCode="&quot;£&quot;#,##0.00;[Red]&quot;£&quot;#,##0.00"/>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Microsoft Sans Serif"/>
        <family val="2"/>
        <scheme val="minor"/>
      </font>
      <numFmt numFmtId="166" formatCode="&quot;£&quot;#,##0.00;[Red]&quot;£&quot;#,##0.00"/>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Microsoft Sans Serif"/>
        <family val="2"/>
        <scheme val="minor"/>
      </font>
      <numFmt numFmtId="166" formatCode="&quot;£&quot;#,##0.00;[Red]&quot;£&quot;#,##0.00"/>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Microsoft Sans Serif"/>
        <family val="2"/>
        <scheme val="minor"/>
      </font>
      <numFmt numFmtId="166" formatCode="&quot;£&quot;#,##0.00;[Red]&quot;£&quot;#,##0.00"/>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Microsoft Sans Serif"/>
        <family val="2"/>
        <scheme val="minor"/>
      </font>
      <numFmt numFmtId="166" formatCode="&quot;£&quot;#,##0.00;[Red]&quot;£&quot;#,##0.00"/>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Microsoft Sans Serif"/>
        <family val="2"/>
        <scheme val="minor"/>
      </font>
      <numFmt numFmtId="166" formatCode="&quot;£&quot;#,##0.00;[Red]&quot;£&quot;#,##0.00"/>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Microsoft Sans Serif"/>
        <family val="2"/>
        <scheme val="minor"/>
      </font>
      <numFmt numFmtId="166" formatCode="&quot;£&quot;#,##0.00;[Red]&quot;£&quot;#,##0.00"/>
      <fill>
        <patternFill patternType="solid">
          <fgColor indexed="64"/>
          <bgColor theme="6" tint="0.79998168889431442"/>
        </patternFill>
      </fill>
      <alignment horizontal="right" vertical="center" textRotation="0" wrapText="0" indent="0" justifyLastLine="0" shrinkToFit="0" readingOrder="0"/>
      <border diagonalUp="0" diagonalDown="0" outline="0">
        <left/>
        <right style="medium">
          <color theme="6" tint="0.39994506668294322"/>
        </right>
        <top/>
        <bottom/>
      </border>
    </dxf>
    <dxf>
      <font>
        <b/>
        <i val="0"/>
        <strike val="0"/>
        <condense val="0"/>
        <extend val="0"/>
        <outline val="0"/>
        <shadow val="0"/>
        <u val="none"/>
        <vertAlign val="baseline"/>
        <sz val="10"/>
        <color theme="1"/>
        <name val="Microsoft Sans Serif"/>
        <family val="2"/>
        <scheme val="minor"/>
      </font>
      <fill>
        <patternFill patternType="solid">
          <fgColor indexed="64"/>
          <bgColor theme="6" tint="0.79998168889431442"/>
        </patternFill>
      </fill>
      <alignment horizontal="left" vertical="center" textRotation="0" wrapText="0" indent="2" justifyLastLine="0" shrinkToFit="0" readingOrder="0"/>
      <border diagonalUp="0" diagonalDown="0">
        <left style="medium">
          <color theme="6" tint="0.39988402966399123"/>
        </left>
        <right style="medium">
          <color theme="6" tint="0.39985351115451523"/>
        </right>
        <top style="medium">
          <color theme="6" tint="0.39994506668294322"/>
        </top>
        <bottom style="medium">
          <color theme="6" tint="0.39985351115451523"/>
        </bottom>
        <vertical/>
        <horizontal/>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style="medium">
          <color theme="6" tint="0.39988402966399123"/>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right style="medium">
          <color theme="6" tint="0.39994506668294322"/>
        </right>
        <top/>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ont>
        <color auto="1"/>
      </font>
      <fill>
        <patternFill patternType="none">
          <bgColor auto="1"/>
        </patternFill>
      </fill>
      <border diagonalUp="0" diagonalDown="0">
        <left/>
        <right/>
        <top/>
        <bottom/>
        <vertical/>
        <horizontal style="medium">
          <color theme="6" tint="0.39994506668294322"/>
        </horizontal>
      </border>
    </dxf>
    <dxf>
      <font>
        <color theme="1"/>
      </font>
      <fill>
        <patternFill patternType="solid">
          <fgColor theme="0" tint="-0.14993743705557422"/>
          <bgColor theme="0"/>
        </patternFill>
      </fill>
      <border diagonalUp="0" diagonalDown="0">
        <left/>
        <right/>
        <top/>
        <bottom/>
        <vertical/>
        <horizontal style="medium">
          <color theme="6" tint="0.39994506668294322"/>
        </horizontal>
      </border>
    </dxf>
    <dxf>
      <font>
        <b val="0"/>
        <i val="0"/>
        <color theme="1"/>
      </font>
      <fill>
        <patternFill>
          <bgColor theme="6" tint="0.79998168889431442"/>
        </patternFill>
      </fill>
      <border diagonalUp="0" diagonalDown="0">
        <left/>
        <right/>
        <top/>
        <bottom/>
        <vertical/>
        <horizontal style="medium">
          <color theme="6" tint="0.39994506668294322"/>
        </horizontal>
      </border>
    </dxf>
    <dxf>
      <font>
        <color theme="0"/>
      </font>
      <fill>
        <patternFill>
          <fgColor theme="3"/>
          <bgColor theme="3"/>
        </patternFill>
      </fill>
      <border diagonalUp="0" diagonalDown="0">
        <left/>
        <right/>
        <top/>
        <bottom/>
        <vertical/>
        <horizontal style="medium">
          <color theme="6" tint="0.39994506668294322"/>
        </horizontal>
      </border>
    </dxf>
    <dxf>
      <font>
        <b/>
        <i val="0"/>
        <color theme="1"/>
      </font>
      <fill>
        <patternFill>
          <bgColor theme="6" tint="0.79998168889431442"/>
        </patternFill>
      </fill>
      <border diagonalUp="0" diagonalDown="0">
        <left/>
        <right/>
        <top style="medium">
          <color theme="6" tint="0.39994506668294322"/>
        </top>
        <bottom/>
        <vertical style="medium">
          <color theme="6" tint="0.39991454817346722"/>
        </vertical>
        <horizontal/>
      </border>
    </dxf>
    <dxf>
      <font>
        <color theme="6" tint="0.39994506668294322"/>
      </font>
      <fill>
        <patternFill>
          <bgColor theme="6" tint="0.39994506668294322"/>
        </patternFill>
      </fill>
      <border diagonalUp="0" diagonalDown="0">
        <left/>
        <right/>
        <top/>
        <bottom style="medium">
          <color theme="6" tint="0.39994506668294322"/>
        </bottom>
        <vertical/>
        <horizontal/>
      </border>
    </dxf>
    <dxf>
      <font>
        <b val="0"/>
        <i val="0"/>
        <color theme="1"/>
      </font>
      <fill>
        <patternFill>
          <bgColor theme="0"/>
        </patternFill>
      </fill>
      <border diagonalUp="0" diagonalDown="0">
        <left/>
        <right/>
        <top style="medium">
          <color theme="6" tint="0.39994506668294322"/>
        </top>
        <bottom style="medium">
          <color theme="6" tint="0.39994506668294322"/>
        </bottom>
        <vertical style="medium">
          <color theme="6" tint="0.39994506668294322"/>
        </vertical>
        <horizontal style="medium">
          <color theme="6" tint="0.39994506668294322"/>
        </horizontal>
      </border>
    </dxf>
  </dxfs>
  <tableStyles count="1" defaultTableStyle="Detailed expense estimates Table 2" defaultPivotStyle="PivotStyleLight16">
    <tableStyle name="Detailed expense estimates Table 2" pivot="0" count="7" xr9:uid="{00000000-0011-0000-FFFF-FFFF00000000}">
      <tableStyleElement type="wholeTable" dxfId="450"/>
      <tableStyleElement type="headerRow" dxfId="449"/>
      <tableStyleElement type="totalRow" dxfId="448"/>
      <tableStyleElement type="firstColumn" dxfId="447"/>
      <tableStyleElement type="lastColumn" dxfId="446"/>
      <tableStyleElement type="firstRowStripe" size="9" dxfId="445"/>
      <tableStyleElement type="firstColumnStripe" dxfId="444"/>
    </tableStyle>
  </tableStyles>
  <colors>
    <mruColors>
      <color rgb="FF3B893D"/>
      <color rgb="FF99CCFF"/>
      <color rgb="FFFFCC99"/>
      <color rgb="FF800080"/>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icrosoft Sans Serif"/>
                <a:ea typeface="Microsoft Sans Serif"/>
                <a:cs typeface="Microsoft Sans Serif"/>
              </a:defRPr>
            </a:pPr>
            <a:r>
              <a:rPr lang="en-US"/>
              <a:t>Actual Expenses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icrosoft Sans Serif"/>
              <a:ea typeface="Microsoft Sans Serif"/>
              <a:cs typeface="Microsoft Sans Serif"/>
            </a:defRPr>
          </a:pPr>
          <a:endParaRPr lang="en-US"/>
        </a:p>
      </c:txPr>
    </c:title>
    <c:autoTitleDeleted val="0"/>
    <c:plotArea>
      <c:layout/>
      <c:pieChart>
        <c:varyColors val="1"/>
        <c:ser>
          <c:idx val="0"/>
          <c:order val="0"/>
          <c:spPr>
            <a:ln>
              <a:noFill/>
            </a:ln>
          </c:spPr>
          <c:explosion val="15"/>
          <c:dPt>
            <c:idx val="0"/>
            <c:bubble3D val="0"/>
            <c:spPr>
              <a:solidFill>
                <a:schemeClr val="accent4">
                  <a:shade val="58000"/>
                </a:schemeClr>
              </a:solidFill>
              <a:ln w="19050">
                <a:noFill/>
              </a:ln>
              <a:effectLst/>
            </c:spPr>
            <c:extLst>
              <c:ext xmlns:c16="http://schemas.microsoft.com/office/drawing/2014/chart" uri="{C3380CC4-5D6E-409C-BE32-E72D297353CC}">
                <c16:uniqueId val="{00000001-4DF3-409A-87D3-91392B248616}"/>
              </c:ext>
            </c:extLst>
          </c:dPt>
          <c:dPt>
            <c:idx val="1"/>
            <c:bubble3D val="0"/>
            <c:spPr>
              <a:solidFill>
                <a:schemeClr val="accent4">
                  <a:shade val="86000"/>
                </a:schemeClr>
              </a:solidFill>
              <a:ln w="19050">
                <a:noFill/>
              </a:ln>
              <a:effectLst/>
            </c:spPr>
            <c:extLst>
              <c:ext xmlns:c16="http://schemas.microsoft.com/office/drawing/2014/chart" uri="{C3380CC4-5D6E-409C-BE32-E72D297353CC}">
                <c16:uniqueId val="{00000003-4DF3-409A-87D3-91392B248616}"/>
              </c:ext>
            </c:extLst>
          </c:dPt>
          <c:dPt>
            <c:idx val="2"/>
            <c:bubble3D val="0"/>
            <c:spPr>
              <a:solidFill>
                <a:schemeClr val="accent4">
                  <a:tint val="86000"/>
                </a:schemeClr>
              </a:solidFill>
              <a:ln w="19050">
                <a:noFill/>
              </a:ln>
              <a:effectLst/>
            </c:spPr>
            <c:extLst>
              <c:ext xmlns:c16="http://schemas.microsoft.com/office/drawing/2014/chart" uri="{C3380CC4-5D6E-409C-BE32-E72D297353CC}">
                <c16:uniqueId val="{00000005-4DF3-409A-87D3-91392B248616}"/>
              </c:ext>
            </c:extLst>
          </c:dPt>
          <c:dPt>
            <c:idx val="3"/>
            <c:bubble3D val="0"/>
            <c:spPr>
              <a:solidFill>
                <a:schemeClr val="accent4">
                  <a:tint val="58000"/>
                </a:schemeClr>
              </a:solidFill>
              <a:ln w="19050">
                <a:noFill/>
              </a:ln>
              <a:effectLst/>
            </c:spPr>
            <c:extLst>
              <c:ext xmlns:c16="http://schemas.microsoft.com/office/drawing/2014/chart" uri="{C3380CC4-5D6E-409C-BE32-E72D297353CC}">
                <c16:uniqueId val="{00000007-4DF3-409A-87D3-91392B248616}"/>
              </c:ext>
            </c:extLst>
          </c:dPt>
          <c:dLbls>
            <c:dLbl>
              <c:idx val="0"/>
              <c:layout>
                <c:manualLayout>
                  <c:x val="0.16903582257697239"/>
                  <c:y val="-3.670602670985715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DF3-409A-87D3-91392B248616}"/>
                </c:ext>
              </c:extLst>
            </c:dLbl>
            <c:dLbl>
              <c:idx val="1"/>
              <c:layout>
                <c:manualLayout>
                  <c:x val="9.0726906999872875E-2"/>
                  <c:y val="-1.10524981771702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DF3-409A-87D3-91392B248616}"/>
                </c:ext>
              </c:extLst>
            </c:dLbl>
            <c:dLbl>
              <c:idx val="2"/>
              <c:layout>
                <c:manualLayout>
                  <c:x val="6.6360388648343496E-2"/>
                  <c:y val="-2.1544176087003476E-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DF3-409A-87D3-91392B248616}"/>
                </c:ext>
              </c:extLst>
            </c:dLbl>
            <c:dLbl>
              <c:idx val="3"/>
              <c:layout>
                <c:manualLayout>
                  <c:x val="3.9133483346486281E-2"/>
                  <c:y val="0.10124833189842194"/>
                </c:manualLayout>
              </c:layout>
              <c:tx>
                <c:rich>
                  <a:bodyPr/>
                  <a:lstStyle/>
                  <a:p>
                    <a:fld id="{F02D978F-6A2A-478B-85BC-163E41E4501F}" type="CATEGORYNAME">
                      <a:rPr lang="en-US"/>
                      <a:pPr/>
                      <a:t>[CATEGORY NAME]</a:t>
                    </a:fld>
                    <a:fld id="{C381CE7E-0B79-4FA4-A947-F7B4DE86C5B9}" type="PERCENTAGE">
                      <a:rPr lang="en-US" baseline="0"/>
                      <a:pPr/>
                      <a:t>[PERCENTAGE]</a:t>
                    </a:fld>
                    <a:endParaRPr lang="en-US"/>
                  </a:p>
                </c:rich>
              </c:tx>
              <c:dLblPos val="bestFit"/>
              <c:showLegendKey val="0"/>
              <c:showVal val="0"/>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7-4DF3-409A-87D3-91392B248616}"/>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ysClr val="windowText" lastClr="000000"/>
                  </a:solidFill>
                  <a:round/>
                </a:ln>
                <a:effectLst/>
              </c:spPr>
            </c:leaderLines>
            <c:extLst>
              <c:ext xmlns:c15="http://schemas.microsoft.com/office/drawing/2012/chart" uri="{CE6537A1-D6FC-4f65-9D91-7224C49458BB}"/>
            </c:extLst>
          </c:dLbls>
          <c:cat>
            <c:strRef>
              <c:f>'EXPENSE ANALYSIS'!$B$6:$B$9</c:f>
              <c:strCache>
                <c:ptCount val="4"/>
                <c:pt idx="0">
                  <c:v>Employee Costs</c:v>
                </c:pt>
                <c:pt idx="1">
                  <c:v>Office Costs</c:v>
                </c:pt>
                <c:pt idx="2">
                  <c:v>Marketing Costs</c:v>
                </c:pt>
                <c:pt idx="3">
                  <c:v>Training/Travel</c:v>
                </c:pt>
              </c:strCache>
            </c:strRef>
          </c:cat>
          <c:val>
            <c:numRef>
              <c:f>'EXPENSE ANALYSIS'!$D$6:$D$9</c:f>
              <c:numCache>
                <c:formatCode>"£"#,##0.00;[Red]"£"#,##0.00</c:formatCode>
                <c:ptCount val="4"/>
                <c:pt idx="0">
                  <c:v>659130</c:v>
                </c:pt>
                <c:pt idx="1">
                  <c:v>69350</c:v>
                </c:pt>
                <c:pt idx="2">
                  <c:v>33159</c:v>
                </c:pt>
                <c:pt idx="3">
                  <c:v>21300</c:v>
                </c:pt>
              </c:numCache>
            </c:numRef>
          </c:val>
          <c:extLst>
            <c:ext xmlns:c16="http://schemas.microsoft.com/office/drawing/2014/chart" uri="{C3380CC4-5D6E-409C-BE32-E72D297353CC}">
              <c16:uniqueId val="{00000008-4DF3-409A-87D3-91392B248616}"/>
            </c:ext>
          </c:extLst>
        </c:ser>
        <c:dLbls>
          <c:showLegendKey val="0"/>
          <c:showVal val="0"/>
          <c:showCatName val="0"/>
          <c:showSerName val="0"/>
          <c:showPercent val="0"/>
          <c:showBubbleSize val="0"/>
          <c:showLeaderLines val="1"/>
        </c:dLbls>
        <c:firstSliceAng val="100"/>
      </c:pieChart>
      <c:spPr>
        <a:noFill/>
        <a:ln>
          <a:noFill/>
        </a:ln>
        <a:effectLst/>
      </c:spPr>
    </c:plotArea>
    <c:legend>
      <c:legendPos val="b"/>
      <c:layout>
        <c:manualLayout>
          <c:xMode val="edge"/>
          <c:yMode val="edge"/>
          <c:x val="0.23723410124887445"/>
          <c:y val="0.85735021397905353"/>
          <c:w val="0.51702116110545349"/>
          <c:h val="0.114872015837703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icrosoft Sans Serif"/>
              <a:ea typeface="Microsoft Sans Serif"/>
              <a:cs typeface="Microsoft Sans Serif"/>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icrosoft Sans Serif"/>
                <a:ea typeface="Microsoft Sans Serif"/>
                <a:cs typeface="Microsoft Sans Serif"/>
              </a:defRPr>
            </a:pPr>
            <a:r>
              <a:rPr lang="en-US"/>
              <a:t>Monthly Expenses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icrosoft Sans Serif"/>
              <a:ea typeface="Microsoft Sans Serif"/>
              <a:cs typeface="Microsoft Sans Serif"/>
            </a:defRPr>
          </a:pPr>
          <a:endParaRPr lang="en-US"/>
        </a:p>
      </c:txPr>
    </c:title>
    <c:autoTitleDeleted val="0"/>
    <c:plotArea>
      <c:layout/>
      <c:barChart>
        <c:barDir val="col"/>
        <c:grouping val="clustered"/>
        <c:varyColors val="0"/>
        <c:ser>
          <c:idx val="1"/>
          <c:order val="1"/>
          <c:tx>
            <c:v>Planned</c:v>
          </c:tx>
          <c:spPr>
            <a:solidFill>
              <a:schemeClr val="accent3"/>
            </a:solidFill>
            <a:ln>
              <a:noFill/>
            </a:ln>
            <a:effectLst/>
          </c:spPr>
          <c:invertIfNegative val="0"/>
          <c:val>
            <c:numRef>
              <c:f>'PLANNED EXPENSES'!$C$36:$N$36</c:f>
              <c:numCache>
                <c:formatCode>"£"#,##0.00;[Red]"£"#,##0.00</c:formatCode>
                <c:ptCount val="12"/>
                <c:pt idx="0">
                  <c:v>131420</c:v>
                </c:pt>
                <c:pt idx="1">
                  <c:v>126820</c:v>
                </c:pt>
                <c:pt idx="2">
                  <c:v>126820</c:v>
                </c:pt>
                <c:pt idx="3">
                  <c:v>137695</c:v>
                </c:pt>
                <c:pt idx="4">
                  <c:v>129695</c:v>
                </c:pt>
                <c:pt idx="5">
                  <c:v>130495</c:v>
                </c:pt>
                <c:pt idx="6">
                  <c:v>134695</c:v>
                </c:pt>
                <c:pt idx="7">
                  <c:v>138918</c:v>
                </c:pt>
                <c:pt idx="8">
                  <c:v>135918</c:v>
                </c:pt>
                <c:pt idx="9">
                  <c:v>140918</c:v>
                </c:pt>
                <c:pt idx="10">
                  <c:v>136218</c:v>
                </c:pt>
                <c:pt idx="11">
                  <c:v>140018</c:v>
                </c:pt>
              </c:numCache>
            </c:numRef>
          </c:val>
          <c:extLst>
            <c:ext xmlns:c16="http://schemas.microsoft.com/office/drawing/2014/chart" uri="{C3380CC4-5D6E-409C-BE32-E72D297353CC}">
              <c16:uniqueId val="{00000000-135D-4DB7-A511-401DE3785DC9}"/>
            </c:ext>
          </c:extLst>
        </c:ser>
        <c:ser>
          <c:idx val="2"/>
          <c:order val="2"/>
          <c:tx>
            <c:v>Actual</c:v>
          </c:tx>
          <c:spPr>
            <a:solidFill>
              <a:schemeClr val="accent3">
                <a:tint val="65000"/>
              </a:schemeClr>
            </a:solidFill>
            <a:ln>
              <a:noFill/>
            </a:ln>
            <a:effectLst/>
          </c:spPr>
          <c:invertIfNegative val="0"/>
          <c:val>
            <c:numRef>
              <c:f>'ACTUAL EXPENSES'!$C$36:$N$36</c:f>
              <c:numCache>
                <c:formatCode>"£"#,##0.00;[Red]"£"#,##0.00</c:formatCode>
                <c:ptCount val="12"/>
                <c:pt idx="0">
                  <c:v>129682</c:v>
                </c:pt>
                <c:pt idx="1">
                  <c:v>127804</c:v>
                </c:pt>
                <c:pt idx="2">
                  <c:v>125565</c:v>
                </c:pt>
                <c:pt idx="3">
                  <c:v>137394</c:v>
                </c:pt>
                <c:pt idx="4">
                  <c:v>128255</c:v>
                </c:pt>
                <c:pt idx="5">
                  <c:v>134239</c:v>
                </c:pt>
                <c:pt idx="6">
                  <c:v>0</c:v>
                </c:pt>
                <c:pt idx="7">
                  <c:v>0</c:v>
                </c:pt>
                <c:pt idx="8">
                  <c:v>0</c:v>
                </c:pt>
                <c:pt idx="9">
                  <c:v>0</c:v>
                </c:pt>
                <c:pt idx="10">
                  <c:v>0</c:v>
                </c:pt>
                <c:pt idx="11">
                  <c:v>0</c:v>
                </c:pt>
              </c:numCache>
            </c:numRef>
          </c:val>
          <c:extLst>
            <c:ext xmlns:c16="http://schemas.microsoft.com/office/drawing/2014/chart" uri="{C3380CC4-5D6E-409C-BE32-E72D297353CC}">
              <c16:uniqueId val="{00000001-135D-4DB7-A511-401DE3785DC9}"/>
            </c:ext>
          </c:extLst>
        </c:ser>
        <c:dLbls>
          <c:showLegendKey val="0"/>
          <c:showVal val="0"/>
          <c:showCatName val="0"/>
          <c:showSerName val="0"/>
          <c:showPercent val="0"/>
          <c:showBubbleSize val="0"/>
        </c:dLbls>
        <c:gapWidth val="100"/>
        <c:axId val="362146616"/>
        <c:axId val="362147008"/>
      </c:barChart>
      <c:lineChart>
        <c:grouping val="standard"/>
        <c:varyColors val="0"/>
        <c:ser>
          <c:idx val="0"/>
          <c:order val="0"/>
          <c:tx>
            <c:v>Variance</c:v>
          </c:tx>
          <c:spPr>
            <a:ln w="28575" cap="rnd">
              <a:solidFill>
                <a:schemeClr val="accent3">
                  <a:shade val="65000"/>
                </a:schemeClr>
              </a:solidFill>
              <a:round/>
            </a:ln>
            <a:effectLst/>
          </c:spPr>
          <c:marker>
            <c:symbol val="none"/>
          </c:marker>
          <c:val>
            <c:numRef>
              <c:f>'EXPENSE VARIANCES'!$C$36:$N$36</c:f>
              <c:numCache>
                <c:formatCode>"£"#,##0.00;[Red]"£"#,##0.00</c:formatCode>
                <c:ptCount val="12"/>
                <c:pt idx="0">
                  <c:v>1738</c:v>
                </c:pt>
                <c:pt idx="1">
                  <c:v>-984</c:v>
                </c:pt>
                <c:pt idx="2">
                  <c:v>1255</c:v>
                </c:pt>
                <c:pt idx="3">
                  <c:v>301</c:v>
                </c:pt>
                <c:pt idx="4">
                  <c:v>1440</c:v>
                </c:pt>
                <c:pt idx="5">
                  <c:v>-3744</c:v>
                </c:pt>
                <c:pt idx="6">
                  <c:v>134695</c:v>
                </c:pt>
                <c:pt idx="7">
                  <c:v>138918</c:v>
                </c:pt>
                <c:pt idx="8">
                  <c:v>135918</c:v>
                </c:pt>
                <c:pt idx="9">
                  <c:v>140918</c:v>
                </c:pt>
                <c:pt idx="10">
                  <c:v>136218</c:v>
                </c:pt>
                <c:pt idx="11">
                  <c:v>140018</c:v>
                </c:pt>
              </c:numCache>
            </c:numRef>
          </c:val>
          <c:smooth val="0"/>
          <c:extLst>
            <c:ext xmlns:c16="http://schemas.microsoft.com/office/drawing/2014/chart" uri="{C3380CC4-5D6E-409C-BE32-E72D297353CC}">
              <c16:uniqueId val="{00000002-135D-4DB7-A511-401DE3785DC9}"/>
            </c:ext>
          </c:extLst>
        </c:ser>
        <c:dLbls>
          <c:showLegendKey val="0"/>
          <c:showVal val="0"/>
          <c:showCatName val="0"/>
          <c:showSerName val="0"/>
          <c:showPercent val="0"/>
          <c:showBubbleSize val="0"/>
        </c:dLbls>
        <c:marker val="1"/>
        <c:smooth val="0"/>
        <c:axId val="362146616"/>
        <c:axId val="362147008"/>
      </c:lineChart>
      <c:catAx>
        <c:axId val="3621466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62147008"/>
        <c:crosses val="autoZero"/>
        <c:auto val="1"/>
        <c:lblAlgn val="ctr"/>
        <c:lblOffset val="100"/>
        <c:noMultiLvlLbl val="0"/>
      </c:catAx>
      <c:valAx>
        <c:axId val="362147008"/>
        <c:scaling>
          <c:orientation val="minMax"/>
        </c:scaling>
        <c:delete val="0"/>
        <c:axPos val="l"/>
        <c:majorGridlines>
          <c:spPr>
            <a:ln w="9525" cap="flat" cmpd="sng" algn="ctr">
              <a:solidFill>
                <a:schemeClr val="bg2">
                  <a:lumMod val="50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Expenses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quot;£&quot;#,##0.00_);[Red]\(&quot;£&quot;#,##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62146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icrosoft Sans Serif"/>
              <a:ea typeface="Microsoft Sans Serif"/>
              <a:cs typeface="Microsoft Sans Serif"/>
            </a:defRPr>
          </a:pPr>
          <a:endParaRPr lang="en-US"/>
        </a:p>
      </c:txPr>
    </c:legend>
    <c:plotVisOnly val="1"/>
    <c:dispBlanksAs val="gap"/>
    <c:showDLblsOverMax val="0"/>
  </c:chart>
  <c:spPr>
    <a:solidFill>
      <a:schemeClr val="accent3">
        <a:lumMod val="20000"/>
        <a:lumOff val="80000"/>
      </a:schemeClr>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icrosoft Sans Serif"/>
                <a:ea typeface="Microsoft Sans Serif"/>
                <a:cs typeface="Microsoft Sans Serif"/>
              </a:defRPr>
            </a:pPr>
            <a:r>
              <a:rPr lang="en-US"/>
              <a:t>Planned Expenses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icrosoft Sans Serif"/>
              <a:ea typeface="Microsoft Sans Serif"/>
              <a:cs typeface="Microsoft Sans Serif"/>
            </a:defRPr>
          </a:pPr>
          <a:endParaRPr lang="en-US"/>
        </a:p>
      </c:txPr>
    </c:title>
    <c:autoTitleDeleted val="0"/>
    <c:plotArea>
      <c:layout/>
      <c:pieChart>
        <c:varyColors val="1"/>
        <c:ser>
          <c:idx val="0"/>
          <c:order val="0"/>
          <c:spPr>
            <a:ln>
              <a:noFill/>
            </a:ln>
          </c:spPr>
          <c:explosion val="14"/>
          <c:dPt>
            <c:idx val="0"/>
            <c:bubble3D val="0"/>
            <c:spPr>
              <a:solidFill>
                <a:schemeClr val="accent3">
                  <a:shade val="58000"/>
                </a:schemeClr>
              </a:solidFill>
              <a:ln w="19050">
                <a:noFill/>
              </a:ln>
              <a:effectLst/>
            </c:spPr>
            <c:extLst>
              <c:ext xmlns:c16="http://schemas.microsoft.com/office/drawing/2014/chart" uri="{C3380CC4-5D6E-409C-BE32-E72D297353CC}">
                <c16:uniqueId val="{00000001-575C-4225-ACC7-D51DAEA0E7C6}"/>
              </c:ext>
            </c:extLst>
          </c:dPt>
          <c:dPt>
            <c:idx val="1"/>
            <c:bubble3D val="0"/>
            <c:spPr>
              <a:solidFill>
                <a:schemeClr val="accent3">
                  <a:shade val="86000"/>
                </a:schemeClr>
              </a:solidFill>
              <a:ln w="19050">
                <a:noFill/>
              </a:ln>
              <a:effectLst/>
            </c:spPr>
            <c:extLst>
              <c:ext xmlns:c16="http://schemas.microsoft.com/office/drawing/2014/chart" uri="{C3380CC4-5D6E-409C-BE32-E72D297353CC}">
                <c16:uniqueId val="{00000003-575C-4225-ACC7-D51DAEA0E7C6}"/>
              </c:ext>
            </c:extLst>
          </c:dPt>
          <c:dPt>
            <c:idx val="2"/>
            <c:bubble3D val="0"/>
            <c:spPr>
              <a:solidFill>
                <a:schemeClr val="accent3">
                  <a:tint val="86000"/>
                </a:schemeClr>
              </a:solidFill>
              <a:ln w="19050">
                <a:noFill/>
              </a:ln>
              <a:effectLst/>
            </c:spPr>
            <c:extLst>
              <c:ext xmlns:c16="http://schemas.microsoft.com/office/drawing/2014/chart" uri="{C3380CC4-5D6E-409C-BE32-E72D297353CC}">
                <c16:uniqueId val="{00000005-575C-4225-ACC7-D51DAEA0E7C6}"/>
              </c:ext>
            </c:extLst>
          </c:dPt>
          <c:dPt>
            <c:idx val="3"/>
            <c:bubble3D val="0"/>
            <c:spPr>
              <a:solidFill>
                <a:schemeClr val="accent3">
                  <a:tint val="58000"/>
                </a:schemeClr>
              </a:solidFill>
              <a:ln w="19050">
                <a:noFill/>
              </a:ln>
              <a:effectLst/>
            </c:spPr>
            <c:extLst>
              <c:ext xmlns:c16="http://schemas.microsoft.com/office/drawing/2014/chart" uri="{C3380CC4-5D6E-409C-BE32-E72D297353CC}">
                <c16:uniqueId val="{00000007-575C-4225-ACC7-D51DAEA0E7C6}"/>
              </c:ext>
            </c:extLst>
          </c:dPt>
          <c:dLbls>
            <c:dLbl>
              <c:idx val="0"/>
              <c:layout>
                <c:manualLayout>
                  <c:x val="0.19045364340543908"/>
                  <c:y val="-8.0111275153105857E-2"/>
                </c:manualLayout>
              </c:layout>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5C-4225-ACC7-D51DAEA0E7C6}"/>
                </c:ext>
              </c:extLst>
            </c:dLbl>
            <c:dLbl>
              <c:idx val="1"/>
              <c:layout>
                <c:manualLayout>
                  <c:x val="6.6352404397343898E-2"/>
                  <c:y val="-7.2949475065616802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75C-4225-ACC7-D51DAEA0E7C6}"/>
                </c:ext>
              </c:extLst>
            </c:dLbl>
            <c:dLbl>
              <c:idx val="2"/>
              <c:layout>
                <c:manualLayout>
                  <c:x val="3.6636462570781757E-2"/>
                  <c:y val="-6.7317366579177605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75C-4225-ACC7-D51DAEA0E7C6}"/>
                </c:ext>
              </c:extLst>
            </c:dLbl>
            <c:dLbl>
              <c:idx val="3"/>
              <c:layout>
                <c:manualLayout>
                  <c:x val="7.4682682403057737E-3"/>
                  <c:y val="9.174568022747156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75C-4225-ACC7-D51DAEA0E7C6}"/>
                </c:ext>
              </c:extLst>
            </c:dLbl>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ysClr val="windowText" lastClr="000000"/>
                  </a:solidFill>
                  <a:round/>
                </a:ln>
                <a:effectLst/>
              </c:spPr>
            </c:leaderLines>
            <c:extLst>
              <c:ext xmlns:c15="http://schemas.microsoft.com/office/drawing/2012/chart" uri="{CE6537A1-D6FC-4f65-9D91-7224C49458BB}"/>
            </c:extLst>
          </c:dLbls>
          <c:cat>
            <c:strRef>
              <c:f>'EXPENSE ANALYSIS'!$B$6:$B$9</c:f>
              <c:strCache>
                <c:ptCount val="4"/>
                <c:pt idx="0">
                  <c:v>Employee Costs</c:v>
                </c:pt>
                <c:pt idx="1">
                  <c:v>Office Costs</c:v>
                </c:pt>
                <c:pt idx="2">
                  <c:v>Marketing Costs</c:v>
                </c:pt>
                <c:pt idx="3">
                  <c:v>Training/Travel</c:v>
                </c:pt>
              </c:strCache>
            </c:strRef>
          </c:cat>
          <c:val>
            <c:numRef>
              <c:f>'EXPENSE ANALYSIS'!$C$6:$C$9</c:f>
              <c:numCache>
                <c:formatCode>"£"#,##0.00;[Red]"£"#,##0.00</c:formatCode>
                <c:ptCount val="4"/>
                <c:pt idx="0">
                  <c:v>1355090</c:v>
                </c:pt>
                <c:pt idx="1">
                  <c:v>138740</c:v>
                </c:pt>
                <c:pt idx="2">
                  <c:v>67800</c:v>
                </c:pt>
                <c:pt idx="3">
                  <c:v>48000</c:v>
                </c:pt>
              </c:numCache>
            </c:numRef>
          </c:val>
          <c:extLst>
            <c:ext xmlns:c16="http://schemas.microsoft.com/office/drawing/2014/chart" uri="{C3380CC4-5D6E-409C-BE32-E72D297353CC}">
              <c16:uniqueId val="{00000008-575C-4225-ACC7-D51DAEA0E7C6}"/>
            </c:ext>
          </c:extLst>
        </c:ser>
        <c:dLbls>
          <c:showLegendKey val="0"/>
          <c:showVal val="0"/>
          <c:showCatName val="0"/>
          <c:showSerName val="0"/>
          <c:showPercent val="0"/>
          <c:showBubbleSize val="0"/>
          <c:showLeaderLines val="1"/>
        </c:dLbls>
        <c:firstSliceAng val="100"/>
      </c:pieChart>
      <c:spPr>
        <a:noFill/>
        <a:ln>
          <a:noFill/>
        </a:ln>
        <a:effectLst/>
      </c:spPr>
    </c:plotArea>
    <c:legend>
      <c:legendPos val="b"/>
      <c:layout>
        <c:manualLayout>
          <c:xMode val="edge"/>
          <c:yMode val="edge"/>
          <c:x val="0.21555807741327232"/>
          <c:y val="0.86776684164479445"/>
          <c:w val="0.57184023837375098"/>
          <c:h val="0.1079276027996500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icrosoft Sans Serif"/>
              <a:ea typeface="Microsoft Sans Serif"/>
              <a:cs typeface="Microsoft Sans Serif"/>
            </a:defRPr>
          </a:pPr>
          <a:endParaRPr lang="en-US"/>
        </a:p>
      </c:txPr>
    </c:legend>
    <c:plotVisOnly val="1"/>
    <c:dispBlanksAs val="gap"/>
    <c:showDLblsOverMax val="0"/>
  </c:chart>
  <c:spPr>
    <a:noFill/>
    <a:ln w="9525" cap="flat" cmpd="sng" algn="ctr">
      <a:no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withinLinear" id="16">
  <a:schemeClr val="accent3"/>
</cs:colorStyle>
</file>

<file path=xl/charts/colors3.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sv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27504</xdr:colOff>
      <xdr:row>3</xdr:row>
      <xdr:rowOff>0</xdr:rowOff>
    </xdr:from>
    <xdr:to>
      <xdr:col>20</xdr:col>
      <xdr:colOff>962</xdr:colOff>
      <xdr:row>12</xdr:row>
      <xdr:rowOff>192640</xdr:rowOff>
    </xdr:to>
    <xdr:sp macro="" textlink="">
      <xdr:nvSpPr>
        <xdr:cNvPr id="3" name="Speech Bubble: Rectangle 2" descr="Tip: HOW TO USE THIS TEMPLATE&#10;Input data in the white cells on the PLANNED EXPENSES and ACTUAL EXPENSES worksheets, and the EXPENSE VARIANCES and EXPENSE ANALYSIS will be calculated for you.  If you add a row on one sheet, the other sheets need to match&#10;">
          <a:extLst>
            <a:ext uri="{FF2B5EF4-FFF2-40B4-BE49-F238E27FC236}">
              <a16:creationId xmlns:a16="http://schemas.microsoft.com/office/drawing/2014/main" id="{26EBCE28-31AF-4664-B39F-77F2857D060F}"/>
            </a:ext>
          </a:extLst>
        </xdr:cNvPr>
        <xdr:cNvSpPr/>
      </xdr:nvSpPr>
      <xdr:spPr>
        <a:xfrm>
          <a:off x="15629454" y="1257300"/>
          <a:ext cx="1935608" cy="3288265"/>
        </a:xfrm>
        <a:prstGeom prst="wedgeRectCallout">
          <a:avLst>
            <a:gd name="adj1" fmla="val -65157"/>
            <a:gd name="adj2" fmla="val -20833"/>
          </a:avLst>
        </a:prstGeom>
        <a:solidFill>
          <a:schemeClr val="accent3">
            <a:lumMod val="20000"/>
            <a:lumOff val="80000"/>
            <a:alpha val="66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tIns="182880" rIns="182880" bIns="182880" rtlCol="0" anchor="t"/>
        <a:lstStyle/>
        <a:p>
          <a:pPr rtl="0"/>
          <a:r>
            <a:rPr lang="en-gb" sz="1100" b="1">
              <a:solidFill>
                <a:schemeClr val="tx2"/>
              </a:solidFill>
              <a:effectLst/>
              <a:latin typeface="Microsoft Sans Serif" panose="020B0604020202020204" pitchFamily="34" charset="0"/>
              <a:ea typeface="+mn-ea"/>
              <a:cs typeface="+mn-cs"/>
            </a:rPr>
            <a:t>HOW TO USE THIS TEMPLATE</a:t>
          </a:r>
        </a:p>
        <a:p>
          <a:pPr rtl="0"/>
          <a:endParaRPr lang="en-US">
            <a:solidFill>
              <a:schemeClr val="tx2"/>
            </a:solidFill>
            <a:effectLst/>
            <a:latin typeface="Microsoft Sans Serif" panose="020B0604020202020204" pitchFamily="34" charset="0"/>
          </a:endParaRPr>
        </a:p>
        <a:p>
          <a:pPr rtl="0"/>
          <a:r>
            <a:rPr lang="en-gb" sz="1100">
              <a:solidFill>
                <a:schemeClr val="tx2"/>
              </a:solidFill>
              <a:effectLst/>
              <a:latin typeface="Microsoft Sans Serif" panose="020B0604020202020204" pitchFamily="34" charset="0"/>
              <a:ea typeface="+mn-ea"/>
              <a:cs typeface="+mn-cs"/>
            </a:rPr>
            <a:t>Input data in the white cells on the PLANNED EXPENSES and ACTUAL EXPENSES worksheets, and the EXPENSE VARIANCES and EXPENSE ANALYSIS will be calculated for you. If you add a row on one sheet, the</a:t>
          </a:r>
          <a:r>
            <a:rPr lang="en-gb" sz="1100" baseline="0">
              <a:solidFill>
                <a:schemeClr val="tx2"/>
              </a:solidFill>
              <a:effectLst/>
              <a:latin typeface="Microsoft Sans Serif" panose="020B0604020202020204" pitchFamily="34" charset="0"/>
              <a:ea typeface="+mn-ea"/>
              <a:cs typeface="+mn-cs"/>
            </a:rPr>
            <a:t> other sheets need to match.</a:t>
          </a:r>
          <a:endParaRPr lang="en-US" sz="1100">
            <a:solidFill>
              <a:schemeClr val="tx2"/>
            </a:solidFill>
            <a:latin typeface="Microsoft Sans Serif" panose="020B0604020202020204" pitchFamily="34" charset="0"/>
          </a:endParaRPr>
        </a:p>
      </xdr:txBody>
    </xdr:sp>
    <xdr:clientData fPrintsWithSheet="0"/>
  </xdr:twoCellAnchor>
  <xdr:twoCellAnchor editAs="oneCell">
    <xdr:from>
      <xdr:col>13</xdr:col>
      <xdr:colOff>267556</xdr:colOff>
      <xdr:row>1</xdr:row>
      <xdr:rowOff>0</xdr:rowOff>
    </xdr:from>
    <xdr:to>
      <xdr:col>14</xdr:col>
      <xdr:colOff>917797</xdr:colOff>
      <xdr:row>2</xdr:row>
      <xdr:rowOff>141360</xdr:rowOff>
    </xdr:to>
    <xdr:pic>
      <xdr:nvPicPr>
        <xdr:cNvPr id="9" name="Picture 18" descr="Logo placeholder">
          <a:extLst>
            <a:ext uri="{FF2B5EF4-FFF2-40B4-BE49-F238E27FC236}">
              <a16:creationId xmlns:a16="http://schemas.microsoft.com/office/drawing/2014/main" id="{65A40888-9F83-43E7-A699-52663041FF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bwMode="auto">
        <a:xfrm>
          <a:off x="13206573" y="214045"/>
          <a:ext cx="1631209" cy="7085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267556</xdr:colOff>
      <xdr:row>1</xdr:row>
      <xdr:rowOff>0</xdr:rowOff>
    </xdr:from>
    <xdr:to>
      <xdr:col>14</xdr:col>
      <xdr:colOff>917797</xdr:colOff>
      <xdr:row>2</xdr:row>
      <xdr:rowOff>141360</xdr:rowOff>
    </xdr:to>
    <xdr:pic>
      <xdr:nvPicPr>
        <xdr:cNvPr id="6" name="Picture 18" descr="Logo placeholder">
          <a:extLst>
            <a:ext uri="{FF2B5EF4-FFF2-40B4-BE49-F238E27FC236}">
              <a16:creationId xmlns:a16="http://schemas.microsoft.com/office/drawing/2014/main" id="{83DAF7B9-4C56-44AA-B3C3-38F1A49B55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bwMode="auto">
        <a:xfrm>
          <a:off x="13364431" y="304800"/>
          <a:ext cx="1631316" cy="7128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238125</xdr:colOff>
      <xdr:row>1</xdr:row>
      <xdr:rowOff>0</xdr:rowOff>
    </xdr:from>
    <xdr:to>
      <xdr:col>14</xdr:col>
      <xdr:colOff>896572</xdr:colOff>
      <xdr:row>2</xdr:row>
      <xdr:rowOff>129496</xdr:rowOff>
    </xdr:to>
    <xdr:pic>
      <xdr:nvPicPr>
        <xdr:cNvPr id="6" name="Picture 18" descr="Logo placeholder">
          <a:extLst>
            <a:ext uri="{FF2B5EF4-FFF2-40B4-BE49-F238E27FC236}">
              <a16:creationId xmlns:a16="http://schemas.microsoft.com/office/drawing/2014/main" id="{A2E6D019-45AC-4D89-848F-C976B436C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bwMode="auto">
        <a:xfrm>
          <a:off x="13211175" y="304800"/>
          <a:ext cx="1639522" cy="7009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1314450</xdr:colOff>
      <xdr:row>11</xdr:row>
      <xdr:rowOff>57150</xdr:rowOff>
    </xdr:from>
    <xdr:to>
      <xdr:col>5</xdr:col>
      <xdr:colOff>1447800</xdr:colOff>
      <xdr:row>11</xdr:row>
      <xdr:rowOff>3714751</xdr:rowOff>
    </xdr:to>
    <xdr:graphicFrame macro="">
      <xdr:nvGraphicFramePr>
        <xdr:cNvPr id="13" name="ActualExpensesChart" descr="Pie chart showing actual expenses incurred on various categories">
          <a:extLst>
            <a:ext uri="{FF2B5EF4-FFF2-40B4-BE49-F238E27FC236}">
              <a16:creationId xmlns:a16="http://schemas.microsoft.com/office/drawing/2014/main" id="{00000000-0008-0000-03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28575</xdr:colOff>
      <xdr:row>12</xdr:row>
      <xdr:rowOff>200025</xdr:rowOff>
    </xdr:from>
    <xdr:to>
      <xdr:col>5</xdr:col>
      <xdr:colOff>1558925</xdr:colOff>
      <xdr:row>16</xdr:row>
      <xdr:rowOff>5778</xdr:rowOff>
    </xdr:to>
    <xdr:graphicFrame macro="">
      <xdr:nvGraphicFramePr>
        <xdr:cNvPr id="8" name="MonthlyExpensesChart" descr="Chart showing Planned, Actual, and Variance in Monthly Expenses">
          <a:extLst>
            <a:ext uri="{FF2B5EF4-FFF2-40B4-BE49-F238E27FC236}">
              <a16:creationId xmlns:a16="http://schemas.microsoft.com/office/drawing/2014/main" id="{00000000-0008-0000-0300-000008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11</xdr:row>
      <xdr:rowOff>76201</xdr:rowOff>
    </xdr:from>
    <xdr:to>
      <xdr:col>3</xdr:col>
      <xdr:colOff>714375</xdr:colOff>
      <xdr:row>11</xdr:row>
      <xdr:rowOff>3733801</xdr:rowOff>
    </xdr:to>
    <xdr:graphicFrame macro="">
      <xdr:nvGraphicFramePr>
        <xdr:cNvPr id="12" name="PlannedExpensesChart" descr="Pie chart showing planned expenses on various categories">
          <a:extLst>
            <a:ext uri="{FF2B5EF4-FFF2-40B4-BE49-F238E27FC236}">
              <a16:creationId xmlns:a16="http://schemas.microsoft.com/office/drawing/2014/main"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447675</xdr:colOff>
      <xdr:row>1</xdr:row>
      <xdr:rowOff>0</xdr:rowOff>
    </xdr:from>
    <xdr:to>
      <xdr:col>6</xdr:col>
      <xdr:colOff>69215</xdr:colOff>
      <xdr:row>1</xdr:row>
      <xdr:rowOff>550531</xdr:rowOff>
    </xdr:to>
    <xdr:pic>
      <xdr:nvPicPr>
        <xdr:cNvPr id="9" name="Picture 18" descr="Logo placeholder">
          <a:extLst>
            <a:ext uri="{FF2B5EF4-FFF2-40B4-BE49-F238E27FC236}">
              <a16:creationId xmlns:a16="http://schemas.microsoft.com/office/drawing/2014/main" id="{7C6D1F32-6273-47BA-873D-2E5A8467E2E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bwMode="auto">
        <a:xfrm>
          <a:off x="7219950" y="304800"/>
          <a:ext cx="1259840" cy="5505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OfficePlan" displayName="OfficePlan" ref="B10:O19" totalsRowCount="1" headerRowDxfId="443" totalsRowDxfId="440" headerRowBorderDxfId="442" tableBorderDxfId="441" totalsRowBorderDxfId="439">
  <autoFilter ref="B10:O18"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000-000001000000}" name="Office Costs" totalsRowLabel="Subtotal" dataDxfId="438" totalsRowDxfId="437"/>
    <tableColumn id="2" xr3:uid="{00000000-0010-0000-0000-000002000000}" name="Jan" totalsRowFunction="sum" dataDxfId="185" totalsRowDxfId="436"/>
    <tableColumn id="3" xr3:uid="{00000000-0010-0000-0000-000003000000}" name="Feb" totalsRowFunction="sum" dataDxfId="184" totalsRowDxfId="435"/>
    <tableColumn id="4" xr3:uid="{00000000-0010-0000-0000-000004000000}" name="Mar" totalsRowFunction="sum" dataDxfId="183" totalsRowDxfId="434"/>
    <tableColumn id="5" xr3:uid="{00000000-0010-0000-0000-000005000000}" name="Apr" totalsRowFunction="sum" dataDxfId="182" totalsRowDxfId="433"/>
    <tableColumn id="6" xr3:uid="{00000000-0010-0000-0000-000006000000}" name="May" totalsRowFunction="sum" dataDxfId="181" totalsRowDxfId="432"/>
    <tableColumn id="7" xr3:uid="{00000000-0010-0000-0000-000007000000}" name="Jun" totalsRowFunction="sum" dataDxfId="180" totalsRowDxfId="431"/>
    <tableColumn id="8" xr3:uid="{00000000-0010-0000-0000-000008000000}" name="Jul" totalsRowFunction="sum" dataDxfId="179" totalsRowDxfId="430"/>
    <tableColumn id="9" xr3:uid="{00000000-0010-0000-0000-000009000000}" name="Aug" totalsRowFunction="sum" dataDxfId="178" totalsRowDxfId="429"/>
    <tableColumn id="10" xr3:uid="{00000000-0010-0000-0000-00000A000000}" name="Sep" totalsRowFunction="sum" dataDxfId="177" totalsRowDxfId="428"/>
    <tableColumn id="11" xr3:uid="{00000000-0010-0000-0000-00000B000000}" name="Oct" totalsRowFunction="sum" dataDxfId="176" totalsRowDxfId="427"/>
    <tableColumn id="12" xr3:uid="{00000000-0010-0000-0000-00000C000000}" name="Nov" totalsRowFunction="sum" dataDxfId="175" totalsRowDxfId="426"/>
    <tableColumn id="13" xr3:uid="{00000000-0010-0000-0000-00000D000000}" name="Dec" totalsRowFunction="sum" dataDxfId="174" totalsRowDxfId="425"/>
    <tableColumn id="14" xr3:uid="{00000000-0010-0000-0000-00000E000000}" name="YEAR" totalsRowFunction="sum" dataDxfId="173" totalsRowDxfId="424">
      <calculatedColumnFormula>SUM(C11:N11)</calculatedColumnFormula>
    </tableColumn>
  </tableColumns>
  <tableStyleInfo name="TableStyleLight8" showFirstColumn="1" showLastColumn="1" showRowStripes="0" showColumnStripes="0"/>
  <extLst>
    <ext xmlns:x14="http://schemas.microsoft.com/office/spreadsheetml/2009/9/main" uri="{504A1905-F514-4f6f-8877-14C23A59335A}">
      <x14:table altTextSummary="Enter planned monthly office costs in this table. Total is auto-calculated at the end"/>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B099C32-C8DE-492A-BEED-550CF2841A11}" name="TotalActual" displayName="TotalActual" ref="B35:O37" totalsRowShown="0" headerRowDxfId="277" dataDxfId="276" tableBorderDxfId="275" headerRowCellStyle="Heading 3">
  <autoFilter ref="B35:O37" xr:uid="{527B5B30-B216-4604-BE5A-D760DE033F9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359818E9-FD74-4273-8957-D80FFA77ADE8}" name="TOTAL Planned Expenses" dataDxfId="274"/>
    <tableColumn id="2" xr3:uid="{ED08B701-BD0B-43EA-B6B5-8B23D583D505}" name="Jan" dataDxfId="15">
      <calculatedColumnFormula>SUM($C35:C$36)</calculatedColumnFormula>
    </tableColumn>
    <tableColumn id="3" xr3:uid="{953C450B-5235-4234-924F-53796609C439}" name="Feb" dataDxfId="14">
      <calculatedColumnFormula>SUM($C35:D$36)</calculatedColumnFormula>
    </tableColumn>
    <tableColumn id="4" xr3:uid="{A434CE91-3696-411F-8418-02228D13F12E}" name="Mar" dataDxfId="13">
      <calculatedColumnFormula>SUM($C35:E$36)</calculatedColumnFormula>
    </tableColumn>
    <tableColumn id="5" xr3:uid="{1E74C645-B91F-4CDB-9F55-6FEC8EAB0A64}" name="Apr" dataDxfId="12">
      <calculatedColumnFormula>SUM($C35:F$36)</calculatedColumnFormula>
    </tableColumn>
    <tableColumn id="6" xr3:uid="{A3B698F1-9EF3-489A-A70E-8E760D6B713B}" name="May" dataDxfId="11">
      <calculatedColumnFormula>SUM($C35:G$36)</calculatedColumnFormula>
    </tableColumn>
    <tableColumn id="7" xr3:uid="{6CEDC80B-5635-47E7-AA54-EBD827095F7C}" name="Jun" dataDxfId="10">
      <calculatedColumnFormula>SUM($C35:H$36)</calculatedColumnFormula>
    </tableColumn>
    <tableColumn id="8" xr3:uid="{A73C88FE-0ABF-4134-B6B0-043ECC9295D4}" name="Jul" dataDxfId="9">
      <calculatedColumnFormula>SUM($C35:I$36)</calculatedColumnFormula>
    </tableColumn>
    <tableColumn id="9" xr3:uid="{62119987-B16F-44A1-B80E-29460A9513CD}" name="Aug" dataDxfId="8">
      <calculatedColumnFormula>SUM($C35:J$36)</calculatedColumnFormula>
    </tableColumn>
    <tableColumn id="10" xr3:uid="{C84A40CE-DC4A-442E-883F-891CA5A9A166}" name="Sep" dataDxfId="7">
      <calculatedColumnFormula>SUM($C35:K$36)</calculatedColumnFormula>
    </tableColumn>
    <tableColumn id="11" xr3:uid="{4DB975F1-C294-416D-81FB-A8070CC2C3BC}" name="Oct" dataDxfId="6">
      <calculatedColumnFormula>SUM($C35:L$36)</calculatedColumnFormula>
    </tableColumn>
    <tableColumn id="12" xr3:uid="{BC57DA11-9B5C-452D-8026-EF863D07E32E}" name="Nov" dataDxfId="5">
      <calculatedColumnFormula>SUM($C35:M$36)</calculatedColumnFormula>
    </tableColumn>
    <tableColumn id="13" xr3:uid="{904E02FB-FEA8-49B0-ABA0-9B659A7720D8}" name="Dec" dataDxfId="4">
      <calculatedColumnFormula>SUM($C35:N$36)</calculatedColumnFormula>
    </tableColumn>
    <tableColumn id="14" xr3:uid="{8C10E0BB-4735-4718-9538-C4AFB616D92A}" name="Year" dataDxfId="3"/>
  </tableColumns>
  <tableStyleInfo name="TableStyleMedium1" showFirstColumn="1" showLastColumn="0" showRowStripes="0" showColumnStripes="0"/>
  <extLst>
    <ext xmlns:x14="http://schemas.microsoft.com/office/spreadsheetml/2009/9/main" uri="{504A1905-F514-4f6f-8877-14C23A59335A}">
      <x14:table altTextSummary="Monthly and Total Actual Expenses are auto-calculated in this table"/>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EmployeeVariances" displayName="EmployeeVariances" ref="B5:O8" totalsRowCount="1" headerRowDxfId="273" totalsRowDxfId="270" headerRowBorderDxfId="272" tableBorderDxfId="271" totalsRowBorderDxfId="269">
  <autoFilter ref="B5:O7"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800-000001000000}" name="Employee Costs" totalsRowLabel="Subtotal" dataDxfId="268" totalsRowDxfId="267"/>
    <tableColumn id="2" xr3:uid="{00000000-0010-0000-0800-000002000000}" name="Jan" totalsRowFunction="sum" totalsRowDxfId="266">
      <calculatedColumnFormula>INDEX(EmployeePlan[],MATCH(INDEX(EmployeeVariances[],ROW()-ROW(EmployeeVariances[[#Headers],[Jan]]),1),INDEX(EmployeePlan[],,1),0),MATCH(EmployeeVariances[[#Headers],[Jan]],EmployeePlan[#Headers],0))-INDEX(EmployeeActual[],MATCH(INDEX(EmployeeVariances[],ROW()-ROW(EmployeeVariances[[#Headers],[Jan]]),1),INDEX(EmployeePlan[],,1),0),MATCH(EmployeeVariances[[#Headers],[Jan]],EmployeeActual[#Headers],0))</calculatedColumnFormula>
    </tableColumn>
    <tableColumn id="3" xr3:uid="{00000000-0010-0000-0800-000003000000}" name="Feb" totalsRowFunction="sum" totalsRowDxfId="265">
      <calculatedColumnFormula>INDEX(EmployeePlan[],MATCH(INDEX(EmployeeVariances[],ROW()-ROW(EmployeeVariances[[#Headers],[Feb]]),1),INDEX(EmployeePlan[],,1),0),MATCH(EmployeeVariances[[#Headers],[Feb]],EmployeePlan[#Headers],0))-INDEX(EmployeeActual[],MATCH(INDEX(EmployeeVariances[],ROW()-ROW(EmployeeVariances[[#Headers],[Feb]]),1),INDEX(EmployeePlan[],,1),0),MATCH(EmployeeVariances[[#Headers],[Feb]],EmployeeActual[#Headers],0))</calculatedColumnFormula>
    </tableColumn>
    <tableColumn id="4" xr3:uid="{00000000-0010-0000-0800-000004000000}" name="Mar" totalsRowFunction="sum" totalsRowDxfId="264">
      <calculatedColumnFormula>INDEX(EmployeePlan[],MATCH(INDEX(EmployeeVariances[],ROW()-ROW(EmployeeVariances[[#Headers],[Mar]]),1),INDEX(EmployeePlan[],,1),0),MATCH(EmployeeVariances[[#Headers],[Mar]],EmployeePlan[#Headers],0))-INDEX(EmployeeActual[],MATCH(INDEX(EmployeeVariances[],ROW()-ROW(EmployeeVariances[[#Headers],[Mar]]),1),INDEX(EmployeePlan[],,1),0),MATCH(EmployeeVariances[[#Headers],[Mar]],EmployeeActual[#Headers],0))</calculatedColumnFormula>
    </tableColumn>
    <tableColumn id="5" xr3:uid="{00000000-0010-0000-0800-000005000000}" name="Apr" totalsRowFunction="sum" totalsRowDxfId="263">
      <calculatedColumnFormula>INDEX(EmployeePlan[],MATCH(INDEX(EmployeeVariances[],ROW()-ROW(EmployeeVariances[[#Headers],[Apr]]),1),INDEX(EmployeePlan[],,1),0),MATCH(EmployeeVariances[[#Headers],[Apr]],EmployeePlan[#Headers],0))-INDEX(EmployeeActual[],MATCH(INDEX(EmployeeVariances[],ROW()-ROW(EmployeeVariances[[#Headers],[Apr]]),1),INDEX(EmployeePlan[],,1),0),MATCH(EmployeeVariances[[#Headers],[Apr]],EmployeeActual[#Headers],0))</calculatedColumnFormula>
    </tableColumn>
    <tableColumn id="6" xr3:uid="{00000000-0010-0000-0800-000006000000}" name="May" totalsRowFunction="sum" totalsRowDxfId="262">
      <calculatedColumnFormula>INDEX(EmployeePlan[],MATCH(INDEX(EmployeeVariances[],ROW()-ROW(EmployeeVariances[[#Headers],[May]]),1),INDEX(EmployeePlan[],,1),0),MATCH(EmployeeVariances[[#Headers],[May]],EmployeePlan[#Headers],0))-INDEX(EmployeeActual[],MATCH(INDEX(EmployeeVariances[],ROW()-ROW(EmployeeVariances[[#Headers],[May]]),1),INDEX(EmployeePlan[],,1),0),MATCH(EmployeeVariances[[#Headers],[May]],EmployeeActual[#Headers],0))</calculatedColumnFormula>
    </tableColumn>
    <tableColumn id="7" xr3:uid="{00000000-0010-0000-0800-000007000000}" name="Jun" totalsRowFunction="sum" totalsRowDxfId="261">
      <calculatedColumnFormula>INDEX(EmployeePlan[],MATCH(INDEX(EmployeeVariances[],ROW()-ROW(EmployeeVariances[[#Headers],[Jun]]),1),INDEX(EmployeePlan[],,1),0),MATCH(EmployeeVariances[[#Headers],[Jun]],EmployeePlan[#Headers],0))-INDEX(EmployeeActual[],MATCH(INDEX(EmployeeVariances[],ROW()-ROW(EmployeeVariances[[#Headers],[Jun]]),1),INDEX(EmployeePlan[],,1),0),MATCH(EmployeeVariances[[#Headers],[Jun]],EmployeeActual[#Headers],0))</calculatedColumnFormula>
    </tableColumn>
    <tableColumn id="8" xr3:uid="{00000000-0010-0000-0800-000008000000}" name="Jul" totalsRowFunction="sum" totalsRowDxfId="260">
      <calculatedColumnFormula>INDEX(EmployeePlan[],MATCH(INDEX(EmployeeVariances[],ROW()-ROW(EmployeeVariances[[#Headers],[Jul]]),1),INDEX(EmployeePlan[],,1),0),MATCH(EmployeeVariances[[#Headers],[Jul]],EmployeePlan[#Headers],0))-INDEX(EmployeeActual[],MATCH(INDEX(EmployeeVariances[],ROW()-ROW(EmployeeVariances[[#Headers],[Jul]]),1),INDEX(EmployeePlan[],,1),0),MATCH(EmployeeVariances[[#Headers],[Jul]],EmployeeActual[#Headers],0))</calculatedColumnFormula>
    </tableColumn>
    <tableColumn id="9" xr3:uid="{00000000-0010-0000-0800-000009000000}" name="Aug" totalsRowFunction="sum" totalsRowDxfId="259">
      <calculatedColumnFormula>INDEX(EmployeePlan[],MATCH(INDEX(EmployeeVariances[],ROW()-ROW(EmployeeVariances[[#Headers],[Aug]]),1),INDEX(EmployeePlan[],,1),0),MATCH(EmployeeVariances[[#Headers],[Aug]],EmployeePlan[#Headers],0))-INDEX(EmployeeActual[],MATCH(INDEX(EmployeeVariances[],ROW()-ROW(EmployeeVariances[[#Headers],[Aug]]),1),INDEX(EmployeePlan[],,1),0),MATCH(EmployeeVariances[[#Headers],[Aug]],EmployeeActual[#Headers],0))</calculatedColumnFormula>
    </tableColumn>
    <tableColumn id="10" xr3:uid="{00000000-0010-0000-0800-00000A000000}" name="Sep" totalsRowFunction="sum" totalsRowDxfId="258">
      <calculatedColumnFormula>INDEX(EmployeePlan[],MATCH(INDEX(EmployeeVariances[],ROW()-ROW(EmployeeVariances[[#Headers],[Sep]]),1),INDEX(EmployeePlan[],,1),0),MATCH(EmployeeVariances[[#Headers],[Sep]],EmployeePlan[#Headers],0))-INDEX(EmployeeActual[],MATCH(INDEX(EmployeeVariances[],ROW()-ROW(EmployeeVariances[[#Headers],[Sep]]),1),INDEX(EmployeePlan[],,1),0),MATCH(EmployeeVariances[[#Headers],[Sep]],EmployeeActual[#Headers],0))</calculatedColumnFormula>
    </tableColumn>
    <tableColumn id="11" xr3:uid="{00000000-0010-0000-0800-00000B000000}" name="Oct" totalsRowFunction="sum" totalsRowDxfId="257">
      <calculatedColumnFormula>INDEX(EmployeePlan[],MATCH(INDEX(EmployeeVariances[],ROW()-ROW(EmployeeVariances[[#Headers],[Oct]]),1),INDEX(EmployeePlan[],,1),0),MATCH(EmployeeVariances[[#Headers],[Oct]],EmployeePlan[#Headers],0))-INDEX(EmployeeActual[],MATCH(INDEX(EmployeeVariances[],ROW()-ROW(EmployeeVariances[[#Headers],[Oct]]),1),INDEX(EmployeePlan[],,1),0),MATCH(EmployeeVariances[[#Headers],[Oct]],EmployeeActual[#Headers],0))</calculatedColumnFormula>
    </tableColumn>
    <tableColumn id="12" xr3:uid="{00000000-0010-0000-0800-00000C000000}" name="Nov" totalsRowFunction="sum" totalsRowDxfId="256">
      <calculatedColumnFormula>INDEX(EmployeePlan[],MATCH(INDEX(EmployeeVariances[],ROW()-ROW(EmployeeVariances[[#Headers],[Nov]]),1),INDEX(EmployeePlan[],,1),0),MATCH(EmployeeVariances[[#Headers],[Nov]],EmployeePlan[#Headers],0))-INDEX(EmployeeActual[],MATCH(INDEX(EmployeeVariances[],ROW()-ROW(EmployeeVariances[[#Headers],[Nov]]),1),INDEX(EmployeePlan[],,1),0),MATCH(EmployeeVariances[[#Headers],[Nov]],EmployeeActual[#Headers],0))</calculatedColumnFormula>
    </tableColumn>
    <tableColumn id="13" xr3:uid="{00000000-0010-0000-0800-00000D000000}" name="Dec" totalsRowFunction="sum" totalsRowDxfId="255">
      <calculatedColumnFormula>INDEX(EmployeePlan[],MATCH(INDEX(EmployeeVariances[],ROW()-ROW(EmployeeVariances[[#Headers],[Dec]]),1),INDEX(EmployeePlan[],,1),0),MATCH(EmployeeVariances[[#Headers],[Dec]],EmployeePlan[#Headers],0))-INDEX(EmployeeActual[],MATCH(INDEX(EmployeeVariances[],ROW()-ROW(EmployeeVariances[[#Headers],[Dec]]),1),INDEX(EmployeePlan[],,1),0),MATCH(EmployeeVariances[[#Headers],[Dec]],EmployeeActual[#Headers],0))</calculatedColumnFormula>
    </tableColumn>
    <tableColumn id="14" xr3:uid="{00000000-0010-0000-0800-00000E000000}" name="YEAR" totalsRowFunction="sum" dataDxfId="120" totalsRowDxfId="254">
      <calculatedColumnFormula>SUM(EmployeeVariances[[#This Row],[Jan]:[Dec]])</calculatedColumnFormula>
    </tableColumn>
  </tableColumns>
  <tableStyleInfo name="TableStyleLight8" showFirstColumn="1" showLastColumn="0" showRowStripes="0" showColumnStripes="0"/>
  <extLst>
    <ext xmlns:x14="http://schemas.microsoft.com/office/spreadsheetml/2009/9/main" uri="{504A1905-F514-4f6f-8877-14C23A59335A}">
      <x14:table altTextSummary="Variance in employee costs per month is auto-calculated in this table"/>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OfficeVariances" displayName="OfficeVariances" ref="B10:O19" totalsRowCount="1" headerRowDxfId="253" totalsRowDxfId="250" headerRowBorderDxfId="252" tableBorderDxfId="251" totalsRowBorderDxfId="249">
  <autoFilter ref="B10:O18"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900-000001000000}" name="Office Costs" totalsRowLabel="Subtotal" dataDxfId="248" totalsRowDxfId="247"/>
    <tableColumn id="2" xr3:uid="{00000000-0010-0000-0900-000002000000}" name="Jan" totalsRowFunction="sum" dataDxfId="119" totalsRowDxfId="246">
      <calculatedColumnFormula>INDEX(OfficePlan[],MATCH(INDEX(OfficeVariances[],ROW()-ROW(OfficeVariances[[#Headers],[Jan]]),1),INDEX(OfficePlan[],,1),0),MATCH(OfficeVariances[[#Headers],[Jan]],OfficePlan[#Headers],0))-INDEX(OfficeActual[],MATCH(INDEX(OfficeVariances[],ROW()-ROW(OfficeVariances[[#Headers],[Jan]]),1),INDEX(OfficePlan[],,1),0),MATCH(OfficeVariances[[#Headers],[Jan]],OfficeActual[#Headers],0))</calculatedColumnFormula>
    </tableColumn>
    <tableColumn id="3" xr3:uid="{00000000-0010-0000-0900-000003000000}" name="Feb" totalsRowFunction="sum" dataDxfId="118" totalsRowDxfId="245">
      <calculatedColumnFormula>INDEX(OfficePlan[],MATCH(INDEX(OfficeVariances[],ROW()-ROW(OfficeVariances[[#Headers],[Feb]]),1),INDEX(OfficePlan[],,1),0),MATCH(OfficeVariances[[#Headers],[Feb]],OfficePlan[#Headers],0))-INDEX(OfficeActual[],MATCH(INDEX(OfficeVariances[],ROW()-ROW(OfficeVariances[[#Headers],[Feb]]),1),INDEX(OfficePlan[],,1),0),MATCH(OfficeVariances[[#Headers],[Feb]],OfficeActual[#Headers],0))</calculatedColumnFormula>
    </tableColumn>
    <tableColumn id="4" xr3:uid="{00000000-0010-0000-0900-000004000000}" name="Mar" totalsRowFunction="sum" dataDxfId="117" totalsRowDxfId="244">
      <calculatedColumnFormula>INDEX(OfficePlan[],MATCH(INDEX(OfficeVariances[],ROW()-ROW(OfficeVariances[[#Headers],[Mar]]),1),INDEX(OfficePlan[],,1),0),MATCH(OfficeVariances[[#Headers],[Mar]],OfficePlan[#Headers],0))-INDEX(OfficeActual[],MATCH(INDEX(OfficeVariances[],ROW()-ROW(OfficeVariances[[#Headers],[Mar]]),1),INDEX(OfficePlan[],,1),0),MATCH(OfficeVariances[[#Headers],[Mar]],OfficeActual[#Headers],0))</calculatedColumnFormula>
    </tableColumn>
    <tableColumn id="5" xr3:uid="{00000000-0010-0000-0900-000005000000}" name="Apr" totalsRowFunction="sum" dataDxfId="116" totalsRowDxfId="243">
      <calculatedColumnFormula>INDEX(OfficePlan[],MATCH(INDEX(OfficeVariances[],ROW()-ROW(OfficeVariances[[#Headers],[Apr]]),1),INDEX(OfficePlan[],,1),0),MATCH(OfficeVariances[[#Headers],[Apr]],OfficePlan[#Headers],0))-INDEX(OfficeActual[],MATCH(INDEX(OfficeVariances[],ROW()-ROW(OfficeVariances[[#Headers],[Apr]]),1),INDEX(OfficePlan[],,1),0),MATCH(OfficeVariances[[#Headers],[Apr]],OfficeActual[#Headers],0))</calculatedColumnFormula>
    </tableColumn>
    <tableColumn id="6" xr3:uid="{00000000-0010-0000-0900-000006000000}" name="May" totalsRowFunction="sum" dataDxfId="115" totalsRowDxfId="242">
      <calculatedColumnFormula>INDEX(OfficePlan[],MATCH(INDEX(OfficeVariances[],ROW()-ROW(OfficeVariances[[#Headers],[May]]),1),INDEX(OfficePlan[],,1),0),MATCH(OfficeVariances[[#Headers],[May]],OfficePlan[#Headers],0))-INDEX(OfficeActual[],MATCH(INDEX(OfficeVariances[],ROW()-ROW(OfficeVariances[[#Headers],[May]]),1),INDEX(OfficePlan[],,1),0),MATCH(OfficeVariances[[#Headers],[May]],OfficeActual[#Headers],0))</calculatedColumnFormula>
    </tableColumn>
    <tableColumn id="7" xr3:uid="{00000000-0010-0000-0900-000007000000}" name="Jun" totalsRowFunction="sum" dataDxfId="114" totalsRowDxfId="241">
      <calculatedColumnFormula>INDEX(OfficePlan[],MATCH(INDEX(OfficeVariances[],ROW()-ROW(OfficeVariances[[#Headers],[Jun]]),1),INDEX(OfficePlan[],,1),0),MATCH(OfficeVariances[[#Headers],[Jun]],OfficePlan[#Headers],0))-INDEX(OfficeActual[],MATCH(INDEX(OfficeVariances[],ROW()-ROW(OfficeVariances[[#Headers],[Jun]]),1),INDEX(OfficePlan[],,1),0),MATCH(OfficeVariances[[#Headers],[Jun]],OfficeActual[#Headers],0))</calculatedColumnFormula>
    </tableColumn>
    <tableColumn id="8" xr3:uid="{00000000-0010-0000-0900-000008000000}" name="Jul" totalsRowFunction="sum" dataDxfId="113" totalsRowDxfId="240">
      <calculatedColumnFormula>INDEX(OfficePlan[],MATCH(INDEX(OfficeVariances[],ROW()-ROW(OfficeVariances[[#Headers],[Jul]]),1),INDEX(OfficePlan[],,1),0),MATCH(OfficeVariances[[#Headers],[Jul]],OfficePlan[#Headers],0))-INDEX(OfficeActual[],MATCH(INDEX(OfficeVariances[],ROW()-ROW(OfficeVariances[[#Headers],[Jul]]),1),INDEX(OfficePlan[],,1),0),MATCH(OfficeVariances[[#Headers],[Jul]],OfficeActual[#Headers],0))</calculatedColumnFormula>
    </tableColumn>
    <tableColumn id="9" xr3:uid="{00000000-0010-0000-0900-000009000000}" name="Aug" totalsRowFunction="sum" dataDxfId="112" totalsRowDxfId="239">
      <calculatedColumnFormula>INDEX(OfficePlan[],MATCH(INDEX(OfficeVariances[],ROW()-ROW(OfficeVariances[[#Headers],[Aug]]),1),INDEX(OfficePlan[],,1),0),MATCH(OfficeVariances[[#Headers],[Aug]],OfficePlan[#Headers],0))-INDEX(OfficeActual[],MATCH(INDEX(OfficeVariances[],ROW()-ROW(OfficeVariances[[#Headers],[Aug]]),1),INDEX(OfficePlan[],,1),0),MATCH(OfficeVariances[[#Headers],[Aug]],OfficeActual[#Headers],0))</calculatedColumnFormula>
    </tableColumn>
    <tableColumn id="10" xr3:uid="{00000000-0010-0000-0900-00000A000000}" name="Sep" totalsRowFunction="sum" dataDxfId="111" totalsRowDxfId="238">
      <calculatedColumnFormula>INDEX(OfficePlan[],MATCH(INDEX(OfficeVariances[],ROW()-ROW(OfficeVariances[[#Headers],[Sep]]),1),INDEX(OfficePlan[],,1),0),MATCH(OfficeVariances[[#Headers],[Sep]],OfficePlan[#Headers],0))-INDEX(OfficeActual[],MATCH(INDEX(OfficeVariances[],ROW()-ROW(OfficeVariances[[#Headers],[Sep]]),1),INDEX(OfficePlan[],,1),0),MATCH(OfficeVariances[[#Headers],[Sep]],OfficeActual[#Headers],0))</calculatedColumnFormula>
    </tableColumn>
    <tableColumn id="11" xr3:uid="{00000000-0010-0000-0900-00000B000000}" name="Oct" totalsRowFunction="sum" dataDxfId="110" totalsRowDxfId="237">
      <calculatedColumnFormula>INDEX(OfficePlan[],MATCH(INDEX(OfficeVariances[],ROW()-ROW(OfficeVariances[[#Headers],[Oct]]),1),INDEX(OfficePlan[],,1),0),MATCH(OfficeVariances[[#Headers],[Oct]],OfficePlan[#Headers],0))-INDEX(OfficeActual[],MATCH(INDEX(OfficeVariances[],ROW()-ROW(OfficeVariances[[#Headers],[Oct]]),1),INDEX(OfficePlan[],,1),0),MATCH(OfficeVariances[[#Headers],[Oct]],OfficeActual[#Headers],0))</calculatedColumnFormula>
    </tableColumn>
    <tableColumn id="12" xr3:uid="{00000000-0010-0000-0900-00000C000000}" name="Nov" totalsRowFunction="sum" dataDxfId="109" totalsRowDxfId="236">
      <calculatedColumnFormula>INDEX(OfficePlan[],MATCH(INDEX(OfficeVariances[],ROW()-ROW(OfficeVariances[[#Headers],[Nov]]),1),INDEX(OfficePlan[],,1),0),MATCH(OfficeVariances[[#Headers],[Nov]],OfficePlan[#Headers],0))-INDEX(OfficeActual[],MATCH(INDEX(OfficeVariances[],ROW()-ROW(OfficeVariances[[#Headers],[Nov]]),1),INDEX(OfficePlan[],,1),0),MATCH(OfficeVariances[[#Headers],[Nov]],OfficeActual[#Headers],0))</calculatedColumnFormula>
    </tableColumn>
    <tableColumn id="13" xr3:uid="{00000000-0010-0000-0900-00000D000000}" name="Dec" totalsRowFunction="sum" dataDxfId="108" totalsRowDxfId="235">
      <calculatedColumnFormula>INDEX(OfficePlan[],MATCH(INDEX(OfficeVariances[],ROW()-ROW(OfficeVariances[[#Headers],[Dec]]),1),INDEX(OfficePlan[],,1),0),MATCH(OfficeVariances[[#Headers],[Dec]],OfficePlan[#Headers],0))-INDEX(OfficeActual[],MATCH(INDEX(OfficeVariances[],ROW()-ROW(OfficeVariances[[#Headers],[Dec]]),1),INDEX(OfficePlan[],,1),0),MATCH(OfficeVariances[[#Headers],[Dec]],OfficeActual[#Headers],0))</calculatedColumnFormula>
    </tableColumn>
    <tableColumn id="14" xr3:uid="{00000000-0010-0000-0900-00000E000000}" name="YEAR" totalsRowFunction="sum" dataDxfId="107" totalsRowDxfId="234">
      <calculatedColumnFormula>SUM(OfficeVariances[[#This Row],[Jan]:[Dec]])</calculatedColumnFormula>
    </tableColumn>
  </tableColumns>
  <tableStyleInfo name="TableStyleLight8" showFirstColumn="1" showLastColumn="1" showRowStripes="0" showColumnStripes="0"/>
  <extLst>
    <ext xmlns:x14="http://schemas.microsoft.com/office/spreadsheetml/2009/9/main" uri="{504A1905-F514-4f6f-8877-14C23A59335A}">
      <x14:table altTextSummary="Variance in office costs per month is auto-calculated in this table"/>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MarketingVariances" displayName="MarketingVariances" ref="B21:O28" totalsRowCount="1" headerRowDxfId="233" totalsRowDxfId="230" headerRowBorderDxfId="232" tableBorderDxfId="231" totalsRowBorderDxfId="229">
  <autoFilter ref="B21:O27"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A00-000001000000}" name="Marketing Costs" totalsRowLabel="Subtotal" dataDxfId="228" totalsRowDxfId="227"/>
    <tableColumn id="2" xr3:uid="{00000000-0010-0000-0A00-000002000000}" name="Jan" totalsRowFunction="sum" dataDxfId="106" totalsRowDxfId="226">
      <calculatedColumnFormula>INDEX(MarketingPlan[],MATCH(INDEX(MarketingVariances[],ROW()-ROW(MarketingVariances[[#Headers],[Jan]]),1),INDEX(MarketingPlan[],,1),0),MATCH(MarketingVariances[[#Headers],[Jan]],MarketingPlan[#Headers],0))-INDEX(MarketingActual[],MATCH(INDEX(MarketingVariances[],ROW()-ROW(MarketingVariances[[#Headers],[Jan]]),1),INDEX(MarketingPlan[],,1),0),MATCH(MarketingVariances[[#Headers],[Jan]],MarketingActual[#Headers],0))</calculatedColumnFormula>
    </tableColumn>
    <tableColumn id="3" xr3:uid="{00000000-0010-0000-0A00-000003000000}" name="Feb" totalsRowFunction="sum" dataDxfId="105" totalsRowDxfId="225">
      <calculatedColumnFormula>INDEX(MarketingPlan[],MATCH(INDEX(MarketingVariances[],ROW()-ROW(MarketingVariances[[#Headers],[Feb]]),1),INDEX(MarketingPlan[],,1),0),MATCH(MarketingVariances[[#Headers],[Feb]],MarketingPlan[#Headers],0))-INDEX(MarketingActual[],MATCH(INDEX(MarketingVariances[],ROW()-ROW(MarketingVariances[[#Headers],[Feb]]),1),INDEX(MarketingPlan[],,1),0),MATCH(MarketingVariances[[#Headers],[Feb]],MarketingActual[#Headers],0))</calculatedColumnFormula>
    </tableColumn>
    <tableColumn id="4" xr3:uid="{00000000-0010-0000-0A00-000004000000}" name="Mar" totalsRowFunction="sum" dataDxfId="104" totalsRowDxfId="224">
      <calculatedColumnFormula>INDEX(MarketingPlan[],MATCH(INDEX(MarketingVariances[],ROW()-ROW(MarketingVariances[[#Headers],[Mar]]),1),INDEX(MarketingPlan[],,1),0),MATCH(MarketingVariances[[#Headers],[Mar]],MarketingPlan[#Headers],0))-INDEX(MarketingActual[],MATCH(INDEX(MarketingVariances[],ROW()-ROW(MarketingVariances[[#Headers],[Mar]]),1),INDEX(MarketingPlan[],,1),0),MATCH(MarketingVariances[[#Headers],[Mar]],MarketingActual[#Headers],0))</calculatedColumnFormula>
    </tableColumn>
    <tableColumn id="5" xr3:uid="{00000000-0010-0000-0A00-000005000000}" name="Apr" totalsRowFunction="sum" dataDxfId="103" totalsRowDxfId="223">
      <calculatedColumnFormula>INDEX(MarketingPlan[],MATCH(INDEX(MarketingVariances[],ROW()-ROW(MarketingVariances[[#Headers],[Apr]]),1),INDEX(MarketingPlan[],,1),0),MATCH(MarketingVariances[[#Headers],[Apr]],MarketingPlan[#Headers],0))-INDEX(MarketingActual[],MATCH(INDEX(MarketingVariances[],ROW()-ROW(MarketingVariances[[#Headers],[Apr]]),1),INDEX(MarketingPlan[],,1),0),MATCH(MarketingVariances[[#Headers],[Apr]],MarketingActual[#Headers],0))</calculatedColumnFormula>
    </tableColumn>
    <tableColumn id="6" xr3:uid="{00000000-0010-0000-0A00-000006000000}" name="May" totalsRowFunction="sum" dataDxfId="102" totalsRowDxfId="222">
      <calculatedColumnFormula>INDEX(MarketingPlan[],MATCH(INDEX(MarketingVariances[],ROW()-ROW(MarketingVariances[[#Headers],[May]]),1),INDEX(MarketingPlan[],,1),0),MATCH(MarketingVariances[[#Headers],[May]],MarketingPlan[#Headers],0))-INDEX(MarketingActual[],MATCH(INDEX(MarketingVariances[],ROW()-ROW(MarketingVariances[[#Headers],[May]]),1),INDEX(MarketingPlan[],,1),0),MATCH(MarketingVariances[[#Headers],[May]],MarketingActual[#Headers],0))</calculatedColumnFormula>
    </tableColumn>
    <tableColumn id="7" xr3:uid="{00000000-0010-0000-0A00-000007000000}" name="Jun" totalsRowFunction="sum" dataDxfId="101" totalsRowDxfId="221">
      <calculatedColumnFormula>INDEX(MarketingPlan[],MATCH(INDEX(MarketingVariances[],ROW()-ROW(MarketingVariances[[#Headers],[Jun]]),1),INDEX(MarketingPlan[],,1),0),MATCH(MarketingVariances[[#Headers],[Jun]],MarketingPlan[#Headers],0))-INDEX(MarketingActual[],MATCH(INDEX(MarketingVariances[],ROW()-ROW(MarketingVariances[[#Headers],[Jun]]),1),INDEX(MarketingPlan[],,1),0),MATCH(MarketingVariances[[#Headers],[Jun]],MarketingActual[#Headers],0))</calculatedColumnFormula>
    </tableColumn>
    <tableColumn id="8" xr3:uid="{00000000-0010-0000-0A00-000008000000}" name="Jul" totalsRowFunction="sum" dataDxfId="100" totalsRowDxfId="220">
      <calculatedColumnFormula>INDEX(MarketingPlan[],MATCH(INDEX(MarketingVariances[],ROW()-ROW(MarketingVariances[[#Headers],[Jul]]),1),INDEX(MarketingPlan[],,1),0),MATCH(MarketingVariances[[#Headers],[Jul]],MarketingPlan[#Headers],0))-INDEX(MarketingActual[],MATCH(INDEX(MarketingVariances[],ROW()-ROW(MarketingVariances[[#Headers],[Jul]]),1),INDEX(MarketingPlan[],,1),0),MATCH(MarketingVariances[[#Headers],[Jul]],MarketingActual[#Headers],0))</calculatedColumnFormula>
    </tableColumn>
    <tableColumn id="9" xr3:uid="{00000000-0010-0000-0A00-000009000000}" name="Aug" totalsRowFunction="sum" dataDxfId="99" totalsRowDxfId="219">
      <calculatedColumnFormula>INDEX(MarketingPlan[],MATCH(INDEX(MarketingVariances[],ROW()-ROW(MarketingVariances[[#Headers],[Aug]]),1),INDEX(MarketingPlan[],,1),0),MATCH(MarketingVariances[[#Headers],[Aug]],MarketingPlan[#Headers],0))-INDEX(MarketingActual[],MATCH(INDEX(MarketingVariances[],ROW()-ROW(MarketingVariances[[#Headers],[Aug]]),1),INDEX(MarketingPlan[],,1),0),MATCH(MarketingVariances[[#Headers],[Aug]],MarketingActual[#Headers],0))</calculatedColumnFormula>
    </tableColumn>
    <tableColumn id="10" xr3:uid="{00000000-0010-0000-0A00-00000A000000}" name="Sep" totalsRowFunction="sum" dataDxfId="98" totalsRowDxfId="218">
      <calculatedColumnFormula>INDEX(MarketingPlan[],MATCH(INDEX(MarketingVariances[],ROW()-ROW(MarketingVariances[[#Headers],[Sep]]),1),INDEX(MarketingPlan[],,1),0),MATCH(MarketingVariances[[#Headers],[Sep]],MarketingPlan[#Headers],0))-INDEX(MarketingActual[],MATCH(INDEX(MarketingVariances[],ROW()-ROW(MarketingVariances[[#Headers],[Sep]]),1),INDEX(MarketingPlan[],,1),0),MATCH(MarketingVariances[[#Headers],[Sep]],MarketingActual[#Headers],0))</calculatedColumnFormula>
    </tableColumn>
    <tableColumn id="11" xr3:uid="{00000000-0010-0000-0A00-00000B000000}" name="Oct" totalsRowFunction="sum" dataDxfId="97" totalsRowDxfId="217">
      <calculatedColumnFormula>INDEX(MarketingPlan[],MATCH(INDEX(MarketingVariances[],ROW()-ROW(MarketingVariances[[#Headers],[Oct]]),1),INDEX(MarketingPlan[],,1),0),MATCH(MarketingVariances[[#Headers],[Oct]],MarketingPlan[#Headers],0))-INDEX(MarketingActual[],MATCH(INDEX(MarketingVariances[],ROW()-ROW(MarketingVariances[[#Headers],[Oct]]),1),INDEX(MarketingPlan[],,1),0),MATCH(MarketingVariances[[#Headers],[Oct]],MarketingActual[#Headers],0))</calculatedColumnFormula>
    </tableColumn>
    <tableColumn id="12" xr3:uid="{00000000-0010-0000-0A00-00000C000000}" name="Nov" totalsRowFunction="sum" dataDxfId="96" totalsRowDxfId="216">
      <calculatedColumnFormula>INDEX(MarketingPlan[],MATCH(INDEX(MarketingVariances[],ROW()-ROW(MarketingVariances[[#Headers],[Nov]]),1),INDEX(MarketingPlan[],,1),0),MATCH(MarketingVariances[[#Headers],[Nov]],MarketingPlan[#Headers],0))-INDEX(MarketingActual[],MATCH(INDEX(MarketingVariances[],ROW()-ROW(MarketingVariances[[#Headers],[Nov]]),1),INDEX(MarketingPlan[],,1),0),MATCH(MarketingVariances[[#Headers],[Nov]],MarketingActual[#Headers],0))</calculatedColumnFormula>
    </tableColumn>
    <tableColumn id="13" xr3:uid="{00000000-0010-0000-0A00-00000D000000}" name="Dec" totalsRowFunction="sum" dataDxfId="95" totalsRowDxfId="215">
      <calculatedColumnFormula>INDEX(MarketingPlan[],MATCH(INDEX(MarketingVariances[],ROW()-ROW(MarketingVariances[[#Headers],[Dec]]),1),INDEX(MarketingPlan[],,1),0),MATCH(MarketingVariances[[#Headers],[Dec]],MarketingPlan[#Headers],0))-INDEX(MarketingActual[],MATCH(INDEX(MarketingVariances[],ROW()-ROW(MarketingVariances[[#Headers],[Dec]]),1),INDEX(MarketingPlan[],,1),0),MATCH(MarketingVariances[[#Headers],[Dec]],MarketingActual[#Headers],0))</calculatedColumnFormula>
    </tableColumn>
    <tableColumn id="14" xr3:uid="{00000000-0010-0000-0A00-00000E000000}" name="YEAR" totalsRowFunction="sum" dataDxfId="94" totalsRowDxfId="214">
      <calculatedColumnFormula>SUM(MarketingVariances[[#This Row],[Jan]:[Dec]])</calculatedColumnFormula>
    </tableColumn>
  </tableColumns>
  <tableStyleInfo name="TableStyleLight8" showFirstColumn="1" showLastColumn="1" showRowStripes="0" showColumnStripes="0"/>
  <extLst>
    <ext xmlns:x14="http://schemas.microsoft.com/office/spreadsheetml/2009/9/main" uri="{504A1905-F514-4f6f-8877-14C23A59335A}">
      <x14:table altTextSummary="Variance in marketing costs per month is auto-calculated in this table"/>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rainingAndTravelVariances" displayName="TrainingAndTravelVariances" ref="B30:O33" totalsRowCount="1" headerRowDxfId="213" totalsRowDxfId="210" headerRowBorderDxfId="212" tableBorderDxfId="211" totalsRowBorderDxfId="209">
  <autoFilter ref="B30:O32"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B00-000001000000}" name="Training/Travel" totalsRowLabel="Subtotal" dataDxfId="208" totalsRowDxfId="207"/>
    <tableColumn id="2" xr3:uid="{00000000-0010-0000-0B00-000002000000}" name="Jan" totalsRowFunction="sum" dataDxfId="93" totalsRowDxfId="206">
      <calculatedColumnFormula>INDEX(TrainingAndTravelPlan[],MATCH(INDEX(TrainingAndTravelVariances[],ROW()-ROW(TrainingAndTravelVariances[[#Headers],[Jan]]),1),INDEX(TrainingAndTravelPlan[],,1),0),MATCH(TrainingAndTravelVariances[[#Headers],[Jan]],TrainingAndTravelPlan[#Headers],0))-INDEX(TrainingAndTravelActual[],MATCH(INDEX(TrainingAndTravelVariances[],ROW()-ROW(TrainingAndTravelVariances[[#Headers],[Jan]]),1),INDEX(TrainingAndTravelPlan[],,1),0),MATCH(TrainingAndTravelVariances[[#Headers],[Jan]],TrainingAndTravelActual[#Headers],0))</calculatedColumnFormula>
    </tableColumn>
    <tableColumn id="3" xr3:uid="{00000000-0010-0000-0B00-000003000000}" name="Feb" totalsRowFunction="sum" dataDxfId="92" totalsRowDxfId="205">
      <calculatedColumnFormula>INDEX(TrainingAndTravelPlan[],MATCH(INDEX(TrainingAndTravelVariances[],ROW()-ROW(TrainingAndTravelVariances[[#Headers],[Feb]]),1),INDEX(TrainingAndTravelPlan[],,1),0),MATCH(TrainingAndTravelVariances[[#Headers],[Feb]],TrainingAndTravelPlan[#Headers],0))-INDEX(TrainingAndTravelActual[],MATCH(INDEX(TrainingAndTravelVariances[],ROW()-ROW(TrainingAndTravelVariances[[#Headers],[Feb]]),1),INDEX(TrainingAndTravelPlan[],,1),0),MATCH(TrainingAndTravelVariances[[#Headers],[Feb]],TrainingAndTravelActual[#Headers],0))</calculatedColumnFormula>
    </tableColumn>
    <tableColumn id="4" xr3:uid="{00000000-0010-0000-0B00-000004000000}" name="Mar" totalsRowFunction="sum" dataDxfId="91" totalsRowDxfId="204">
      <calculatedColumnFormula>INDEX(TrainingAndTravelPlan[],MATCH(INDEX(TrainingAndTravelVariances[],ROW()-ROW(TrainingAndTravelVariances[[#Headers],[Mar]]),1),INDEX(TrainingAndTravelPlan[],,1),0),MATCH(TrainingAndTravelVariances[[#Headers],[Mar]],TrainingAndTravelPlan[#Headers],0))-INDEX(TrainingAndTravelActual[],MATCH(INDEX(TrainingAndTravelVariances[],ROW()-ROW(TrainingAndTravelVariances[[#Headers],[Mar]]),1),INDEX(TrainingAndTravelPlan[],,1),0),MATCH(TrainingAndTravelVariances[[#Headers],[Mar]],TrainingAndTravelActual[#Headers],0))</calculatedColumnFormula>
    </tableColumn>
    <tableColumn id="5" xr3:uid="{00000000-0010-0000-0B00-000005000000}" name="Apr" totalsRowFunction="sum" dataDxfId="90" totalsRowDxfId="203">
      <calculatedColumnFormula>INDEX(TrainingAndTravelPlan[],MATCH(INDEX(TrainingAndTravelVariances[],ROW()-ROW(TrainingAndTravelVariances[[#Headers],[Apr]]),1),INDEX(TrainingAndTravelPlan[],,1),0),MATCH(TrainingAndTravelVariances[[#Headers],[Apr]],TrainingAndTravelPlan[#Headers],0))-INDEX(TrainingAndTravelActual[],MATCH(INDEX(TrainingAndTravelVariances[],ROW()-ROW(TrainingAndTravelVariances[[#Headers],[Apr]]),1),INDEX(TrainingAndTravelPlan[],,1),0),MATCH(TrainingAndTravelVariances[[#Headers],[Apr]],TrainingAndTravelActual[#Headers],0))</calculatedColumnFormula>
    </tableColumn>
    <tableColumn id="6" xr3:uid="{00000000-0010-0000-0B00-000006000000}" name="May" totalsRowFunction="sum" dataDxfId="89" totalsRowDxfId="202">
      <calculatedColumnFormula>INDEX(TrainingAndTravelPlan[],MATCH(INDEX(TrainingAndTravelVariances[],ROW()-ROW(TrainingAndTravelVariances[[#Headers],[May]]),1),INDEX(TrainingAndTravelPlan[],,1),0),MATCH(TrainingAndTravelVariances[[#Headers],[May]],TrainingAndTravelPlan[#Headers],0))-INDEX(TrainingAndTravelActual[],MATCH(INDEX(TrainingAndTravelVariances[],ROW()-ROW(TrainingAndTravelVariances[[#Headers],[May]]),1),INDEX(TrainingAndTravelPlan[],,1),0),MATCH(TrainingAndTravelVariances[[#Headers],[May]],TrainingAndTravelActual[#Headers],0))</calculatedColumnFormula>
    </tableColumn>
    <tableColumn id="7" xr3:uid="{00000000-0010-0000-0B00-000007000000}" name="Jun" totalsRowFunction="sum" dataDxfId="88" totalsRowDxfId="201">
      <calculatedColumnFormula>INDEX(TrainingAndTravelPlan[],MATCH(INDEX(TrainingAndTravelVariances[],ROW()-ROW(TrainingAndTravelVariances[[#Headers],[Jun]]),1),INDEX(TrainingAndTravelPlan[],,1),0),MATCH(TrainingAndTravelVariances[[#Headers],[Jun]],TrainingAndTravelPlan[#Headers],0))-INDEX(TrainingAndTravelActual[],MATCH(INDEX(TrainingAndTravelVariances[],ROW()-ROW(TrainingAndTravelVariances[[#Headers],[Jun]]),1),INDEX(TrainingAndTravelPlan[],,1),0),MATCH(TrainingAndTravelVariances[[#Headers],[Jun]],TrainingAndTravelActual[#Headers],0))</calculatedColumnFormula>
    </tableColumn>
    <tableColumn id="8" xr3:uid="{00000000-0010-0000-0B00-000008000000}" name="Jul" totalsRowFunction="sum" dataDxfId="87" totalsRowDxfId="200">
      <calculatedColumnFormula>INDEX(TrainingAndTravelPlan[],MATCH(INDEX(TrainingAndTravelVariances[],ROW()-ROW(TrainingAndTravelVariances[[#Headers],[Jul]]),1),INDEX(TrainingAndTravelPlan[],,1),0),MATCH(TrainingAndTravelVariances[[#Headers],[Jul]],TrainingAndTravelPlan[#Headers],0))-INDEX(TrainingAndTravelActual[],MATCH(INDEX(TrainingAndTravelVariances[],ROW()-ROW(TrainingAndTravelVariances[[#Headers],[Jul]]),1),INDEX(TrainingAndTravelPlan[],,1),0),MATCH(TrainingAndTravelVariances[[#Headers],[Jul]],TrainingAndTravelActual[#Headers],0))</calculatedColumnFormula>
    </tableColumn>
    <tableColumn id="9" xr3:uid="{00000000-0010-0000-0B00-000009000000}" name="Aug" totalsRowFunction="sum" dataDxfId="86" totalsRowDxfId="199">
      <calculatedColumnFormula>INDEX(TrainingAndTravelPlan[],MATCH(INDEX(TrainingAndTravelVariances[],ROW()-ROW(TrainingAndTravelVariances[[#Headers],[Aug]]),1),INDEX(TrainingAndTravelPlan[],,1),0),MATCH(TrainingAndTravelVariances[[#Headers],[Aug]],TrainingAndTravelPlan[#Headers],0))-INDEX(TrainingAndTravelActual[],MATCH(INDEX(TrainingAndTravelVariances[],ROW()-ROW(TrainingAndTravelVariances[[#Headers],[Aug]]),1),INDEX(TrainingAndTravelPlan[],,1),0),MATCH(TrainingAndTravelVariances[[#Headers],[Aug]],TrainingAndTravelActual[#Headers],0))</calculatedColumnFormula>
    </tableColumn>
    <tableColumn id="10" xr3:uid="{00000000-0010-0000-0B00-00000A000000}" name="Sep" totalsRowFunction="sum" dataDxfId="85" totalsRowDxfId="198">
      <calculatedColumnFormula>INDEX(TrainingAndTravelPlan[],MATCH(INDEX(TrainingAndTravelVariances[],ROW()-ROW(TrainingAndTravelVariances[[#Headers],[Sep]]),1),INDEX(TrainingAndTravelPlan[],,1),0),MATCH(TrainingAndTravelVariances[[#Headers],[Sep]],TrainingAndTravelPlan[#Headers],0))-INDEX(TrainingAndTravelActual[],MATCH(INDEX(TrainingAndTravelVariances[],ROW()-ROW(TrainingAndTravelVariances[[#Headers],[Sep]]),1),INDEX(TrainingAndTravelPlan[],,1),0),MATCH(TrainingAndTravelVariances[[#Headers],[Sep]],TrainingAndTravelActual[#Headers],0))</calculatedColumnFormula>
    </tableColumn>
    <tableColumn id="11" xr3:uid="{00000000-0010-0000-0B00-00000B000000}" name="Oct" totalsRowFunction="sum" dataDxfId="84" totalsRowDxfId="197">
      <calculatedColumnFormula>INDEX(TrainingAndTravelPlan[],MATCH(INDEX(TrainingAndTravelVariances[],ROW()-ROW(TrainingAndTravelVariances[[#Headers],[Oct]]),1),INDEX(TrainingAndTravelPlan[],,1),0),MATCH(TrainingAndTravelVariances[[#Headers],[Oct]],TrainingAndTravelPlan[#Headers],0))-INDEX(TrainingAndTravelActual[],MATCH(INDEX(TrainingAndTravelVariances[],ROW()-ROW(TrainingAndTravelVariances[[#Headers],[Oct]]),1),INDEX(TrainingAndTravelPlan[],,1),0),MATCH(TrainingAndTravelVariances[[#Headers],[Oct]],TrainingAndTravelActual[#Headers],0))</calculatedColumnFormula>
    </tableColumn>
    <tableColumn id="12" xr3:uid="{00000000-0010-0000-0B00-00000C000000}" name="Nov" totalsRowFunction="sum" dataDxfId="83" totalsRowDxfId="196">
      <calculatedColumnFormula>INDEX(TrainingAndTravelPlan[],MATCH(INDEX(TrainingAndTravelVariances[],ROW()-ROW(TrainingAndTravelVariances[[#Headers],[Nov]]),1),INDEX(TrainingAndTravelPlan[],,1),0),MATCH(TrainingAndTravelVariances[[#Headers],[Nov]],TrainingAndTravelPlan[#Headers],0))-INDEX(TrainingAndTravelActual[],MATCH(INDEX(TrainingAndTravelVariances[],ROW()-ROW(TrainingAndTravelVariances[[#Headers],[Nov]]),1),INDEX(TrainingAndTravelPlan[],,1),0),MATCH(TrainingAndTravelVariances[[#Headers],[Nov]],TrainingAndTravelActual[#Headers],0))</calculatedColumnFormula>
    </tableColumn>
    <tableColumn id="13" xr3:uid="{00000000-0010-0000-0B00-00000D000000}" name="Dec" totalsRowFunction="sum" dataDxfId="82" totalsRowDxfId="195">
      <calculatedColumnFormula>INDEX(TrainingAndTravelPlan[],MATCH(INDEX(TrainingAndTravelVariances[],ROW()-ROW(TrainingAndTravelVariances[[#Headers],[Dec]]),1),INDEX(TrainingAndTravelPlan[],,1),0),MATCH(TrainingAndTravelVariances[[#Headers],[Dec]],TrainingAndTravelPlan[#Headers],0))-INDEX(TrainingAndTravelActual[],MATCH(INDEX(TrainingAndTravelVariances[],ROW()-ROW(TrainingAndTravelVariances[[#Headers],[Dec]]),1),INDEX(TrainingAndTravelPlan[],,1),0),MATCH(TrainingAndTravelVariances[[#Headers],[Dec]],TrainingAndTravelActual[#Headers],0))</calculatedColumnFormula>
    </tableColumn>
    <tableColumn id="14" xr3:uid="{00000000-0010-0000-0B00-00000E000000}" name="YEAR" totalsRowFunction="sum" dataDxfId="81" totalsRowDxfId="194">
      <calculatedColumnFormula>SUM(TrainingAndTravelVariances[[#This Row],[Jan]:[Dec]])</calculatedColumnFormula>
    </tableColumn>
  </tableColumns>
  <tableStyleInfo name="TableStyleLight8" showFirstColumn="1" showLastColumn="1" showRowStripes="0" showColumnStripes="0"/>
  <extLst>
    <ext xmlns:x14="http://schemas.microsoft.com/office/spreadsheetml/2009/9/main" uri="{504A1905-F514-4f6f-8877-14C23A59335A}">
      <x14:table altTextSummary="Variance in training and travel costs per month is auto-calculated in this table"/>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D450248-DB77-46F5-B207-E715DE10D029}" name="TotalVariances" displayName="TotalVariances" ref="B35:O37" totalsRowShown="0" headerRowDxfId="193" dataDxfId="192" tableBorderDxfId="191" headerRowCellStyle="Heading 3">
  <autoFilter ref="B35:O37" xr:uid="{B407F9FC-1AB0-4A37-B2B1-EDE36CD9972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4CA1B301-8171-4BDA-9269-D51F18A1CE72}" name="TOTALS" dataDxfId="190"/>
    <tableColumn id="2" xr3:uid="{AE0C21A5-398B-42DE-950D-8AE4AD1A8551}" name="Jan" dataDxfId="80">
      <calculatedColumnFormula>SUM($C35:C$36)</calculatedColumnFormula>
    </tableColumn>
    <tableColumn id="3" xr3:uid="{A43B0B0E-F35F-4E04-8A0D-11BB7356D5F1}" name="Feb" dataDxfId="79">
      <calculatedColumnFormula>SUM($C35:D$36)</calculatedColumnFormula>
    </tableColumn>
    <tableColumn id="4" xr3:uid="{F14459A4-8E61-4E04-9A53-A7DA16CE366A}" name="Mar" dataDxfId="78">
      <calculatedColumnFormula>SUM($C35:E$36)</calculatedColumnFormula>
    </tableColumn>
    <tableColumn id="5" xr3:uid="{1C90C974-8801-4A11-B3AF-1DC144BB0C14}" name="Apr" dataDxfId="77">
      <calculatedColumnFormula>SUM($C35:F$36)</calculatedColumnFormula>
    </tableColumn>
    <tableColumn id="6" xr3:uid="{C8E3F4F6-5F27-4CC7-9916-6D86833782C1}" name="May" dataDxfId="76">
      <calculatedColumnFormula>SUM($C35:G$36)</calculatedColumnFormula>
    </tableColumn>
    <tableColumn id="7" xr3:uid="{AF75D92B-7578-4087-BB78-DD5AD8165117}" name="Jun" dataDxfId="75">
      <calculatedColumnFormula>SUM($C35:H$36)</calculatedColumnFormula>
    </tableColumn>
    <tableColumn id="8" xr3:uid="{35F61ABA-09FB-4695-B0F5-A2C6B6580A2E}" name="Jul" dataDxfId="74">
      <calculatedColumnFormula>SUM($C35:I$36)</calculatedColumnFormula>
    </tableColumn>
    <tableColumn id="9" xr3:uid="{59F62437-45DC-439F-945A-D0E79C444E8E}" name="Aug" dataDxfId="73">
      <calculatedColumnFormula>SUM($C35:J$36)</calculatedColumnFormula>
    </tableColumn>
    <tableColumn id="10" xr3:uid="{2BF9DCC5-B211-44A6-BD40-E91602CDA85C}" name="Sep" dataDxfId="72">
      <calculatedColumnFormula>SUM($C35:K$36)</calculatedColumnFormula>
    </tableColumn>
    <tableColumn id="11" xr3:uid="{4280684A-CD23-4103-8664-029757D0A2A2}" name="Oct" dataDxfId="71">
      <calculatedColumnFormula>SUM($C35:L$36)</calculatedColumnFormula>
    </tableColumn>
    <tableColumn id="12" xr3:uid="{07DED434-EC8F-4DAF-83E3-E350A33F2EAE}" name="Nov" dataDxfId="70">
      <calculatedColumnFormula>SUM($C35:M$36)</calculatedColumnFormula>
    </tableColumn>
    <tableColumn id="13" xr3:uid="{32BA0102-0F05-43CF-91BA-724F1FE01DAA}" name="Dec" dataDxfId="69">
      <calculatedColumnFormula>SUM($C35:N$36)</calculatedColumnFormula>
    </tableColumn>
    <tableColumn id="14" xr3:uid="{57A0D710-AEB8-4057-928D-010058E02081}" name="Year" dataDxfId="68"/>
  </tableColumns>
  <tableStyleInfo showFirstColumn="1" showLastColumn="0" showRowStripes="0" showColumnStripes="0"/>
  <extLst>
    <ext xmlns:x14="http://schemas.microsoft.com/office/spreadsheetml/2009/9/main" uri="{504A1905-F514-4f6f-8877-14C23A59335A}">
      <x14:table altTextSummary="Monthly and Total Expense Variance are auto-calculated in this table"/>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029F34C-CC7A-4C9E-8687-3CBA6E03BB7D}" name="Analysis" displayName="Analysis" ref="B5:F10" totalsRowShown="0" dataDxfId="189" tableBorderDxfId="188">
  <autoFilter ref="B5:F10" xr:uid="{FF30FBEE-D7F5-45FA-A994-455B735EFD11}">
    <filterColumn colId="0" hiddenButton="1"/>
    <filterColumn colId="1" hiddenButton="1"/>
    <filterColumn colId="2" hiddenButton="1"/>
    <filterColumn colId="3" hiddenButton="1"/>
    <filterColumn colId="4" hiddenButton="1"/>
  </autoFilter>
  <tableColumns count="5">
    <tableColumn id="1" xr3:uid="{85D5DD3A-2DA8-4CC6-8C75-2348A5B1DCE5}" name="Expense Category" dataDxfId="187"/>
    <tableColumn id="2" xr3:uid="{71038352-BC76-49DD-9F6C-B394E5F033ED}" name="Planned Expenses" dataDxfId="2"/>
    <tableColumn id="3" xr3:uid="{19ED3EBC-BC10-47F6-9800-62129A32BC8E}" name="Actual Expenses" dataDxfId="1"/>
    <tableColumn id="4" xr3:uid="{E8D5E1DD-7CB1-4A1A-8F42-EFBF70790FE7}" name="Expense Variances" dataDxfId="0">
      <calculatedColumnFormula>C6-D6</calculatedColumnFormula>
    </tableColumn>
    <tableColumn id="5" xr3:uid="{47E1881E-12A2-4F0E-8364-B79F2DC5D0B1}" name="Variance Percentage" dataDxfId="186">
      <calculatedColumnFormula>E6/C6</calculatedColumnFormula>
    </tableColumn>
  </tableColumns>
  <tableStyleInfo showFirstColumn="1"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MarketingPlan" displayName="MarketingPlan" ref="B21:O28" totalsRowCount="1" headerRowDxfId="423" totalsRowDxfId="420" headerRowBorderDxfId="422" tableBorderDxfId="421" totalsRowBorderDxfId="419">
  <autoFilter ref="B21:O27"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100-000001000000}" name="Marketing Costs" totalsRowLabel="Subtotal" dataDxfId="418" totalsRowDxfId="417"/>
    <tableColumn id="2" xr3:uid="{00000000-0010-0000-0100-000002000000}" name="Jan" totalsRowFunction="sum" dataDxfId="172" totalsRowDxfId="416"/>
    <tableColumn id="3" xr3:uid="{00000000-0010-0000-0100-000003000000}" name="Feb" totalsRowFunction="sum" dataDxfId="171" totalsRowDxfId="415"/>
    <tableColumn id="4" xr3:uid="{00000000-0010-0000-0100-000004000000}" name="Mar" totalsRowFunction="sum" dataDxfId="170" totalsRowDxfId="414"/>
    <tableColumn id="5" xr3:uid="{00000000-0010-0000-0100-000005000000}" name="Apr" totalsRowFunction="sum" dataDxfId="169" totalsRowDxfId="413"/>
    <tableColumn id="6" xr3:uid="{00000000-0010-0000-0100-000006000000}" name="May" totalsRowFunction="sum" dataDxfId="168" totalsRowDxfId="412"/>
    <tableColumn id="7" xr3:uid="{00000000-0010-0000-0100-000007000000}" name="Jun" totalsRowFunction="sum" dataDxfId="167" totalsRowDxfId="411"/>
    <tableColumn id="8" xr3:uid="{00000000-0010-0000-0100-000008000000}" name="Jul" totalsRowFunction="sum" dataDxfId="166" totalsRowDxfId="410"/>
    <tableColumn id="9" xr3:uid="{00000000-0010-0000-0100-000009000000}" name="Aug" totalsRowFunction="sum" dataDxfId="165" totalsRowDxfId="409"/>
    <tableColumn id="10" xr3:uid="{00000000-0010-0000-0100-00000A000000}" name="Sep" totalsRowFunction="sum" dataDxfId="164" totalsRowDxfId="408"/>
    <tableColumn id="11" xr3:uid="{00000000-0010-0000-0100-00000B000000}" name="Oct" totalsRowFunction="sum" dataDxfId="163" totalsRowDxfId="407"/>
    <tableColumn id="12" xr3:uid="{00000000-0010-0000-0100-00000C000000}" name="Nov" totalsRowFunction="sum" dataDxfId="162" totalsRowDxfId="406"/>
    <tableColumn id="13" xr3:uid="{00000000-0010-0000-0100-00000D000000}" name="Dec" totalsRowFunction="sum" dataDxfId="161" totalsRowDxfId="405"/>
    <tableColumn id="14" xr3:uid="{00000000-0010-0000-0100-00000E000000}" name="YEAR" totalsRowFunction="sum" dataDxfId="160" totalsRowDxfId="404">
      <calculatedColumnFormula>SUM(C22:N22)</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Enter planned monthly marketing costs in this table. Total is auto-calculated at the en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rainingAndTravelPlan" displayName="TrainingAndTravelPlan" ref="B30:O33" totalsRowCount="1" headerRowDxfId="403" totalsRowDxfId="400" headerRowBorderDxfId="402" tableBorderDxfId="401" totalsRowBorderDxfId="399">
  <autoFilter ref="B30:O32"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200-000001000000}" name="Training/Travel" totalsRowLabel="Subtotal" dataDxfId="398" totalsRowDxfId="397"/>
    <tableColumn id="2" xr3:uid="{00000000-0010-0000-0200-000002000000}" name="Jan" totalsRowFunction="sum" dataDxfId="159" totalsRowDxfId="396"/>
    <tableColumn id="3" xr3:uid="{00000000-0010-0000-0200-000003000000}" name="Feb" totalsRowFunction="sum" dataDxfId="158" totalsRowDxfId="395"/>
    <tableColumn id="4" xr3:uid="{00000000-0010-0000-0200-000004000000}" name="Mar" totalsRowFunction="sum" dataDxfId="157" totalsRowDxfId="394"/>
    <tableColumn id="5" xr3:uid="{00000000-0010-0000-0200-000005000000}" name="Apr" totalsRowFunction="sum" dataDxfId="156" totalsRowDxfId="393"/>
    <tableColumn id="6" xr3:uid="{00000000-0010-0000-0200-000006000000}" name="May" totalsRowFunction="sum" dataDxfId="155" totalsRowDxfId="392"/>
    <tableColumn id="7" xr3:uid="{00000000-0010-0000-0200-000007000000}" name="Jun" totalsRowFunction="sum" dataDxfId="154" totalsRowDxfId="391"/>
    <tableColumn id="8" xr3:uid="{00000000-0010-0000-0200-000008000000}" name="Jul" totalsRowFunction="sum" dataDxfId="153" totalsRowDxfId="390"/>
    <tableColumn id="9" xr3:uid="{00000000-0010-0000-0200-000009000000}" name="Aug" totalsRowFunction="sum" dataDxfId="152" totalsRowDxfId="389"/>
    <tableColumn id="10" xr3:uid="{00000000-0010-0000-0200-00000A000000}" name="Sep" totalsRowFunction="sum" dataDxfId="151" totalsRowDxfId="388"/>
    <tableColumn id="11" xr3:uid="{00000000-0010-0000-0200-00000B000000}" name="Oct" totalsRowFunction="sum" dataDxfId="150" totalsRowDxfId="387"/>
    <tableColumn id="12" xr3:uid="{00000000-0010-0000-0200-00000C000000}" name="Nov" totalsRowFunction="sum" dataDxfId="149" totalsRowDxfId="386"/>
    <tableColumn id="13" xr3:uid="{00000000-0010-0000-0200-00000D000000}" name="Dec" totalsRowFunction="sum" dataDxfId="148" totalsRowDxfId="385"/>
    <tableColumn id="14" xr3:uid="{00000000-0010-0000-0200-00000E000000}" name="YEAR" totalsRowFunction="sum" dataDxfId="147" totalsRowDxfId="384">
      <calculatedColumnFormula>SUM(C31:N31)</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Enter planned monthly training and travel costs in this table. Total is auto-calculated at the en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EmployeePlan" displayName="EmployeePlan" ref="B5:O8" totalsRowCount="1" headerRowDxfId="383" totalsRowDxfId="380" headerRowBorderDxfId="382" tableBorderDxfId="381" totalsRowBorderDxfId="379">
  <autoFilter ref="B5:O7"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300-000001000000}" name="Employee Costs" totalsRowLabel="Subtotal" dataDxfId="378" totalsRowDxfId="377"/>
    <tableColumn id="2" xr3:uid="{00000000-0010-0000-0300-000002000000}" name="Jan" totalsRowFunction="sum" dataDxfId="146" totalsRowDxfId="376">
      <calculatedColumnFormula>C5*0.27</calculatedColumnFormula>
    </tableColumn>
    <tableColumn id="3" xr3:uid="{00000000-0010-0000-0300-000003000000}" name="Feb" totalsRowFunction="sum" dataDxfId="145" totalsRowDxfId="375">
      <calculatedColumnFormula>D5*0.27</calculatedColumnFormula>
    </tableColumn>
    <tableColumn id="4" xr3:uid="{00000000-0010-0000-0300-000004000000}" name="Mar" totalsRowFunction="sum" dataDxfId="144" totalsRowDxfId="374">
      <calculatedColumnFormula>E5*0.27</calculatedColumnFormula>
    </tableColumn>
    <tableColumn id="5" xr3:uid="{00000000-0010-0000-0300-000005000000}" name="Apr" totalsRowFunction="sum" dataDxfId="143" totalsRowDxfId="373">
      <calculatedColumnFormula>F5*0.27</calculatedColumnFormula>
    </tableColumn>
    <tableColumn id="6" xr3:uid="{00000000-0010-0000-0300-000006000000}" name="May" totalsRowFunction="sum" dataDxfId="142" totalsRowDxfId="372">
      <calculatedColumnFormula>G5*0.27</calculatedColumnFormula>
    </tableColumn>
    <tableColumn id="7" xr3:uid="{00000000-0010-0000-0300-000007000000}" name="Jun" totalsRowFunction="sum" dataDxfId="141" totalsRowDxfId="371">
      <calculatedColumnFormula>H5*0.27</calculatedColumnFormula>
    </tableColumn>
    <tableColumn id="8" xr3:uid="{00000000-0010-0000-0300-000008000000}" name="Jul" totalsRowFunction="sum" dataDxfId="140" totalsRowDxfId="370">
      <calculatedColumnFormula>I5*0.27</calculatedColumnFormula>
    </tableColumn>
    <tableColumn id="9" xr3:uid="{00000000-0010-0000-0300-000009000000}" name="Aug" totalsRowFunction="sum" dataDxfId="139" totalsRowDxfId="369">
      <calculatedColumnFormula>J5*0.27</calculatedColumnFormula>
    </tableColumn>
    <tableColumn id="10" xr3:uid="{00000000-0010-0000-0300-00000A000000}" name="Sep" totalsRowFunction="sum" dataDxfId="138" totalsRowDxfId="368">
      <calculatedColumnFormula>K5*0.27</calculatedColumnFormula>
    </tableColumn>
    <tableColumn id="11" xr3:uid="{00000000-0010-0000-0300-00000B000000}" name="Oct" totalsRowFunction="sum" dataDxfId="137" totalsRowDxfId="367">
      <calculatedColumnFormula>L5*0.27</calculatedColumnFormula>
    </tableColumn>
    <tableColumn id="12" xr3:uid="{00000000-0010-0000-0300-00000C000000}" name="Nov" totalsRowFunction="sum" dataDxfId="136" totalsRowDxfId="366">
      <calculatedColumnFormula>M5*0.27</calculatedColumnFormula>
    </tableColumn>
    <tableColumn id="13" xr3:uid="{00000000-0010-0000-0300-00000D000000}" name="Dec" totalsRowFunction="sum" dataDxfId="135" totalsRowDxfId="365">
      <calculatedColumnFormula>N5*0.27</calculatedColumnFormula>
    </tableColumn>
    <tableColumn id="14" xr3:uid="{00000000-0010-0000-0300-00000E000000}" name="YEAR" totalsRowFunction="sum" dataDxfId="134" totalsRowDxfId="364">
      <calculatedColumnFormula>SUM(C6:N6)</calculatedColumnFormula>
    </tableColumn>
  </tableColumns>
  <tableStyleInfo name="TableStyleMedium1" showFirstColumn="1" showLastColumn="1" showRowStripes="1" showColumnStripes="0"/>
  <extLst>
    <ext xmlns:x14="http://schemas.microsoft.com/office/spreadsheetml/2009/9/main" uri="{504A1905-F514-4f6f-8877-14C23A59335A}">
      <x14:table altTextSummary="Enter planned monthly employee costs in this table. Total is auto-calculated at the end"/>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1654C0-A6E2-4402-ADF4-C02B29E915BD}" name="PlannedTotal" displayName="PlannedTotal" ref="B35:O37" totalsRowShown="0" headerRowDxfId="363" dataDxfId="361" headerRowBorderDxfId="362" tableBorderDxfId="360" totalsRowBorderDxfId="359" headerRowCellStyle="Heading 3">
  <autoFilter ref="B35:O37" xr:uid="{630CA614-6744-438B-8D74-F7C59585F1E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7DAEAEE0-3B16-417F-B274-1F203D9CFCF2}" name="TOTALS" dataDxfId="358"/>
    <tableColumn id="2" xr3:uid="{3CBCAAC6-5850-43CE-8A4B-7299FADFEA94}" name="Jan" dataDxfId="133">
      <calculatedColumnFormula>SUM($C35:C$36)</calculatedColumnFormula>
    </tableColumn>
    <tableColumn id="3" xr3:uid="{E78EAAAB-F732-4079-94F1-D17531764B41}" name="Feb" dataDxfId="132">
      <calculatedColumnFormula>SUM($C35:D$36)</calculatedColumnFormula>
    </tableColumn>
    <tableColumn id="4" xr3:uid="{7E178853-B334-4E02-A0B5-9E8AC39D6929}" name="Mar" dataDxfId="131">
      <calculatedColumnFormula>SUM($C35:E$36)</calculatedColumnFormula>
    </tableColumn>
    <tableColumn id="5" xr3:uid="{901BCAA1-7C45-46E6-9DAA-C055B5CC4D9E}" name="Apr" dataDxfId="130">
      <calculatedColumnFormula>SUM($C35:F$36)</calculatedColumnFormula>
    </tableColumn>
    <tableColumn id="6" xr3:uid="{FDC62F5A-FCA8-49DA-AFE4-FBDA22CB588C}" name="May" dataDxfId="129">
      <calculatedColumnFormula>SUM($C35:G$36)</calculatedColumnFormula>
    </tableColumn>
    <tableColumn id="7" xr3:uid="{6B7E4F62-6387-4545-9593-FCFE8EB0E87B}" name="Jun" dataDxfId="128">
      <calculatedColumnFormula>SUM($C35:H$36)</calculatedColumnFormula>
    </tableColumn>
    <tableColumn id="8" xr3:uid="{29C96D76-82C3-4C86-A866-135D2B5F6766}" name="Jul" dataDxfId="127">
      <calculatedColumnFormula>SUM($C35:I$36)</calculatedColumnFormula>
    </tableColumn>
    <tableColumn id="9" xr3:uid="{8EAF7A8A-BCFD-4A07-ADFE-7B3A8A367BB3}" name="Aug" dataDxfId="126">
      <calculatedColumnFormula>SUM($C35:J$36)</calculatedColumnFormula>
    </tableColumn>
    <tableColumn id="10" xr3:uid="{F40CD844-EFB4-4B82-8FEA-F130D1DDE9B6}" name="Sep" dataDxfId="125">
      <calculatedColumnFormula>SUM($C35:K$36)</calculatedColumnFormula>
    </tableColumn>
    <tableColumn id="11" xr3:uid="{42E3BDAF-1274-4A42-93E1-A70D8EFF4D76}" name="Oct" dataDxfId="124">
      <calculatedColumnFormula>SUM($C35:L$36)</calculatedColumnFormula>
    </tableColumn>
    <tableColumn id="12" xr3:uid="{4F7ADDB3-3705-4D5F-B56D-EBBC8E7DFAFB}" name="Nov" dataDxfId="123">
      <calculatedColumnFormula>SUM($C35:M$36)</calculatedColumnFormula>
    </tableColumn>
    <tableColumn id="13" xr3:uid="{56789314-1137-4ED4-BA2B-969187ADECB2}" name="Dec" dataDxfId="122">
      <calculatedColumnFormula>SUM($C35:N$36)</calculatedColumnFormula>
    </tableColumn>
    <tableColumn id="14" xr3:uid="{284F34B8-8D32-4E44-96FD-25CE69A931D2}" name="Year" dataDxfId="121"/>
  </tableColumns>
  <tableStyleInfo showFirstColumn="1" showLastColumn="0" showRowStripes="0" showColumnStripes="0"/>
  <extLst>
    <ext xmlns:x14="http://schemas.microsoft.com/office/spreadsheetml/2009/9/main" uri="{504A1905-F514-4f6f-8877-14C23A59335A}">
      <x14:table altTextSummary="Monthly and Total Planned Expenses are auto-calculated in this table"/>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OfficeActual" displayName="OfficeActual" ref="B10:O19" totalsRowCount="1" headerRowDxfId="357" totalsRowDxfId="354" headerRowBorderDxfId="356" tableBorderDxfId="355" totalsRowBorderDxfId="353">
  <autoFilter ref="B10:O18"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400-000001000000}" name="Office Costs" totalsRowLabel="Subtotal" dataDxfId="352" totalsRowDxfId="351"/>
    <tableColumn id="2" xr3:uid="{00000000-0010-0000-0400-000002000000}" name="Jan" totalsRowFunction="sum" dataDxfId="67" totalsRowDxfId="350"/>
    <tableColumn id="3" xr3:uid="{00000000-0010-0000-0400-000003000000}" name="Feb" totalsRowFunction="sum" dataDxfId="66" totalsRowDxfId="349"/>
    <tableColumn id="4" xr3:uid="{00000000-0010-0000-0400-000004000000}" name="Mar" totalsRowFunction="sum" dataDxfId="65" totalsRowDxfId="348"/>
    <tableColumn id="5" xr3:uid="{00000000-0010-0000-0400-000005000000}" name="Apr" totalsRowFunction="sum" dataDxfId="64" totalsRowDxfId="347"/>
    <tableColumn id="6" xr3:uid="{00000000-0010-0000-0400-000006000000}" name="May" totalsRowFunction="sum" dataDxfId="63" totalsRowDxfId="346"/>
    <tableColumn id="7" xr3:uid="{00000000-0010-0000-0400-000007000000}" name="Jun" totalsRowFunction="sum" dataDxfId="62" totalsRowDxfId="345"/>
    <tableColumn id="8" xr3:uid="{00000000-0010-0000-0400-000008000000}" name="Jul" totalsRowFunction="sum" dataDxfId="61" totalsRowDxfId="344"/>
    <tableColumn id="9" xr3:uid="{00000000-0010-0000-0400-000009000000}" name="Aug" totalsRowFunction="sum" dataDxfId="60" totalsRowDxfId="343"/>
    <tableColumn id="10" xr3:uid="{00000000-0010-0000-0400-00000A000000}" name="Sep" totalsRowFunction="sum" dataDxfId="59" totalsRowDxfId="342"/>
    <tableColumn id="11" xr3:uid="{00000000-0010-0000-0400-00000B000000}" name="Oct" totalsRowFunction="sum" dataDxfId="58" totalsRowDxfId="341"/>
    <tableColumn id="12" xr3:uid="{00000000-0010-0000-0400-00000C000000}" name="Nov" totalsRowFunction="sum" dataDxfId="57" totalsRowDxfId="340"/>
    <tableColumn id="13" xr3:uid="{00000000-0010-0000-0400-00000D000000}" name="Dec" totalsRowFunction="sum" dataDxfId="56" totalsRowDxfId="339"/>
    <tableColumn id="14" xr3:uid="{00000000-0010-0000-0400-00000E000000}" name="YEAR" totalsRowFunction="sum" dataDxfId="55" totalsRowDxfId="338">
      <calculatedColumnFormula>SUM(C11:N11)</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Enter actual monthly office costs in this table. Total is auto-calculated at the end"/>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MarketingActual" displayName="MarketingActual" ref="B21:O28" totalsRowCount="1" headerRowDxfId="337" totalsRowDxfId="334" headerRowBorderDxfId="336" tableBorderDxfId="335" totalsRowBorderDxfId="333">
  <autoFilter ref="B21:O27"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500-000001000000}" name="Marketing Costs" totalsRowLabel="Subtotal" dataDxfId="332" totalsRowDxfId="331"/>
    <tableColumn id="2" xr3:uid="{00000000-0010-0000-0500-000002000000}" name="Jan" totalsRowFunction="sum" dataDxfId="54" totalsRowDxfId="330"/>
    <tableColumn id="3" xr3:uid="{00000000-0010-0000-0500-000003000000}" name="Feb" totalsRowFunction="sum" dataDxfId="53" totalsRowDxfId="329"/>
    <tableColumn id="4" xr3:uid="{00000000-0010-0000-0500-000004000000}" name="Mar" totalsRowFunction="sum" dataDxfId="52" totalsRowDxfId="328"/>
    <tableColumn id="5" xr3:uid="{00000000-0010-0000-0500-000005000000}" name="Apr" totalsRowFunction="sum" dataDxfId="51" totalsRowDxfId="327"/>
    <tableColumn id="6" xr3:uid="{00000000-0010-0000-0500-000006000000}" name="May" totalsRowFunction="sum" dataDxfId="50" totalsRowDxfId="326"/>
    <tableColumn id="7" xr3:uid="{00000000-0010-0000-0500-000007000000}" name="Jun" totalsRowFunction="sum" dataDxfId="49" totalsRowDxfId="325"/>
    <tableColumn id="8" xr3:uid="{00000000-0010-0000-0500-000008000000}" name="Jul" totalsRowFunction="sum" dataDxfId="48" totalsRowDxfId="324"/>
    <tableColumn id="9" xr3:uid="{00000000-0010-0000-0500-000009000000}" name="Aug" totalsRowFunction="sum" dataDxfId="47" totalsRowDxfId="323"/>
    <tableColumn id="10" xr3:uid="{00000000-0010-0000-0500-00000A000000}" name="Sep" totalsRowFunction="sum" dataDxfId="46" totalsRowDxfId="322"/>
    <tableColumn id="11" xr3:uid="{00000000-0010-0000-0500-00000B000000}" name="Oct" totalsRowFunction="sum" dataDxfId="45" totalsRowDxfId="321"/>
    <tableColumn id="12" xr3:uid="{00000000-0010-0000-0500-00000C000000}" name="Nov" totalsRowFunction="sum" dataDxfId="44" totalsRowDxfId="320"/>
    <tableColumn id="13" xr3:uid="{00000000-0010-0000-0500-00000D000000}" name="Dec" totalsRowFunction="sum" dataDxfId="43" totalsRowDxfId="319"/>
    <tableColumn id="14" xr3:uid="{00000000-0010-0000-0500-00000E000000}" name="YEAR" totalsRowFunction="sum" dataDxfId="42" totalsRowDxfId="318">
      <calculatedColumnFormula>SUM(C22:N22)</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Enter actual monthly marketing costs in this table. Total is auto-calculated at the end"/>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TrainingAndTravelActual" displayName="TrainingAndTravelActual" ref="B30:O33" totalsRowCount="1" headerRowDxfId="317" totalsRowDxfId="314" headerRowBorderDxfId="316" tableBorderDxfId="315" totalsRowBorderDxfId="313">
  <autoFilter ref="B30:O32"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600-000001000000}" name="Training/Travel" totalsRowLabel="Subtotal" dataDxfId="312" totalsRowDxfId="311"/>
    <tableColumn id="2" xr3:uid="{00000000-0010-0000-0600-000002000000}" name="Jan" totalsRowFunction="sum" dataDxfId="41" totalsRowDxfId="310"/>
    <tableColumn id="3" xr3:uid="{00000000-0010-0000-0600-000003000000}" name="Feb" totalsRowFunction="sum" dataDxfId="40" totalsRowDxfId="309"/>
    <tableColumn id="4" xr3:uid="{00000000-0010-0000-0600-000004000000}" name="Mar" totalsRowFunction="sum" dataDxfId="39" totalsRowDxfId="308"/>
    <tableColumn id="5" xr3:uid="{00000000-0010-0000-0600-000005000000}" name="Apr" totalsRowFunction="sum" dataDxfId="38" totalsRowDxfId="307"/>
    <tableColumn id="6" xr3:uid="{00000000-0010-0000-0600-000006000000}" name="May" totalsRowFunction="sum" dataDxfId="37" totalsRowDxfId="306"/>
    <tableColumn id="7" xr3:uid="{00000000-0010-0000-0600-000007000000}" name="Jun" totalsRowFunction="sum" dataDxfId="36" totalsRowDxfId="305"/>
    <tableColumn id="8" xr3:uid="{00000000-0010-0000-0600-000008000000}" name="Jul" totalsRowFunction="sum" dataDxfId="35" totalsRowDxfId="304"/>
    <tableColumn id="9" xr3:uid="{00000000-0010-0000-0600-000009000000}" name="Aug" totalsRowFunction="sum" dataDxfId="34" totalsRowDxfId="303"/>
    <tableColumn id="10" xr3:uid="{00000000-0010-0000-0600-00000A000000}" name="Sep" totalsRowFunction="sum" dataDxfId="33" totalsRowDxfId="302"/>
    <tableColumn id="11" xr3:uid="{00000000-0010-0000-0600-00000B000000}" name="Oct" totalsRowFunction="sum" dataDxfId="32" totalsRowDxfId="301"/>
    <tableColumn id="12" xr3:uid="{00000000-0010-0000-0600-00000C000000}" name="Nov" totalsRowFunction="sum" dataDxfId="31" totalsRowDxfId="300"/>
    <tableColumn id="13" xr3:uid="{00000000-0010-0000-0600-00000D000000}" name="Dec" totalsRowFunction="sum" dataDxfId="30" totalsRowDxfId="299"/>
    <tableColumn id="14" xr3:uid="{00000000-0010-0000-0600-00000E000000}" name="YEAR" totalsRowFunction="sum" dataDxfId="29" totalsRowDxfId="298">
      <calculatedColumnFormula>SUM(C31:N31)</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Enter actual monthly training and travel costs in this table. Total is auto-calculated at the end"/>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EmployeeActual" displayName="EmployeeActual" ref="B5:O8" totalsRowCount="1" headerRowDxfId="297" totalsRowDxfId="294" headerRowBorderDxfId="296" tableBorderDxfId="295" totalsRowBorderDxfId="293">
  <autoFilter ref="B5:O7"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700-000001000000}" name="Employee Costs" totalsRowLabel="Subtotal" dataDxfId="292" totalsRowDxfId="291"/>
    <tableColumn id="2" xr3:uid="{00000000-0010-0000-0700-000002000000}" name="Jan" totalsRowFunction="sum" dataDxfId="28" totalsRowDxfId="290">
      <calculatedColumnFormula>C5*0.27</calculatedColumnFormula>
    </tableColumn>
    <tableColumn id="3" xr3:uid="{00000000-0010-0000-0700-000003000000}" name="Feb" totalsRowFunction="sum" dataDxfId="27" totalsRowDxfId="289">
      <calculatedColumnFormula>D5*0.27</calculatedColumnFormula>
    </tableColumn>
    <tableColumn id="4" xr3:uid="{00000000-0010-0000-0700-000004000000}" name="Mar" totalsRowFunction="sum" dataDxfId="26" totalsRowDxfId="288">
      <calculatedColumnFormula>E5*0.27</calculatedColumnFormula>
    </tableColumn>
    <tableColumn id="5" xr3:uid="{00000000-0010-0000-0700-000005000000}" name="Apr" totalsRowFunction="sum" dataDxfId="25" totalsRowDxfId="287">
      <calculatedColumnFormula>F5*0.27</calculatedColumnFormula>
    </tableColumn>
    <tableColumn id="6" xr3:uid="{00000000-0010-0000-0700-000006000000}" name="May" totalsRowFunction="sum" dataDxfId="24" totalsRowDxfId="286">
      <calculatedColumnFormula>G5*0.27</calculatedColumnFormula>
    </tableColumn>
    <tableColumn id="7" xr3:uid="{00000000-0010-0000-0700-000007000000}" name="Jun" totalsRowFunction="sum" dataDxfId="23" totalsRowDxfId="285">
      <calculatedColumnFormula>H5*0.27</calculatedColumnFormula>
    </tableColumn>
    <tableColumn id="8" xr3:uid="{00000000-0010-0000-0700-000008000000}" name="Jul" totalsRowFunction="sum" dataDxfId="22" totalsRowDxfId="284"/>
    <tableColumn id="9" xr3:uid="{00000000-0010-0000-0700-000009000000}" name="Aug" totalsRowFunction="sum" dataDxfId="21" totalsRowDxfId="283"/>
    <tableColumn id="10" xr3:uid="{00000000-0010-0000-0700-00000A000000}" name="Sep" totalsRowFunction="sum" dataDxfId="20" totalsRowDxfId="282"/>
    <tableColumn id="11" xr3:uid="{00000000-0010-0000-0700-00000B000000}" name="Oct" totalsRowFunction="sum" dataDxfId="19" totalsRowDxfId="281"/>
    <tableColumn id="12" xr3:uid="{00000000-0010-0000-0700-00000C000000}" name="Nov" totalsRowFunction="sum" dataDxfId="18" totalsRowDxfId="280"/>
    <tableColumn id="13" xr3:uid="{00000000-0010-0000-0700-00000D000000}" name="Dec" totalsRowFunction="sum" dataDxfId="17" totalsRowDxfId="279"/>
    <tableColumn id="14" xr3:uid="{00000000-0010-0000-0700-00000E000000}" name="YEAR" totalsRowFunction="sum" dataDxfId="16" totalsRowDxfId="278">
      <calculatedColumnFormula>SUM(C6:N6)</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Enter actual monthly employee costs in this table. Total is auto-calculated at the end"/>
    </ext>
  </extLst>
</table>
</file>

<file path=xl/theme/theme1.xml><?xml version="1.0" encoding="utf-8"?>
<a:theme xmlns:a="http://schemas.openxmlformats.org/drawingml/2006/main" name="Office Theme">
  <a:themeElements>
    <a:clrScheme name="Custom 25">
      <a:dk1>
        <a:sysClr val="windowText" lastClr="000000"/>
      </a:dk1>
      <a:lt1>
        <a:srgbClr val="FFFFFF"/>
      </a:lt1>
      <a:dk2>
        <a:srgbClr val="2F4B83"/>
      </a:dk2>
      <a:lt2>
        <a:srgbClr val="F2F2F2"/>
      </a:lt2>
      <a:accent1>
        <a:srgbClr val="CC1D10"/>
      </a:accent1>
      <a:accent2>
        <a:srgbClr val="357B37"/>
      </a:accent2>
      <a:accent3>
        <a:srgbClr val="34A0DC"/>
      </a:accent3>
      <a:accent4>
        <a:srgbClr val="B71F66"/>
      </a:accent4>
      <a:accent5>
        <a:srgbClr val="255D77"/>
      </a:accent5>
      <a:accent6>
        <a:srgbClr val="EF4538"/>
      </a:accent6>
      <a:hlink>
        <a:srgbClr val="7DC6F3"/>
      </a:hlink>
      <a:folHlink>
        <a:srgbClr val="7DC6F3"/>
      </a:folHlink>
    </a:clrScheme>
    <a:fontScheme name="Custom 18">
      <a:majorFont>
        <a:latin typeface="Franklin Gothic Book"/>
        <a:ea typeface=""/>
        <a:cs typeface=""/>
      </a:majorFont>
      <a:minorFont>
        <a:latin typeface="Microsoft Sans Serif"/>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7" Type="http://schemas.openxmlformats.org/officeDocument/2006/relationships/table" Target="../tables/table1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5652D-94A4-43B5-AFA7-1A6439101CE6}">
  <sheetPr>
    <tabColor theme="3" tint="-0.249977111117893"/>
  </sheetPr>
  <dimension ref="B1:B8"/>
  <sheetViews>
    <sheetView tabSelected="1" workbookViewId="0"/>
  </sheetViews>
  <sheetFormatPr defaultRowHeight="12.75" x14ac:dyDescent="0.2"/>
  <cols>
    <col min="1" max="1" width="2.7109375" customWidth="1"/>
    <col min="2" max="2" width="75.42578125" customWidth="1"/>
    <col min="3" max="3" width="2.7109375" customWidth="1"/>
  </cols>
  <sheetData>
    <row r="1" spans="2:2" s="31" customFormat="1" ht="30" customHeight="1" x14ac:dyDescent="0.2">
      <c r="B1" s="32" t="s">
        <v>0</v>
      </c>
    </row>
    <row r="2" spans="2:2" ht="36.75" customHeight="1" x14ac:dyDescent="0.2">
      <c r="B2" s="45" t="s">
        <v>1</v>
      </c>
    </row>
    <row r="3" spans="2:2" ht="30" customHeight="1" x14ac:dyDescent="0.2">
      <c r="B3" s="45" t="s">
        <v>2</v>
      </c>
    </row>
    <row r="4" spans="2:2" ht="40.5" customHeight="1" x14ac:dyDescent="0.2">
      <c r="B4" s="45" t="s">
        <v>3</v>
      </c>
    </row>
    <row r="5" spans="2:2" ht="36" customHeight="1" x14ac:dyDescent="0.2">
      <c r="B5" s="45" t="s">
        <v>4</v>
      </c>
    </row>
    <row r="6" spans="2:2" ht="36" customHeight="1" x14ac:dyDescent="0.2">
      <c r="B6" s="47" t="s">
        <v>5</v>
      </c>
    </row>
    <row r="7" spans="2:2" ht="53.25" customHeight="1" x14ac:dyDescent="0.2">
      <c r="B7" s="45" t="s">
        <v>6</v>
      </c>
    </row>
    <row r="8" spans="2:2" ht="40.5" customHeight="1" x14ac:dyDescent="0.25">
      <c r="B8" s="46" t="s">
        <v>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pageSetUpPr autoPageBreaks="0" fitToPage="1"/>
  </sheetPr>
  <dimension ref="A1:T38"/>
  <sheetViews>
    <sheetView showGridLines="0" zoomScaleNormal="100" workbookViewId="0"/>
  </sheetViews>
  <sheetFormatPr defaultColWidth="9.140625" defaultRowHeight="21" customHeight="1" x14ac:dyDescent="0.3"/>
  <cols>
    <col min="1" max="1" width="4.7109375" style="1" customWidth="1"/>
    <col min="2" max="2" width="33.42578125" style="1" customWidth="1"/>
    <col min="3" max="14" width="14.7109375" style="1" customWidth="1"/>
    <col min="15" max="15" width="16.28515625" style="1" customWidth="1"/>
    <col min="16" max="16" width="4.7109375" style="1" customWidth="1"/>
    <col min="17" max="17" width="1.7109375" style="1" customWidth="1"/>
    <col min="18" max="19" width="9.140625" style="1"/>
    <col min="20" max="20" width="11.140625" style="1" customWidth="1"/>
    <col min="21" max="16384" width="9.140625" style="1"/>
  </cols>
  <sheetData>
    <row r="1" spans="1:20" ht="24" customHeight="1" x14ac:dyDescent="0.3">
      <c r="A1" s="35" t="s">
        <v>8</v>
      </c>
      <c r="B1" s="10"/>
      <c r="C1" s="10"/>
      <c r="D1" s="10"/>
      <c r="E1" s="10"/>
      <c r="F1" s="7"/>
      <c r="G1" s="7"/>
      <c r="H1" s="7"/>
      <c r="I1" s="7"/>
      <c r="J1" s="7"/>
      <c r="K1" s="7"/>
      <c r="L1" s="7"/>
      <c r="M1" s="7"/>
      <c r="N1" s="7"/>
      <c r="O1" s="7"/>
      <c r="P1" s="67" t="s">
        <v>74</v>
      </c>
    </row>
    <row r="2" spans="1:20" ht="45" customHeight="1" x14ac:dyDescent="0.35">
      <c r="A2" s="33" t="s">
        <v>9</v>
      </c>
      <c r="B2" s="129" t="s">
        <v>17</v>
      </c>
      <c r="C2" s="129"/>
      <c r="D2" s="129"/>
      <c r="E2" s="141"/>
      <c r="F2" s="8"/>
      <c r="G2" s="8"/>
      <c r="H2" s="8"/>
      <c r="I2" s="8"/>
      <c r="J2" s="8"/>
      <c r="K2" s="126" t="s">
        <v>61</v>
      </c>
      <c r="L2" s="126"/>
      <c r="M2" s="126"/>
      <c r="N2" s="125" t="s">
        <v>69</v>
      </c>
      <c r="O2" s="125"/>
      <c r="P2" s="7"/>
    </row>
    <row r="3" spans="1:20" ht="30" customHeight="1" x14ac:dyDescent="0.3">
      <c r="A3" s="33" t="s">
        <v>10</v>
      </c>
      <c r="B3" s="129"/>
      <c r="C3" s="129"/>
      <c r="D3" s="129"/>
      <c r="E3" s="142"/>
      <c r="F3" s="9"/>
      <c r="G3" s="9"/>
      <c r="H3" s="9"/>
      <c r="I3" s="9"/>
      <c r="J3" s="9"/>
      <c r="K3" s="130" t="s">
        <v>62</v>
      </c>
      <c r="L3" s="130"/>
      <c r="M3" s="130"/>
      <c r="N3" s="125"/>
      <c r="O3" s="125"/>
      <c r="P3" s="7"/>
    </row>
    <row r="4" spans="1:20" s="22" customFormat="1" ht="49.5" customHeight="1" x14ac:dyDescent="0.3">
      <c r="A4" s="36" t="s">
        <v>11</v>
      </c>
      <c r="B4" s="23" t="s">
        <v>18</v>
      </c>
      <c r="C4" s="24" t="s">
        <v>45</v>
      </c>
      <c r="D4" s="24" t="s">
        <v>47</v>
      </c>
      <c r="E4" s="24" t="s">
        <v>49</v>
      </c>
      <c r="F4" s="24" t="s">
        <v>51</v>
      </c>
      <c r="G4" s="24" t="s">
        <v>53</v>
      </c>
      <c r="H4" s="24" t="s">
        <v>55</v>
      </c>
      <c r="I4" s="24" t="s">
        <v>57</v>
      </c>
      <c r="J4" s="24" t="s">
        <v>59</v>
      </c>
      <c r="K4" s="24" t="s">
        <v>63</v>
      </c>
      <c r="L4" s="24" t="s">
        <v>65</v>
      </c>
      <c r="M4" s="24" t="s">
        <v>67</v>
      </c>
      <c r="N4" s="24" t="s">
        <v>70</v>
      </c>
      <c r="O4" s="24" t="s">
        <v>72</v>
      </c>
      <c r="R4" s="123" t="s">
        <v>75</v>
      </c>
      <c r="S4" s="124"/>
      <c r="T4" s="124"/>
    </row>
    <row r="5" spans="1:20" s="3" customFormat="1" ht="24.95" customHeight="1" thickBot="1" x14ac:dyDescent="0.35">
      <c r="A5" s="43" t="s">
        <v>12</v>
      </c>
      <c r="B5" s="48" t="s">
        <v>19</v>
      </c>
      <c r="C5" s="65" t="s">
        <v>46</v>
      </c>
      <c r="D5" s="63" t="s">
        <v>48</v>
      </c>
      <c r="E5" s="63" t="s">
        <v>50</v>
      </c>
      <c r="F5" s="63" t="s">
        <v>52</v>
      </c>
      <c r="G5" s="63" t="s">
        <v>54</v>
      </c>
      <c r="H5" s="63" t="s">
        <v>56</v>
      </c>
      <c r="I5" s="63" t="s">
        <v>58</v>
      </c>
      <c r="J5" s="63" t="s">
        <v>60</v>
      </c>
      <c r="K5" s="63" t="s">
        <v>64</v>
      </c>
      <c r="L5" s="63" t="s">
        <v>66</v>
      </c>
      <c r="M5" s="63" t="s">
        <v>68</v>
      </c>
      <c r="N5" s="63" t="s">
        <v>71</v>
      </c>
      <c r="O5" s="64" t="s">
        <v>72</v>
      </c>
      <c r="R5" s="124"/>
      <c r="S5" s="124"/>
      <c r="T5" s="124"/>
    </row>
    <row r="6" spans="1:20" ht="24.95" customHeight="1" thickBot="1" x14ac:dyDescent="0.35">
      <c r="A6" s="34"/>
      <c r="B6" s="49" t="s">
        <v>20</v>
      </c>
      <c r="C6" s="88">
        <v>85000</v>
      </c>
      <c r="D6" s="89">
        <v>85000</v>
      </c>
      <c r="E6" s="89">
        <v>85000</v>
      </c>
      <c r="F6" s="89">
        <v>87500</v>
      </c>
      <c r="G6" s="89">
        <v>87500</v>
      </c>
      <c r="H6" s="89">
        <v>87500</v>
      </c>
      <c r="I6" s="89">
        <v>87500</v>
      </c>
      <c r="J6" s="89">
        <v>92400</v>
      </c>
      <c r="K6" s="89">
        <v>92400</v>
      </c>
      <c r="L6" s="89">
        <v>92400</v>
      </c>
      <c r="M6" s="89">
        <v>92400</v>
      </c>
      <c r="N6" s="89">
        <v>92400</v>
      </c>
      <c r="O6" s="90">
        <f>SUM(C6:N6)</f>
        <v>1067000</v>
      </c>
      <c r="R6" s="124"/>
      <c r="S6" s="124"/>
      <c r="T6" s="124"/>
    </row>
    <row r="7" spans="1:20" ht="24.95" customHeight="1" thickBot="1" x14ac:dyDescent="0.35">
      <c r="A7" s="34"/>
      <c r="B7" s="49" t="s">
        <v>21</v>
      </c>
      <c r="C7" s="88">
        <f t="shared" ref="C7:N7" si="0">C6*0.27</f>
        <v>22950</v>
      </c>
      <c r="D7" s="89">
        <f t="shared" si="0"/>
        <v>22950</v>
      </c>
      <c r="E7" s="89">
        <f t="shared" si="0"/>
        <v>22950</v>
      </c>
      <c r="F7" s="89">
        <f t="shared" si="0"/>
        <v>23625</v>
      </c>
      <c r="G7" s="89">
        <f t="shared" si="0"/>
        <v>23625</v>
      </c>
      <c r="H7" s="89">
        <f t="shared" si="0"/>
        <v>23625</v>
      </c>
      <c r="I7" s="89">
        <f t="shared" si="0"/>
        <v>23625</v>
      </c>
      <c r="J7" s="89">
        <f t="shared" si="0"/>
        <v>24948</v>
      </c>
      <c r="K7" s="89">
        <f t="shared" si="0"/>
        <v>24948</v>
      </c>
      <c r="L7" s="89">
        <f t="shared" si="0"/>
        <v>24948</v>
      </c>
      <c r="M7" s="89">
        <f t="shared" si="0"/>
        <v>24948</v>
      </c>
      <c r="N7" s="89">
        <f t="shared" si="0"/>
        <v>24948</v>
      </c>
      <c r="O7" s="90">
        <f>SUM(C7:N7)</f>
        <v>288090</v>
      </c>
      <c r="R7" s="124"/>
      <c r="S7" s="124"/>
      <c r="T7" s="124"/>
    </row>
    <row r="8" spans="1:20" ht="24.95" customHeight="1" x14ac:dyDescent="0.3">
      <c r="A8" s="34"/>
      <c r="B8" s="50" t="s">
        <v>22</v>
      </c>
      <c r="C8" s="91">
        <f>SUBTOTAL(109,EmployeePlan[Jan])</f>
        <v>107950</v>
      </c>
      <c r="D8" s="92">
        <f>SUBTOTAL(109,EmployeePlan[Feb])</f>
        <v>107950</v>
      </c>
      <c r="E8" s="92">
        <f>SUBTOTAL(109,EmployeePlan[Mar])</f>
        <v>107950</v>
      </c>
      <c r="F8" s="92">
        <f>SUBTOTAL(109,EmployeePlan[Apr])</f>
        <v>111125</v>
      </c>
      <c r="G8" s="92">
        <f>SUBTOTAL(109,EmployeePlan[May])</f>
        <v>111125</v>
      </c>
      <c r="H8" s="92">
        <f>SUBTOTAL(109,EmployeePlan[Jun])</f>
        <v>111125</v>
      </c>
      <c r="I8" s="92">
        <f>SUBTOTAL(109,EmployeePlan[Jul])</f>
        <v>111125</v>
      </c>
      <c r="J8" s="92">
        <f>SUBTOTAL(109,EmployeePlan[Aug])</f>
        <v>117348</v>
      </c>
      <c r="K8" s="92">
        <f>SUBTOTAL(109,EmployeePlan[Sep])</f>
        <v>117348</v>
      </c>
      <c r="L8" s="92">
        <f>SUBTOTAL(109,EmployeePlan[Oct])</f>
        <v>117348</v>
      </c>
      <c r="M8" s="92">
        <f>SUBTOTAL(109,EmployeePlan[Nov])</f>
        <v>117348</v>
      </c>
      <c r="N8" s="92">
        <f>SUBTOTAL(109,EmployeePlan[Dec])</f>
        <v>117348</v>
      </c>
      <c r="O8" s="93">
        <f>SUBTOTAL(109,EmployeePlan[YEAR])</f>
        <v>1355090</v>
      </c>
      <c r="R8" s="124"/>
      <c r="S8" s="124"/>
      <c r="T8" s="124"/>
    </row>
    <row r="9" spans="1:20" ht="21" customHeight="1" thickBot="1" x14ac:dyDescent="0.35">
      <c r="A9" s="34"/>
      <c r="B9" s="127"/>
      <c r="C9" s="127"/>
      <c r="D9" s="145"/>
      <c r="E9" s="145"/>
      <c r="F9" s="145"/>
      <c r="G9" s="145"/>
      <c r="H9" s="145"/>
      <c r="I9" s="145"/>
      <c r="J9" s="145"/>
      <c r="K9" s="145"/>
      <c r="L9" s="145"/>
      <c r="M9" s="145"/>
      <c r="N9" s="145"/>
      <c r="O9" s="143"/>
      <c r="R9" s="124"/>
      <c r="S9" s="124"/>
      <c r="T9" s="124"/>
    </row>
    <row r="10" spans="1:20" ht="24.95" customHeight="1" thickBot="1" x14ac:dyDescent="0.35">
      <c r="A10" s="34" t="s">
        <v>13</v>
      </c>
      <c r="B10" s="59" t="s">
        <v>23</v>
      </c>
      <c r="C10" s="56" t="s">
        <v>46</v>
      </c>
      <c r="D10" s="57" t="s">
        <v>48</v>
      </c>
      <c r="E10" s="94" t="s">
        <v>50</v>
      </c>
      <c r="F10" s="57" t="s">
        <v>52</v>
      </c>
      <c r="G10" s="57" t="s">
        <v>54</v>
      </c>
      <c r="H10" s="57" t="s">
        <v>56</v>
      </c>
      <c r="I10" s="57" t="s">
        <v>58</v>
      </c>
      <c r="J10" s="57" t="s">
        <v>60</v>
      </c>
      <c r="K10" s="57" t="s">
        <v>64</v>
      </c>
      <c r="L10" s="57" t="s">
        <v>66</v>
      </c>
      <c r="M10" s="57" t="s">
        <v>68</v>
      </c>
      <c r="N10" s="57" t="s">
        <v>71</v>
      </c>
      <c r="O10" s="58" t="s">
        <v>72</v>
      </c>
      <c r="R10" s="124"/>
      <c r="S10" s="124"/>
      <c r="T10" s="124"/>
    </row>
    <row r="11" spans="1:20" ht="24.95" customHeight="1" thickBot="1" x14ac:dyDescent="0.35">
      <c r="A11" s="34"/>
      <c r="B11" s="85" t="s">
        <v>24</v>
      </c>
      <c r="C11" s="88">
        <v>9800</v>
      </c>
      <c r="D11" s="89">
        <v>9800</v>
      </c>
      <c r="E11" s="89">
        <v>9800</v>
      </c>
      <c r="F11" s="89">
        <v>9800</v>
      </c>
      <c r="G11" s="89">
        <v>9800</v>
      </c>
      <c r="H11" s="89">
        <v>9800</v>
      </c>
      <c r="I11" s="89">
        <v>9800</v>
      </c>
      <c r="J11" s="89">
        <v>9800</v>
      </c>
      <c r="K11" s="89">
        <v>9800</v>
      </c>
      <c r="L11" s="89">
        <v>9800</v>
      </c>
      <c r="M11" s="89">
        <v>9800</v>
      </c>
      <c r="N11" s="89">
        <v>9800</v>
      </c>
      <c r="O11" s="90">
        <f t="shared" ref="O11:O18" si="1">SUM(C11:N11)</f>
        <v>117600</v>
      </c>
      <c r="R11" s="124"/>
      <c r="S11" s="124"/>
      <c r="T11" s="124"/>
    </row>
    <row r="12" spans="1:20" ht="24.95" customHeight="1" thickBot="1" x14ac:dyDescent="0.35">
      <c r="A12" s="34"/>
      <c r="B12" s="85" t="s">
        <v>25</v>
      </c>
      <c r="C12" s="88"/>
      <c r="D12" s="89">
        <v>400</v>
      </c>
      <c r="E12" s="89">
        <v>400</v>
      </c>
      <c r="F12" s="89">
        <v>100</v>
      </c>
      <c r="G12" s="89">
        <v>100</v>
      </c>
      <c r="H12" s="89">
        <v>100</v>
      </c>
      <c r="I12" s="89">
        <v>100</v>
      </c>
      <c r="J12" s="89">
        <v>100</v>
      </c>
      <c r="K12" s="89">
        <v>100</v>
      </c>
      <c r="L12" s="89">
        <v>100</v>
      </c>
      <c r="M12" s="89">
        <v>400</v>
      </c>
      <c r="N12" s="89">
        <v>400</v>
      </c>
      <c r="O12" s="90">
        <f t="shared" si="1"/>
        <v>2300</v>
      </c>
      <c r="R12" s="124"/>
      <c r="S12" s="124"/>
      <c r="T12" s="124"/>
    </row>
    <row r="13" spans="1:20" ht="24.95" customHeight="1" thickBot="1" x14ac:dyDescent="0.35">
      <c r="A13" s="34"/>
      <c r="B13" s="85" t="s">
        <v>26</v>
      </c>
      <c r="C13" s="88">
        <v>300</v>
      </c>
      <c r="D13" s="89">
        <v>300</v>
      </c>
      <c r="E13" s="89">
        <v>300</v>
      </c>
      <c r="F13" s="89">
        <v>300</v>
      </c>
      <c r="G13" s="89">
        <v>300</v>
      </c>
      <c r="H13" s="89">
        <v>300</v>
      </c>
      <c r="I13" s="89">
        <v>300</v>
      </c>
      <c r="J13" s="89">
        <v>300</v>
      </c>
      <c r="K13" s="89">
        <v>300</v>
      </c>
      <c r="L13" s="89">
        <v>300</v>
      </c>
      <c r="M13" s="89">
        <v>300</v>
      </c>
      <c r="N13" s="89">
        <v>300</v>
      </c>
      <c r="O13" s="90">
        <f t="shared" si="1"/>
        <v>3600</v>
      </c>
      <c r="R13" s="124"/>
      <c r="S13" s="124"/>
      <c r="T13" s="124"/>
    </row>
    <row r="14" spans="1:20" ht="24.95" customHeight="1" thickBot="1" x14ac:dyDescent="0.35">
      <c r="A14" s="34"/>
      <c r="B14" s="85" t="s">
        <v>27</v>
      </c>
      <c r="C14" s="88">
        <v>40</v>
      </c>
      <c r="D14" s="89">
        <v>40</v>
      </c>
      <c r="E14" s="89">
        <v>40</v>
      </c>
      <c r="F14" s="89">
        <v>40</v>
      </c>
      <c r="G14" s="89">
        <v>40</v>
      </c>
      <c r="H14" s="89">
        <v>40</v>
      </c>
      <c r="I14" s="89">
        <v>40</v>
      </c>
      <c r="J14" s="89">
        <v>40</v>
      </c>
      <c r="K14" s="89">
        <v>40</v>
      </c>
      <c r="L14" s="89">
        <v>40</v>
      </c>
      <c r="M14" s="89">
        <v>40</v>
      </c>
      <c r="N14" s="89">
        <v>40</v>
      </c>
      <c r="O14" s="90">
        <f t="shared" si="1"/>
        <v>480</v>
      </c>
    </row>
    <row r="15" spans="1:20" ht="24.95" customHeight="1" thickBot="1" x14ac:dyDescent="0.35">
      <c r="A15" s="34"/>
      <c r="B15" s="85" t="s">
        <v>28</v>
      </c>
      <c r="C15" s="88">
        <v>250</v>
      </c>
      <c r="D15" s="89">
        <v>250</v>
      </c>
      <c r="E15" s="89">
        <v>250</v>
      </c>
      <c r="F15" s="89">
        <v>250</v>
      </c>
      <c r="G15" s="89">
        <v>250</v>
      </c>
      <c r="H15" s="89">
        <v>250</v>
      </c>
      <c r="I15" s="89">
        <v>250</v>
      </c>
      <c r="J15" s="89">
        <v>250</v>
      </c>
      <c r="K15" s="89">
        <v>250</v>
      </c>
      <c r="L15" s="89">
        <v>250</v>
      </c>
      <c r="M15" s="89">
        <v>250</v>
      </c>
      <c r="N15" s="89">
        <v>250</v>
      </c>
      <c r="O15" s="90">
        <f t="shared" si="1"/>
        <v>3000</v>
      </c>
    </row>
    <row r="16" spans="1:20" ht="24.95" customHeight="1" thickBot="1" x14ac:dyDescent="0.35">
      <c r="A16" s="34"/>
      <c r="B16" s="85" t="s">
        <v>29</v>
      </c>
      <c r="C16" s="88">
        <v>180</v>
      </c>
      <c r="D16" s="89">
        <v>180</v>
      </c>
      <c r="E16" s="89">
        <v>180</v>
      </c>
      <c r="F16" s="89">
        <v>180</v>
      </c>
      <c r="G16" s="89">
        <v>180</v>
      </c>
      <c r="H16" s="89">
        <v>180</v>
      </c>
      <c r="I16" s="89">
        <v>180</v>
      </c>
      <c r="J16" s="89">
        <v>180</v>
      </c>
      <c r="K16" s="89">
        <v>180</v>
      </c>
      <c r="L16" s="89">
        <v>180</v>
      </c>
      <c r="M16" s="89">
        <v>180</v>
      </c>
      <c r="N16" s="89">
        <v>180</v>
      </c>
      <c r="O16" s="90">
        <f t="shared" si="1"/>
        <v>2160</v>
      </c>
    </row>
    <row r="17" spans="1:15" ht="24.95" customHeight="1" thickBot="1" x14ac:dyDescent="0.35">
      <c r="A17" s="34"/>
      <c r="B17" s="85" t="s">
        <v>30</v>
      </c>
      <c r="C17" s="88">
        <v>200</v>
      </c>
      <c r="D17" s="89">
        <v>200</v>
      </c>
      <c r="E17" s="89">
        <v>200</v>
      </c>
      <c r="F17" s="89">
        <v>200</v>
      </c>
      <c r="G17" s="89">
        <v>200</v>
      </c>
      <c r="H17" s="89">
        <v>200</v>
      </c>
      <c r="I17" s="89">
        <v>200</v>
      </c>
      <c r="J17" s="89">
        <v>200</v>
      </c>
      <c r="K17" s="89">
        <v>200</v>
      </c>
      <c r="L17" s="89">
        <v>200</v>
      </c>
      <c r="M17" s="89">
        <v>200</v>
      </c>
      <c r="N17" s="89">
        <v>200</v>
      </c>
      <c r="O17" s="90">
        <f t="shared" si="1"/>
        <v>2400</v>
      </c>
    </row>
    <row r="18" spans="1:15" ht="24.95" customHeight="1" thickBot="1" x14ac:dyDescent="0.35">
      <c r="A18" s="34"/>
      <c r="B18" s="85" t="s">
        <v>31</v>
      </c>
      <c r="C18" s="88">
        <v>600</v>
      </c>
      <c r="D18" s="89">
        <v>600</v>
      </c>
      <c r="E18" s="89">
        <v>600</v>
      </c>
      <c r="F18" s="89">
        <v>600</v>
      </c>
      <c r="G18" s="89">
        <v>600</v>
      </c>
      <c r="H18" s="89">
        <v>600</v>
      </c>
      <c r="I18" s="89">
        <v>600</v>
      </c>
      <c r="J18" s="89">
        <v>600</v>
      </c>
      <c r="K18" s="89">
        <v>600</v>
      </c>
      <c r="L18" s="89">
        <v>600</v>
      </c>
      <c r="M18" s="89">
        <v>600</v>
      </c>
      <c r="N18" s="89">
        <v>600</v>
      </c>
      <c r="O18" s="90">
        <f t="shared" si="1"/>
        <v>7200</v>
      </c>
    </row>
    <row r="19" spans="1:15" ht="24.95" customHeight="1" thickBot="1" x14ac:dyDescent="0.35">
      <c r="A19" s="34"/>
      <c r="B19" s="66" t="s">
        <v>22</v>
      </c>
      <c r="C19" s="95">
        <f>SUBTOTAL(109,OfficePlan[Jan])</f>
        <v>11370</v>
      </c>
      <c r="D19" s="96">
        <f>SUBTOTAL(109,OfficePlan[Feb])</f>
        <v>11770</v>
      </c>
      <c r="E19" s="96">
        <f>SUBTOTAL(109,OfficePlan[Mar])</f>
        <v>11770</v>
      </c>
      <c r="F19" s="96">
        <f>SUBTOTAL(109,OfficePlan[Apr])</f>
        <v>11470</v>
      </c>
      <c r="G19" s="96">
        <f>SUBTOTAL(109,OfficePlan[May])</f>
        <v>11470</v>
      </c>
      <c r="H19" s="96">
        <f>SUBTOTAL(109,OfficePlan[Jun])</f>
        <v>11470</v>
      </c>
      <c r="I19" s="96">
        <f>SUBTOTAL(109,OfficePlan[Jul])</f>
        <v>11470</v>
      </c>
      <c r="J19" s="96">
        <f>SUBTOTAL(109,OfficePlan[Aug])</f>
        <v>11470</v>
      </c>
      <c r="K19" s="96">
        <f>SUBTOTAL(109,OfficePlan[Sep])</f>
        <v>11470</v>
      </c>
      <c r="L19" s="96">
        <f>SUBTOTAL(109,OfficePlan[Oct])</f>
        <v>11470</v>
      </c>
      <c r="M19" s="96">
        <f>SUBTOTAL(109,OfficePlan[Nov])</f>
        <v>11770</v>
      </c>
      <c r="N19" s="96">
        <f>SUBTOTAL(109,OfficePlan[Dec])</f>
        <v>11770</v>
      </c>
      <c r="O19" s="97">
        <f>SUBTOTAL(109,OfficePlan[YEAR])</f>
        <v>138740</v>
      </c>
    </row>
    <row r="20" spans="1:15" ht="21" customHeight="1" x14ac:dyDescent="0.3">
      <c r="A20" s="34"/>
      <c r="B20" s="128"/>
      <c r="C20" s="128"/>
      <c r="D20" s="145"/>
      <c r="E20" s="145"/>
      <c r="F20" s="144"/>
      <c r="G20" s="144"/>
      <c r="H20" s="144"/>
      <c r="I20" s="144"/>
      <c r="J20" s="144"/>
      <c r="K20" s="144"/>
      <c r="L20" s="144"/>
      <c r="M20" s="144"/>
      <c r="N20" s="144"/>
      <c r="O20" s="143"/>
    </row>
    <row r="21" spans="1:15" ht="24.95" customHeight="1" thickBot="1" x14ac:dyDescent="0.35">
      <c r="A21" s="34" t="s">
        <v>14</v>
      </c>
      <c r="B21" s="60" t="s">
        <v>32</v>
      </c>
      <c r="C21" s="53" t="s">
        <v>46</v>
      </c>
      <c r="D21" s="53" t="s">
        <v>48</v>
      </c>
      <c r="E21" s="98" t="s">
        <v>50</v>
      </c>
      <c r="F21" s="53" t="s">
        <v>52</v>
      </c>
      <c r="G21" s="53" t="s">
        <v>54</v>
      </c>
      <c r="H21" s="53" t="s">
        <v>56</v>
      </c>
      <c r="I21" s="53" t="s">
        <v>58</v>
      </c>
      <c r="J21" s="53" t="s">
        <v>60</v>
      </c>
      <c r="K21" s="53" t="s">
        <v>64</v>
      </c>
      <c r="L21" s="53" t="s">
        <v>66</v>
      </c>
      <c r="M21" s="53" t="s">
        <v>68</v>
      </c>
      <c r="N21" s="53" t="s">
        <v>71</v>
      </c>
      <c r="O21" s="54" t="s">
        <v>72</v>
      </c>
    </row>
    <row r="22" spans="1:15" ht="24.95" customHeight="1" thickBot="1" x14ac:dyDescent="0.35">
      <c r="A22" s="34"/>
      <c r="B22" s="49" t="s">
        <v>33</v>
      </c>
      <c r="C22" s="99">
        <v>500</v>
      </c>
      <c r="D22" s="100">
        <v>500</v>
      </c>
      <c r="E22" s="100">
        <v>500</v>
      </c>
      <c r="F22" s="100">
        <v>500</v>
      </c>
      <c r="G22" s="100">
        <v>500</v>
      </c>
      <c r="H22" s="100">
        <v>500</v>
      </c>
      <c r="I22" s="100">
        <v>500</v>
      </c>
      <c r="J22" s="100">
        <v>500</v>
      </c>
      <c r="K22" s="100">
        <v>500</v>
      </c>
      <c r="L22" s="100">
        <v>500</v>
      </c>
      <c r="M22" s="100">
        <v>500</v>
      </c>
      <c r="N22" s="100">
        <v>500</v>
      </c>
      <c r="O22" s="90">
        <f t="shared" ref="O22:O27" si="2">SUM(C22:N22)</f>
        <v>6000</v>
      </c>
    </row>
    <row r="23" spans="1:15" ht="24.95" customHeight="1" thickBot="1" x14ac:dyDescent="0.35">
      <c r="A23" s="34"/>
      <c r="B23" s="49" t="s">
        <v>34</v>
      </c>
      <c r="C23" s="99">
        <v>200</v>
      </c>
      <c r="D23" s="100">
        <v>200</v>
      </c>
      <c r="E23" s="100">
        <v>200</v>
      </c>
      <c r="F23" s="100">
        <v>200</v>
      </c>
      <c r="G23" s="100">
        <v>200</v>
      </c>
      <c r="H23" s="100">
        <v>1000</v>
      </c>
      <c r="I23" s="100">
        <v>200</v>
      </c>
      <c r="J23" s="100">
        <v>200</v>
      </c>
      <c r="K23" s="100">
        <v>200</v>
      </c>
      <c r="L23" s="100">
        <v>200</v>
      </c>
      <c r="M23" s="100">
        <v>200</v>
      </c>
      <c r="N23" s="100">
        <v>1000</v>
      </c>
      <c r="O23" s="90">
        <f t="shared" si="2"/>
        <v>4000</v>
      </c>
    </row>
    <row r="24" spans="1:15" ht="24.95" customHeight="1" thickBot="1" x14ac:dyDescent="0.35">
      <c r="A24" s="34"/>
      <c r="B24" s="49" t="s">
        <v>35</v>
      </c>
      <c r="C24" s="99">
        <v>5000</v>
      </c>
      <c r="D24" s="100">
        <v>0</v>
      </c>
      <c r="E24" s="100">
        <v>0</v>
      </c>
      <c r="F24" s="100">
        <v>5000</v>
      </c>
      <c r="G24" s="100">
        <v>0</v>
      </c>
      <c r="H24" s="100">
        <v>0</v>
      </c>
      <c r="I24" s="100">
        <v>5000</v>
      </c>
      <c r="J24" s="100">
        <v>0</v>
      </c>
      <c r="K24" s="100">
        <v>0</v>
      </c>
      <c r="L24" s="100">
        <v>5000</v>
      </c>
      <c r="M24" s="100">
        <v>0</v>
      </c>
      <c r="N24" s="100">
        <v>0</v>
      </c>
      <c r="O24" s="90">
        <f t="shared" si="2"/>
        <v>20000</v>
      </c>
    </row>
    <row r="25" spans="1:15" ht="24.95" customHeight="1" thickBot="1" x14ac:dyDescent="0.35">
      <c r="A25" s="34"/>
      <c r="B25" s="49" t="s">
        <v>36</v>
      </c>
      <c r="C25" s="99">
        <v>200</v>
      </c>
      <c r="D25" s="100">
        <v>200</v>
      </c>
      <c r="E25" s="100">
        <v>200</v>
      </c>
      <c r="F25" s="100">
        <v>200</v>
      </c>
      <c r="G25" s="100">
        <v>200</v>
      </c>
      <c r="H25" s="100">
        <v>200</v>
      </c>
      <c r="I25" s="100">
        <v>200</v>
      </c>
      <c r="J25" s="100">
        <v>200</v>
      </c>
      <c r="K25" s="100">
        <v>200</v>
      </c>
      <c r="L25" s="100">
        <v>200</v>
      </c>
      <c r="M25" s="100">
        <v>200</v>
      </c>
      <c r="N25" s="100">
        <v>200</v>
      </c>
      <c r="O25" s="90">
        <f t="shared" si="2"/>
        <v>2400</v>
      </c>
    </row>
    <row r="26" spans="1:15" ht="24.95" customHeight="1" thickBot="1" x14ac:dyDescent="0.35">
      <c r="A26" s="34"/>
      <c r="B26" s="49" t="s">
        <v>37</v>
      </c>
      <c r="C26" s="99">
        <v>2000</v>
      </c>
      <c r="D26" s="100">
        <v>2000</v>
      </c>
      <c r="E26" s="100">
        <v>2000</v>
      </c>
      <c r="F26" s="100">
        <v>5000</v>
      </c>
      <c r="G26" s="100">
        <v>2000</v>
      </c>
      <c r="H26" s="100">
        <v>2000</v>
      </c>
      <c r="I26" s="100">
        <v>2000</v>
      </c>
      <c r="J26" s="100">
        <v>5000</v>
      </c>
      <c r="K26" s="100">
        <v>2000</v>
      </c>
      <c r="L26" s="100">
        <v>2000</v>
      </c>
      <c r="M26" s="100">
        <v>2000</v>
      </c>
      <c r="N26" s="100">
        <v>5000</v>
      </c>
      <c r="O26" s="90">
        <f t="shared" si="2"/>
        <v>33000</v>
      </c>
    </row>
    <row r="27" spans="1:15" ht="24.95" customHeight="1" thickBot="1" x14ac:dyDescent="0.35">
      <c r="A27" s="34"/>
      <c r="B27" s="49" t="s">
        <v>38</v>
      </c>
      <c r="C27" s="99">
        <v>200</v>
      </c>
      <c r="D27" s="100">
        <v>200</v>
      </c>
      <c r="E27" s="100">
        <v>200</v>
      </c>
      <c r="F27" s="100">
        <v>200</v>
      </c>
      <c r="G27" s="100">
        <v>200</v>
      </c>
      <c r="H27" s="100">
        <v>200</v>
      </c>
      <c r="I27" s="100">
        <v>200</v>
      </c>
      <c r="J27" s="100">
        <v>200</v>
      </c>
      <c r="K27" s="100">
        <v>200</v>
      </c>
      <c r="L27" s="100">
        <v>200</v>
      </c>
      <c r="M27" s="100">
        <v>200</v>
      </c>
      <c r="N27" s="100">
        <v>200</v>
      </c>
      <c r="O27" s="90">
        <f t="shared" si="2"/>
        <v>2400</v>
      </c>
    </row>
    <row r="28" spans="1:15" ht="24.95" customHeight="1" x14ac:dyDescent="0.3">
      <c r="A28" s="34"/>
      <c r="B28" s="51" t="s">
        <v>22</v>
      </c>
      <c r="C28" s="91">
        <f>SUBTOTAL(109,MarketingPlan[Jan])</f>
        <v>8100</v>
      </c>
      <c r="D28" s="92">
        <f>SUBTOTAL(109,MarketingPlan[Feb])</f>
        <v>3100</v>
      </c>
      <c r="E28" s="92">
        <f>SUBTOTAL(109,MarketingPlan[Mar])</f>
        <v>3100</v>
      </c>
      <c r="F28" s="92">
        <f>SUBTOTAL(109,MarketingPlan[Apr])</f>
        <v>11100</v>
      </c>
      <c r="G28" s="92">
        <f>SUBTOTAL(109,MarketingPlan[May])</f>
        <v>3100</v>
      </c>
      <c r="H28" s="92">
        <f>SUBTOTAL(109,MarketingPlan[Jun])</f>
        <v>3900</v>
      </c>
      <c r="I28" s="92">
        <f>SUBTOTAL(109,MarketingPlan[Jul])</f>
        <v>8100</v>
      </c>
      <c r="J28" s="92">
        <f>SUBTOTAL(109,MarketingPlan[Aug])</f>
        <v>6100</v>
      </c>
      <c r="K28" s="92">
        <f>SUBTOTAL(109,MarketingPlan[Sep])</f>
        <v>3100</v>
      </c>
      <c r="L28" s="92">
        <f>SUBTOTAL(109,MarketingPlan[Oct])</f>
        <v>8100</v>
      </c>
      <c r="M28" s="92">
        <f>SUBTOTAL(109,MarketingPlan[Nov])</f>
        <v>3100</v>
      </c>
      <c r="N28" s="92">
        <f>SUBTOTAL(109,MarketingPlan[Dec])</f>
        <v>6900</v>
      </c>
      <c r="O28" s="93">
        <f>SUBTOTAL(109,MarketingPlan[YEAR])</f>
        <v>67800</v>
      </c>
    </row>
    <row r="29" spans="1:15" ht="21" customHeight="1" x14ac:dyDescent="0.3">
      <c r="A29" s="34"/>
      <c r="B29" s="127"/>
      <c r="C29" s="127"/>
      <c r="D29" s="144"/>
      <c r="E29" s="144"/>
      <c r="F29" s="144"/>
      <c r="G29" s="144"/>
      <c r="H29" s="144"/>
      <c r="I29" s="144"/>
      <c r="J29" s="144"/>
      <c r="K29" s="144"/>
      <c r="L29" s="144"/>
      <c r="M29" s="144"/>
      <c r="N29" s="144"/>
      <c r="O29" s="143"/>
    </row>
    <row r="30" spans="1:15" ht="21" customHeight="1" thickBot="1" x14ac:dyDescent="0.35">
      <c r="A30" s="34" t="s">
        <v>15</v>
      </c>
      <c r="B30" s="61" t="s">
        <v>39</v>
      </c>
      <c r="C30" s="53" t="s">
        <v>46</v>
      </c>
      <c r="D30" s="53" t="s">
        <v>48</v>
      </c>
      <c r="E30" s="98" t="s">
        <v>50</v>
      </c>
      <c r="F30" s="53" t="s">
        <v>52</v>
      </c>
      <c r="G30" s="53" t="s">
        <v>54</v>
      </c>
      <c r="H30" s="53" t="s">
        <v>56</v>
      </c>
      <c r="I30" s="53" t="s">
        <v>58</v>
      </c>
      <c r="J30" s="53" t="s">
        <v>60</v>
      </c>
      <c r="K30" s="53" t="s">
        <v>64</v>
      </c>
      <c r="L30" s="53" t="s">
        <v>66</v>
      </c>
      <c r="M30" s="53" t="s">
        <v>68</v>
      </c>
      <c r="N30" s="53" t="s">
        <v>71</v>
      </c>
      <c r="O30" s="54" t="s">
        <v>72</v>
      </c>
    </row>
    <row r="31" spans="1:15" ht="21" customHeight="1" thickBot="1" x14ac:dyDescent="0.35">
      <c r="A31" s="34"/>
      <c r="B31" s="49" t="s">
        <v>40</v>
      </c>
      <c r="C31" s="99">
        <v>2000</v>
      </c>
      <c r="D31" s="100">
        <v>2000</v>
      </c>
      <c r="E31" s="100">
        <v>2000</v>
      </c>
      <c r="F31" s="100">
        <v>2000</v>
      </c>
      <c r="G31" s="100">
        <v>2000</v>
      </c>
      <c r="H31" s="100">
        <v>2000</v>
      </c>
      <c r="I31" s="100">
        <v>2000</v>
      </c>
      <c r="J31" s="100">
        <v>2000</v>
      </c>
      <c r="K31" s="100">
        <v>2000</v>
      </c>
      <c r="L31" s="100">
        <v>2000</v>
      </c>
      <c r="M31" s="100">
        <v>2000</v>
      </c>
      <c r="N31" s="100">
        <v>2000</v>
      </c>
      <c r="O31" s="101">
        <f>SUM(C31:N31)</f>
        <v>24000</v>
      </c>
    </row>
    <row r="32" spans="1:15" ht="21" customHeight="1" thickBot="1" x14ac:dyDescent="0.35">
      <c r="A32" s="34"/>
      <c r="B32" s="49" t="s">
        <v>41</v>
      </c>
      <c r="C32" s="99">
        <v>2000</v>
      </c>
      <c r="D32" s="100">
        <v>2000</v>
      </c>
      <c r="E32" s="100">
        <v>2000</v>
      </c>
      <c r="F32" s="100">
        <v>2000</v>
      </c>
      <c r="G32" s="100">
        <v>2000</v>
      </c>
      <c r="H32" s="100">
        <v>2000</v>
      </c>
      <c r="I32" s="100">
        <v>2000</v>
      </c>
      <c r="J32" s="100">
        <v>2000</v>
      </c>
      <c r="K32" s="100">
        <v>2000</v>
      </c>
      <c r="L32" s="100">
        <v>2000</v>
      </c>
      <c r="M32" s="100">
        <v>2000</v>
      </c>
      <c r="N32" s="100">
        <v>2000</v>
      </c>
      <c r="O32" s="101">
        <f>SUM(C32:N32)</f>
        <v>24000</v>
      </c>
    </row>
    <row r="33" spans="1:15" ht="21" customHeight="1" x14ac:dyDescent="0.3">
      <c r="A33" s="34"/>
      <c r="B33" s="51" t="s">
        <v>22</v>
      </c>
      <c r="C33" s="102">
        <f>SUBTOTAL(109,TrainingAndTravelPlan[Jan])</f>
        <v>4000</v>
      </c>
      <c r="D33" s="103">
        <f>SUBTOTAL(109,TrainingAndTravelPlan[Feb])</f>
        <v>4000</v>
      </c>
      <c r="E33" s="103">
        <f>SUBTOTAL(109,TrainingAndTravelPlan[Mar])</f>
        <v>4000</v>
      </c>
      <c r="F33" s="103">
        <f>SUBTOTAL(109,TrainingAndTravelPlan[Apr])</f>
        <v>4000</v>
      </c>
      <c r="G33" s="103">
        <f>SUBTOTAL(109,TrainingAndTravelPlan[May])</f>
        <v>4000</v>
      </c>
      <c r="H33" s="103">
        <f>SUBTOTAL(109,TrainingAndTravelPlan[Jun])</f>
        <v>4000</v>
      </c>
      <c r="I33" s="103">
        <f>SUBTOTAL(109,TrainingAndTravelPlan[Jul])</f>
        <v>4000</v>
      </c>
      <c r="J33" s="103">
        <f>SUBTOTAL(109,TrainingAndTravelPlan[Aug])</f>
        <v>4000</v>
      </c>
      <c r="K33" s="103">
        <f>SUBTOTAL(109,TrainingAndTravelPlan[Sep])</f>
        <v>4000</v>
      </c>
      <c r="L33" s="103">
        <f>SUBTOTAL(109,TrainingAndTravelPlan[Oct])</f>
        <v>4000</v>
      </c>
      <c r="M33" s="103">
        <f>SUBTOTAL(109,TrainingAndTravelPlan[Nov])</f>
        <v>4000</v>
      </c>
      <c r="N33" s="103">
        <f>SUBTOTAL(109,TrainingAndTravelPlan[Dec])</f>
        <v>4000</v>
      </c>
      <c r="O33" s="104">
        <f>SUBTOTAL(109,TrainingAndTravelPlan[YEAR])</f>
        <v>48000</v>
      </c>
    </row>
    <row r="34" spans="1:15" ht="21" customHeight="1" x14ac:dyDescent="0.3">
      <c r="A34" s="34"/>
      <c r="B34" s="127"/>
      <c r="C34" s="127"/>
      <c r="D34" s="143"/>
      <c r="E34" s="143"/>
      <c r="F34" s="143"/>
      <c r="G34" s="143"/>
      <c r="H34" s="143"/>
      <c r="I34" s="143"/>
      <c r="J34" s="143"/>
      <c r="K34" s="143"/>
      <c r="L34" s="143"/>
      <c r="M34" s="143"/>
      <c r="N34" s="143"/>
      <c r="O34" s="143"/>
    </row>
    <row r="35" spans="1:15" ht="24.95" customHeight="1" thickBot="1" x14ac:dyDescent="0.35">
      <c r="A35" s="34" t="s">
        <v>16</v>
      </c>
      <c r="B35" s="25" t="s">
        <v>42</v>
      </c>
      <c r="C35" s="27" t="s">
        <v>46</v>
      </c>
      <c r="D35" s="27" t="s">
        <v>48</v>
      </c>
      <c r="E35" s="27" t="s">
        <v>50</v>
      </c>
      <c r="F35" s="27" t="s">
        <v>52</v>
      </c>
      <c r="G35" s="27" t="s">
        <v>54</v>
      </c>
      <c r="H35" s="27" t="s">
        <v>56</v>
      </c>
      <c r="I35" s="27" t="s">
        <v>58</v>
      </c>
      <c r="J35" s="27" t="s">
        <v>60</v>
      </c>
      <c r="K35" s="27" t="s">
        <v>64</v>
      </c>
      <c r="L35" s="27" t="s">
        <v>66</v>
      </c>
      <c r="M35" s="27" t="s">
        <v>68</v>
      </c>
      <c r="N35" s="27" t="s">
        <v>71</v>
      </c>
      <c r="O35" s="27" t="s">
        <v>73</v>
      </c>
    </row>
    <row r="36" spans="1:15" ht="24.95" customHeight="1" thickBot="1" x14ac:dyDescent="0.35">
      <c r="A36" s="34"/>
      <c r="B36" s="26" t="s">
        <v>43</v>
      </c>
      <c r="C36" s="105">
        <f>TrainingAndTravelPlan[[#Totals],[Jan]]+MarketingPlan[[#Totals],[Jan]]+OfficePlan[[#Totals],[Jan]]+EmployeePlan[[#Totals],[Jan]]</f>
        <v>131420</v>
      </c>
      <c r="D36" s="105">
        <f>TrainingAndTravelPlan[[#Totals],[Feb]]+MarketingPlan[[#Totals],[Feb]]+OfficePlan[[#Totals],[Feb]]+EmployeePlan[[#Totals],[Feb]]</f>
        <v>126820</v>
      </c>
      <c r="E36" s="105">
        <f>TrainingAndTravelPlan[[#Totals],[Mar]]+MarketingPlan[[#Totals],[Mar]]+OfficePlan[[#Totals],[Mar]]+EmployeePlan[[#Totals],[Mar]]</f>
        <v>126820</v>
      </c>
      <c r="F36" s="105">
        <f>TrainingAndTravelPlan[[#Totals],[Apr]]+MarketingPlan[[#Totals],[Apr]]+OfficePlan[[#Totals],[Apr]]+EmployeePlan[[#Totals],[Apr]]</f>
        <v>137695</v>
      </c>
      <c r="G36" s="105">
        <f>TrainingAndTravelPlan[[#Totals],[May]]+MarketingPlan[[#Totals],[May]]+OfficePlan[[#Totals],[May]]+EmployeePlan[[#Totals],[May]]</f>
        <v>129695</v>
      </c>
      <c r="H36" s="105">
        <f>TrainingAndTravelPlan[[#Totals],[Jun]]+MarketingPlan[[#Totals],[Jun]]+OfficePlan[[#Totals],[Jun]]+EmployeePlan[[#Totals],[Jun]]</f>
        <v>130495</v>
      </c>
      <c r="I36" s="106">
        <f>TrainingAndTravelPlan[[#Totals],[Jul]]+MarketingPlan[[#Totals],[Jul]]+OfficePlan[[#Totals],[Jul]]+EmployeePlan[[#Totals],[Jul]]</f>
        <v>134695</v>
      </c>
      <c r="J36" s="105">
        <f>TrainingAndTravelPlan[[#Totals],[Aug]]+MarketingPlan[[#Totals],[Aug]]+OfficePlan[[#Totals],[Aug]]+EmployeePlan[[#Totals],[Aug]]</f>
        <v>138918</v>
      </c>
      <c r="K36" s="105">
        <f>TrainingAndTravelPlan[[#Totals],[Sep]]+MarketingPlan[[#Totals],[Sep]]+OfficePlan[[#Totals],[Sep]]+EmployeePlan[[#Totals],[Sep]]</f>
        <v>135918</v>
      </c>
      <c r="L36" s="105">
        <f>TrainingAndTravelPlan[[#Totals],[Oct]]+MarketingPlan[[#Totals],[Oct]]+OfficePlan[[#Totals],[Oct]]+EmployeePlan[[#Totals],[Oct]]</f>
        <v>140918</v>
      </c>
      <c r="M36" s="105">
        <f>TrainingAndTravelPlan[[#Totals],[Nov]]+MarketingPlan[[#Totals],[Nov]]+OfficePlan[[#Totals],[Nov]]+EmployeePlan[[#Totals],[Nov]]</f>
        <v>136218</v>
      </c>
      <c r="N36" s="105">
        <f>TrainingAndTravelPlan[[#Totals],[Dec]]+MarketingPlan[[#Totals],[Dec]]+OfficePlan[[#Totals],[Dec]]+EmployeePlan[[#Totals],[Dec]]</f>
        <v>140018</v>
      </c>
      <c r="O36" s="105">
        <f>TrainingAndTravelPlan[[#Totals],[YEAR]]+MarketingPlan[[#Totals],[YEAR]]+OfficePlan[[#Totals],[YEAR]]+EmployeePlan[[#Totals],[YEAR]]</f>
        <v>1609630</v>
      </c>
    </row>
    <row r="37" spans="1:15" ht="24.95" customHeight="1" x14ac:dyDescent="0.3">
      <c r="A37" s="34"/>
      <c r="B37" s="26" t="s">
        <v>44</v>
      </c>
      <c r="C37" s="105">
        <f>SUM($C$36:C36)</f>
        <v>131420</v>
      </c>
      <c r="D37" s="105">
        <f>SUM($C$36:D36)</f>
        <v>258240</v>
      </c>
      <c r="E37" s="105">
        <f>SUM($C$36:E36)</f>
        <v>385060</v>
      </c>
      <c r="F37" s="105">
        <f>SUM($C$36:F36)</f>
        <v>522755</v>
      </c>
      <c r="G37" s="105">
        <f>SUM($C$36:G36)</f>
        <v>652450</v>
      </c>
      <c r="H37" s="105">
        <f>SUM($C$36:H36)</f>
        <v>782945</v>
      </c>
      <c r="I37" s="105">
        <f>SUM($C$36:I36)</f>
        <v>917640</v>
      </c>
      <c r="J37" s="105">
        <f>SUM($C$36:J36)</f>
        <v>1056558</v>
      </c>
      <c r="K37" s="105">
        <f>SUM($C$36:K36)</f>
        <v>1192476</v>
      </c>
      <c r="L37" s="105">
        <f>SUM($C$36:L36)</f>
        <v>1333394</v>
      </c>
      <c r="M37" s="105">
        <f>SUM($C$36:M36)</f>
        <v>1469612</v>
      </c>
      <c r="N37" s="105">
        <f>SUM($C$36:N36)</f>
        <v>1609630</v>
      </c>
      <c r="O37" s="105"/>
    </row>
    <row r="38" spans="1:15" ht="21" customHeight="1" x14ac:dyDescent="0.3">
      <c r="A38" s="34"/>
      <c r="N38" s="3"/>
      <c r="O38" s="3"/>
    </row>
  </sheetData>
  <mergeCells count="9">
    <mergeCell ref="R4:T13"/>
    <mergeCell ref="N2:O3"/>
    <mergeCell ref="K2:M2"/>
    <mergeCell ref="B34:C34"/>
    <mergeCell ref="B29:C29"/>
    <mergeCell ref="B20:C20"/>
    <mergeCell ref="B9:C9"/>
    <mergeCell ref="B2:D3"/>
    <mergeCell ref="K3:M3"/>
  </mergeCells>
  <printOptions horizontalCentered="1"/>
  <pageMargins left="0.4" right="0.4" top="0.4" bottom="0.4" header="0.3" footer="0.3"/>
  <pageSetup paperSize="9" fitToHeight="0" orientation="landscape" r:id="rId1"/>
  <headerFooter differentFirst="1">
    <oddFooter>Page &amp;P of &amp;N</oddFooter>
  </headerFooter>
  <ignoredErrors>
    <ignoredError sqref="C6:N6 C36:O37" calculatedColumn="1"/>
    <ignoredError sqref="O12" emptyCellReference="1"/>
  </ignoredErrors>
  <drawing r:id="rId2"/>
  <tableParts count="5">
    <tablePart r:id="rId3"/>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3B893D"/>
    <pageSetUpPr autoPageBreaks="0" fitToPage="1"/>
  </sheetPr>
  <dimension ref="A1:P41"/>
  <sheetViews>
    <sheetView showGridLines="0" zoomScaleNormal="100" workbookViewId="0"/>
  </sheetViews>
  <sheetFormatPr defaultColWidth="9.140625" defaultRowHeight="21" customHeight="1" x14ac:dyDescent="0.3"/>
  <cols>
    <col min="1" max="1" width="4.7109375" style="1" customWidth="1"/>
    <col min="2" max="2" width="33.42578125" style="4" customWidth="1"/>
    <col min="3" max="14" width="14.7109375" style="4" customWidth="1"/>
    <col min="15" max="15" width="16.28515625" style="4" customWidth="1"/>
    <col min="16" max="16" width="4.7109375" style="1" customWidth="1"/>
    <col min="17" max="16384" width="9.140625" style="4"/>
  </cols>
  <sheetData>
    <row r="1" spans="1:16" s="1" customFormat="1" ht="24" customHeight="1" x14ac:dyDescent="0.3">
      <c r="A1" s="35" t="s">
        <v>76</v>
      </c>
      <c r="B1" s="10"/>
      <c r="C1" s="10"/>
      <c r="D1" s="10"/>
      <c r="E1" s="10"/>
      <c r="F1" s="7"/>
      <c r="G1" s="7"/>
      <c r="H1" s="7"/>
      <c r="I1" s="7"/>
      <c r="J1" s="7"/>
      <c r="K1" s="7"/>
      <c r="L1" s="7"/>
      <c r="M1" s="7"/>
      <c r="N1" s="7"/>
      <c r="O1" s="7"/>
      <c r="P1" s="67" t="s">
        <v>74</v>
      </c>
    </row>
    <row r="2" spans="1:16" s="1" customFormat="1" ht="45" customHeight="1" x14ac:dyDescent="0.35">
      <c r="A2" s="33" t="s">
        <v>77</v>
      </c>
      <c r="B2" s="129" t="str">
        <f>'PLANNED EXPENSES'!B2:D3</f>
        <v>Company Name</v>
      </c>
      <c r="C2" s="129"/>
      <c r="D2" s="129"/>
      <c r="E2" s="141"/>
      <c r="F2" s="8"/>
      <c r="G2" s="8"/>
      <c r="H2" s="8"/>
      <c r="I2" s="8"/>
      <c r="J2" s="8"/>
      <c r="K2" s="126" t="str">
        <f>worksheet_title</f>
        <v>Detailed Expense Estimates</v>
      </c>
      <c r="L2" s="126"/>
      <c r="M2" s="126"/>
      <c r="N2" s="125" t="s">
        <v>69</v>
      </c>
      <c r="O2" s="125"/>
      <c r="P2" s="7"/>
    </row>
    <row r="3" spans="1:16" s="1" customFormat="1" ht="30" customHeight="1" x14ac:dyDescent="0.3">
      <c r="A3" s="33" t="s">
        <v>10</v>
      </c>
      <c r="B3" s="129"/>
      <c r="C3" s="129"/>
      <c r="D3" s="129"/>
      <c r="E3" s="142"/>
      <c r="F3" s="9"/>
      <c r="G3" s="9"/>
      <c r="H3" s="9"/>
      <c r="I3" s="9"/>
      <c r="J3" s="9"/>
      <c r="K3" s="131" t="s">
        <v>62</v>
      </c>
      <c r="L3" s="131"/>
      <c r="M3" s="131"/>
      <c r="N3" s="125"/>
      <c r="O3" s="125"/>
      <c r="P3" s="7"/>
    </row>
    <row r="4" spans="1:16" s="22" customFormat="1" ht="49.5" customHeight="1" x14ac:dyDescent="0.3">
      <c r="A4" s="36" t="s">
        <v>78</v>
      </c>
      <c r="B4" s="23" t="s">
        <v>84</v>
      </c>
      <c r="C4" s="24" t="s">
        <v>45</v>
      </c>
      <c r="D4" s="24" t="s">
        <v>47</v>
      </c>
      <c r="E4" s="24" t="s">
        <v>49</v>
      </c>
      <c r="F4" s="24" t="s">
        <v>51</v>
      </c>
      <c r="G4" s="24" t="s">
        <v>53</v>
      </c>
      <c r="H4" s="24" t="s">
        <v>55</v>
      </c>
      <c r="I4" s="24" t="s">
        <v>57</v>
      </c>
      <c r="J4" s="24" t="s">
        <v>59</v>
      </c>
      <c r="K4" s="24" t="s">
        <v>63</v>
      </c>
      <c r="L4" s="24" t="s">
        <v>65</v>
      </c>
      <c r="M4" s="24" t="s">
        <v>67</v>
      </c>
      <c r="N4" s="24" t="s">
        <v>70</v>
      </c>
      <c r="O4" s="24" t="s">
        <v>72</v>
      </c>
    </row>
    <row r="5" spans="1:16" s="5" customFormat="1" ht="24.95" customHeight="1" thickBot="1" x14ac:dyDescent="0.35">
      <c r="A5" s="43" t="s">
        <v>79</v>
      </c>
      <c r="B5" s="48" t="s">
        <v>19</v>
      </c>
      <c r="C5" s="72" t="s">
        <v>46</v>
      </c>
      <c r="D5" s="68" t="s">
        <v>48</v>
      </c>
      <c r="E5" s="68" t="s">
        <v>50</v>
      </c>
      <c r="F5" s="68" t="s">
        <v>52</v>
      </c>
      <c r="G5" s="68" t="s">
        <v>54</v>
      </c>
      <c r="H5" s="68" t="s">
        <v>56</v>
      </c>
      <c r="I5" s="68" t="s">
        <v>58</v>
      </c>
      <c r="J5" s="68" t="s">
        <v>60</v>
      </c>
      <c r="K5" s="68" t="s">
        <v>64</v>
      </c>
      <c r="L5" s="68" t="s">
        <v>66</v>
      </c>
      <c r="M5" s="68" t="s">
        <v>68</v>
      </c>
      <c r="N5" s="68" t="s">
        <v>71</v>
      </c>
      <c r="O5" s="69" t="s">
        <v>72</v>
      </c>
      <c r="P5" s="3"/>
    </row>
    <row r="6" spans="1:16" s="5" customFormat="1" ht="24.95" customHeight="1" thickBot="1" x14ac:dyDescent="0.35">
      <c r="A6" s="34"/>
      <c r="B6" s="49" t="s">
        <v>20</v>
      </c>
      <c r="C6" s="99">
        <v>85000</v>
      </c>
      <c r="D6" s="100">
        <v>85000</v>
      </c>
      <c r="E6" s="100">
        <v>85000</v>
      </c>
      <c r="F6" s="100">
        <v>88000</v>
      </c>
      <c r="G6" s="100">
        <v>88000</v>
      </c>
      <c r="H6" s="100">
        <v>88000</v>
      </c>
      <c r="I6" s="100"/>
      <c r="J6" s="100"/>
      <c r="K6" s="100"/>
      <c r="L6" s="100"/>
      <c r="M6" s="100"/>
      <c r="N6" s="100"/>
      <c r="O6" s="101">
        <f>SUM(C6:N6)</f>
        <v>519000</v>
      </c>
      <c r="P6" s="1"/>
    </row>
    <row r="7" spans="1:16" s="5" customFormat="1" ht="24.95" customHeight="1" thickBot="1" x14ac:dyDescent="0.35">
      <c r="A7" s="34"/>
      <c r="B7" s="49" t="s">
        <v>21</v>
      </c>
      <c r="C7" s="99">
        <f t="shared" ref="C7:N7" si="0">C6*0.27</f>
        <v>22950</v>
      </c>
      <c r="D7" s="100">
        <f t="shared" si="0"/>
        <v>22950</v>
      </c>
      <c r="E7" s="100">
        <f t="shared" si="0"/>
        <v>22950</v>
      </c>
      <c r="F7" s="100">
        <f t="shared" si="0"/>
        <v>23760</v>
      </c>
      <c r="G7" s="100">
        <f t="shared" si="0"/>
        <v>23760</v>
      </c>
      <c r="H7" s="100">
        <f t="shared" si="0"/>
        <v>23760</v>
      </c>
      <c r="I7" s="100">
        <f t="shared" si="0"/>
        <v>0</v>
      </c>
      <c r="J7" s="100">
        <f t="shared" si="0"/>
        <v>0</v>
      </c>
      <c r="K7" s="100">
        <f t="shared" si="0"/>
        <v>0</v>
      </c>
      <c r="L7" s="100">
        <f t="shared" si="0"/>
        <v>0</v>
      </c>
      <c r="M7" s="100">
        <f t="shared" si="0"/>
        <v>0</v>
      </c>
      <c r="N7" s="100">
        <f t="shared" si="0"/>
        <v>0</v>
      </c>
      <c r="O7" s="101">
        <f>SUM(C7:N7)</f>
        <v>140130</v>
      </c>
      <c r="P7" s="1"/>
    </row>
    <row r="8" spans="1:16" ht="24.95" customHeight="1" x14ac:dyDescent="0.3">
      <c r="A8" s="34"/>
      <c r="B8" s="73" t="s">
        <v>22</v>
      </c>
      <c r="C8" s="108">
        <f>SUBTOTAL(109,EmployeeActual[Jan])</f>
        <v>107950</v>
      </c>
      <c r="D8" s="109">
        <f>SUBTOTAL(109,EmployeeActual[Feb])</f>
        <v>107950</v>
      </c>
      <c r="E8" s="109">
        <f>SUBTOTAL(109,EmployeeActual[Mar])</f>
        <v>107950</v>
      </c>
      <c r="F8" s="109">
        <f>SUBTOTAL(109,EmployeeActual[Apr])</f>
        <v>111760</v>
      </c>
      <c r="G8" s="109">
        <f>SUBTOTAL(109,EmployeeActual[May])</f>
        <v>111760</v>
      </c>
      <c r="H8" s="109">
        <f>SUBTOTAL(109,EmployeeActual[Jun])</f>
        <v>111760</v>
      </c>
      <c r="I8" s="109">
        <f>SUBTOTAL(109,EmployeeActual[Jul])</f>
        <v>0</v>
      </c>
      <c r="J8" s="109">
        <f>SUBTOTAL(109,EmployeeActual[Aug])</f>
        <v>0</v>
      </c>
      <c r="K8" s="109">
        <f>SUBTOTAL(109,EmployeeActual[Sep])</f>
        <v>0</v>
      </c>
      <c r="L8" s="109">
        <f>SUBTOTAL(109,EmployeeActual[Oct])</f>
        <v>0</v>
      </c>
      <c r="M8" s="109">
        <f>SUBTOTAL(109,EmployeeActual[Nov])</f>
        <v>0</v>
      </c>
      <c r="N8" s="109">
        <f>SUBTOTAL(109,EmployeeActual[Dec])</f>
        <v>0</v>
      </c>
      <c r="O8" s="110">
        <f>SUBTOTAL(109,EmployeeActual[YEAR])</f>
        <v>659130</v>
      </c>
    </row>
    <row r="9" spans="1:16" s="1" customFormat="1" ht="21" customHeight="1" x14ac:dyDescent="0.3">
      <c r="A9" s="34"/>
      <c r="B9" s="127"/>
      <c r="C9" s="127"/>
      <c r="D9" s="145"/>
      <c r="E9" s="145"/>
      <c r="F9" s="145"/>
      <c r="G9" s="145"/>
      <c r="H9" s="145"/>
      <c r="I9" s="145"/>
      <c r="J9" s="145"/>
      <c r="K9" s="145"/>
      <c r="L9" s="145"/>
      <c r="M9" s="145"/>
      <c r="N9" s="145"/>
      <c r="O9" s="143"/>
    </row>
    <row r="10" spans="1:16" ht="24.95" customHeight="1" thickBot="1" x14ac:dyDescent="0.35">
      <c r="A10" s="34" t="s">
        <v>80</v>
      </c>
      <c r="B10" s="55" t="s">
        <v>23</v>
      </c>
      <c r="C10" s="72" t="s">
        <v>46</v>
      </c>
      <c r="D10" s="68" t="s">
        <v>48</v>
      </c>
      <c r="E10" s="107" t="s">
        <v>50</v>
      </c>
      <c r="F10" s="68" t="s">
        <v>52</v>
      </c>
      <c r="G10" s="68" t="s">
        <v>54</v>
      </c>
      <c r="H10" s="68" t="s">
        <v>56</v>
      </c>
      <c r="I10" s="68" t="s">
        <v>58</v>
      </c>
      <c r="J10" s="68" t="s">
        <v>60</v>
      </c>
      <c r="K10" s="68" t="s">
        <v>64</v>
      </c>
      <c r="L10" s="68" t="s">
        <v>66</v>
      </c>
      <c r="M10" s="68" t="s">
        <v>68</v>
      </c>
      <c r="N10" s="68" t="s">
        <v>71</v>
      </c>
      <c r="O10" s="69" t="s">
        <v>72</v>
      </c>
    </row>
    <row r="11" spans="1:16" ht="24.95" customHeight="1" thickBot="1" x14ac:dyDescent="0.35">
      <c r="A11" s="34"/>
      <c r="B11" s="49" t="s">
        <v>24</v>
      </c>
      <c r="C11" s="99">
        <v>9800</v>
      </c>
      <c r="D11" s="100">
        <v>9800</v>
      </c>
      <c r="E11" s="100">
        <v>9800</v>
      </c>
      <c r="F11" s="100">
        <v>9800</v>
      </c>
      <c r="G11" s="100">
        <v>9800</v>
      </c>
      <c r="H11" s="100">
        <v>9800</v>
      </c>
      <c r="I11" s="100"/>
      <c r="J11" s="100"/>
      <c r="K11" s="100"/>
      <c r="L11" s="100"/>
      <c r="M11" s="100"/>
      <c r="N11" s="100"/>
      <c r="O11" s="101">
        <f t="shared" ref="O11:O18" si="1">SUM(C11:N11)</f>
        <v>58800</v>
      </c>
    </row>
    <row r="12" spans="1:16" ht="24.95" customHeight="1" thickBot="1" x14ac:dyDescent="0.35">
      <c r="A12" s="34"/>
      <c r="B12" s="49" t="s">
        <v>25</v>
      </c>
      <c r="C12" s="99">
        <v>4</v>
      </c>
      <c r="D12" s="100">
        <v>430</v>
      </c>
      <c r="E12" s="100">
        <v>385</v>
      </c>
      <c r="F12" s="100">
        <v>230</v>
      </c>
      <c r="G12" s="100">
        <v>87</v>
      </c>
      <c r="H12" s="100">
        <v>88</v>
      </c>
      <c r="I12" s="100"/>
      <c r="J12" s="100"/>
      <c r="K12" s="100"/>
      <c r="L12" s="100"/>
      <c r="M12" s="100"/>
      <c r="N12" s="100"/>
      <c r="O12" s="101">
        <f t="shared" si="1"/>
        <v>1224</v>
      </c>
    </row>
    <row r="13" spans="1:16" ht="24.95" customHeight="1" thickBot="1" x14ac:dyDescent="0.35">
      <c r="A13" s="34"/>
      <c r="B13" s="49" t="s">
        <v>26</v>
      </c>
      <c r="C13" s="99">
        <v>288</v>
      </c>
      <c r="D13" s="100">
        <v>278</v>
      </c>
      <c r="E13" s="100">
        <v>268</v>
      </c>
      <c r="F13" s="100">
        <v>299</v>
      </c>
      <c r="G13" s="100">
        <v>306</v>
      </c>
      <c r="H13" s="100">
        <v>290</v>
      </c>
      <c r="I13" s="100"/>
      <c r="J13" s="100"/>
      <c r="K13" s="100"/>
      <c r="L13" s="100"/>
      <c r="M13" s="100"/>
      <c r="N13" s="100"/>
      <c r="O13" s="101">
        <f t="shared" si="1"/>
        <v>1729</v>
      </c>
    </row>
    <row r="14" spans="1:16" ht="24.95" customHeight="1" thickBot="1" x14ac:dyDescent="0.35">
      <c r="A14" s="34"/>
      <c r="B14" s="49" t="s">
        <v>27</v>
      </c>
      <c r="C14" s="99">
        <v>35</v>
      </c>
      <c r="D14" s="100">
        <v>33</v>
      </c>
      <c r="E14" s="100">
        <v>34</v>
      </c>
      <c r="F14" s="100">
        <v>36</v>
      </c>
      <c r="G14" s="100">
        <v>34</v>
      </c>
      <c r="H14" s="100">
        <v>36</v>
      </c>
      <c r="I14" s="100"/>
      <c r="J14" s="100"/>
      <c r="K14" s="100"/>
      <c r="L14" s="100"/>
      <c r="M14" s="100"/>
      <c r="N14" s="100"/>
      <c r="O14" s="101">
        <f t="shared" si="1"/>
        <v>208</v>
      </c>
    </row>
    <row r="15" spans="1:16" ht="24.95" customHeight="1" thickBot="1" x14ac:dyDescent="0.35">
      <c r="A15" s="34"/>
      <c r="B15" s="49" t="s">
        <v>28</v>
      </c>
      <c r="C15" s="99">
        <v>224</v>
      </c>
      <c r="D15" s="100">
        <v>235</v>
      </c>
      <c r="E15" s="100">
        <v>265</v>
      </c>
      <c r="F15" s="100">
        <v>245</v>
      </c>
      <c r="G15" s="100">
        <v>245</v>
      </c>
      <c r="H15" s="100">
        <v>220</v>
      </c>
      <c r="I15" s="100"/>
      <c r="J15" s="100"/>
      <c r="K15" s="100"/>
      <c r="L15" s="100"/>
      <c r="M15" s="100"/>
      <c r="N15" s="100"/>
      <c r="O15" s="101">
        <f t="shared" si="1"/>
        <v>1434</v>
      </c>
    </row>
    <row r="16" spans="1:16" ht="24.95" customHeight="1" thickBot="1" x14ac:dyDescent="0.35">
      <c r="A16" s="34"/>
      <c r="B16" s="49" t="s">
        <v>29</v>
      </c>
      <c r="C16" s="99">
        <v>180</v>
      </c>
      <c r="D16" s="100">
        <v>180</v>
      </c>
      <c r="E16" s="100">
        <v>180</v>
      </c>
      <c r="F16" s="100">
        <v>180</v>
      </c>
      <c r="G16" s="100">
        <v>180</v>
      </c>
      <c r="H16" s="100">
        <v>180</v>
      </c>
      <c r="I16" s="100"/>
      <c r="J16" s="100"/>
      <c r="K16" s="100"/>
      <c r="L16" s="100"/>
      <c r="M16" s="100"/>
      <c r="N16" s="100"/>
      <c r="O16" s="101">
        <f t="shared" si="1"/>
        <v>1080</v>
      </c>
    </row>
    <row r="17" spans="1:15" ht="24.95" customHeight="1" thickBot="1" x14ac:dyDescent="0.35">
      <c r="A17" s="34"/>
      <c r="B17" s="49" t="s">
        <v>30</v>
      </c>
      <c r="C17" s="99">
        <v>256</v>
      </c>
      <c r="D17" s="100">
        <v>142</v>
      </c>
      <c r="E17" s="100">
        <v>160</v>
      </c>
      <c r="F17" s="100">
        <v>221</v>
      </c>
      <c r="G17" s="100">
        <v>256</v>
      </c>
      <c r="H17" s="100">
        <v>240</v>
      </c>
      <c r="I17" s="100"/>
      <c r="J17" s="100"/>
      <c r="K17" s="100"/>
      <c r="L17" s="100"/>
      <c r="M17" s="100"/>
      <c r="N17" s="100"/>
      <c r="O17" s="101">
        <f t="shared" si="1"/>
        <v>1275</v>
      </c>
    </row>
    <row r="18" spans="1:15" ht="24.95" customHeight="1" thickBot="1" x14ac:dyDescent="0.35">
      <c r="A18" s="34"/>
      <c r="B18" s="49" t="s">
        <v>31</v>
      </c>
      <c r="C18" s="99">
        <v>600</v>
      </c>
      <c r="D18" s="100">
        <v>600</v>
      </c>
      <c r="E18" s="100">
        <v>600</v>
      </c>
      <c r="F18" s="100">
        <v>600</v>
      </c>
      <c r="G18" s="100">
        <v>600</v>
      </c>
      <c r="H18" s="100">
        <v>600</v>
      </c>
      <c r="I18" s="100"/>
      <c r="J18" s="100"/>
      <c r="K18" s="100"/>
      <c r="L18" s="100"/>
      <c r="M18" s="100"/>
      <c r="N18" s="100"/>
      <c r="O18" s="101">
        <f t="shared" si="1"/>
        <v>3600</v>
      </c>
    </row>
    <row r="19" spans="1:15" ht="24.95" customHeight="1" x14ac:dyDescent="0.3">
      <c r="A19" s="34"/>
      <c r="B19" s="74" t="s">
        <v>22</v>
      </c>
      <c r="C19" s="103">
        <f>SUBTOTAL(109,OfficeActual[Jan])</f>
        <v>11387</v>
      </c>
      <c r="D19" s="103">
        <f>SUBTOTAL(109,OfficeActual[Feb])</f>
        <v>11698</v>
      </c>
      <c r="E19" s="103">
        <f>SUBTOTAL(109,OfficeActual[Mar])</f>
        <v>11692</v>
      </c>
      <c r="F19" s="103">
        <f>SUBTOTAL(109,OfficeActual[Apr])</f>
        <v>11611</v>
      </c>
      <c r="G19" s="103">
        <f>SUBTOTAL(109,OfficeActual[May])</f>
        <v>11508</v>
      </c>
      <c r="H19" s="103">
        <f>SUBTOTAL(109,OfficeActual[Jun])</f>
        <v>11454</v>
      </c>
      <c r="I19" s="103">
        <f>SUBTOTAL(109,OfficeActual[Jul])</f>
        <v>0</v>
      </c>
      <c r="J19" s="103">
        <f>SUBTOTAL(109,OfficeActual[Aug])</f>
        <v>0</v>
      </c>
      <c r="K19" s="103">
        <f>SUBTOTAL(109,OfficeActual[Sep])</f>
        <v>0</v>
      </c>
      <c r="L19" s="103">
        <f>SUBTOTAL(109,OfficeActual[Oct])</f>
        <v>0</v>
      </c>
      <c r="M19" s="103">
        <f>SUBTOTAL(109,OfficeActual[Nov])</f>
        <v>0</v>
      </c>
      <c r="N19" s="103">
        <f>SUBTOTAL(109,OfficeActual[Dec])</f>
        <v>0</v>
      </c>
      <c r="O19" s="104">
        <f>SUBTOTAL(109,OfficeActual[YEAR])</f>
        <v>69350</v>
      </c>
    </row>
    <row r="20" spans="1:15" ht="21" customHeight="1" x14ac:dyDescent="0.3">
      <c r="A20" s="34"/>
      <c r="B20" s="128"/>
      <c r="C20" s="128"/>
      <c r="D20" s="145"/>
      <c r="E20" s="145"/>
      <c r="F20" s="144"/>
      <c r="G20" s="144"/>
      <c r="H20" s="144"/>
      <c r="I20" s="144"/>
      <c r="J20" s="144"/>
      <c r="K20" s="144"/>
      <c r="L20" s="144"/>
      <c r="M20" s="144"/>
      <c r="N20" s="144"/>
      <c r="O20" s="143"/>
    </row>
    <row r="21" spans="1:15" ht="24.95" customHeight="1" thickBot="1" x14ac:dyDescent="0.35">
      <c r="A21" s="34" t="s">
        <v>81</v>
      </c>
      <c r="B21" s="75" t="s">
        <v>32</v>
      </c>
      <c r="C21" s="72" t="s">
        <v>46</v>
      </c>
      <c r="D21" s="68" t="s">
        <v>48</v>
      </c>
      <c r="E21" s="107" t="s">
        <v>50</v>
      </c>
      <c r="F21" s="68" t="s">
        <v>52</v>
      </c>
      <c r="G21" s="68" t="s">
        <v>54</v>
      </c>
      <c r="H21" s="68" t="s">
        <v>56</v>
      </c>
      <c r="I21" s="68" t="s">
        <v>58</v>
      </c>
      <c r="J21" s="68" t="s">
        <v>60</v>
      </c>
      <c r="K21" s="68" t="s">
        <v>64</v>
      </c>
      <c r="L21" s="68" t="s">
        <v>66</v>
      </c>
      <c r="M21" s="68" t="s">
        <v>68</v>
      </c>
      <c r="N21" s="68" t="s">
        <v>71</v>
      </c>
      <c r="O21" s="69" t="s">
        <v>72</v>
      </c>
    </row>
    <row r="22" spans="1:15" ht="24.95" customHeight="1" thickBot="1" x14ac:dyDescent="0.35">
      <c r="A22" s="34"/>
      <c r="B22" s="49" t="s">
        <v>33</v>
      </c>
      <c r="C22" s="99">
        <v>500</v>
      </c>
      <c r="D22" s="100">
        <v>500</v>
      </c>
      <c r="E22" s="100">
        <v>500</v>
      </c>
      <c r="F22" s="100">
        <v>500</v>
      </c>
      <c r="G22" s="100">
        <v>500</v>
      </c>
      <c r="H22" s="100">
        <v>500</v>
      </c>
      <c r="I22" s="100"/>
      <c r="J22" s="100"/>
      <c r="K22" s="100"/>
      <c r="L22" s="100"/>
      <c r="M22" s="100"/>
      <c r="N22" s="100"/>
      <c r="O22" s="101">
        <f t="shared" ref="O22:O27" si="2">SUM(C22:N22)</f>
        <v>3000</v>
      </c>
    </row>
    <row r="23" spans="1:15" ht="24.95" customHeight="1" thickBot="1" x14ac:dyDescent="0.35">
      <c r="A23" s="34"/>
      <c r="B23" s="49" t="s">
        <v>34</v>
      </c>
      <c r="C23" s="99">
        <v>200</v>
      </c>
      <c r="D23" s="100">
        <v>200</v>
      </c>
      <c r="E23" s="100">
        <v>200</v>
      </c>
      <c r="F23" s="100">
        <v>200</v>
      </c>
      <c r="G23" s="100">
        <v>200</v>
      </c>
      <c r="H23" s="100">
        <v>1500</v>
      </c>
      <c r="I23" s="100"/>
      <c r="J23" s="100"/>
      <c r="K23" s="100"/>
      <c r="L23" s="100"/>
      <c r="M23" s="100"/>
      <c r="N23" s="100"/>
      <c r="O23" s="101">
        <f t="shared" si="2"/>
        <v>2500</v>
      </c>
    </row>
    <row r="24" spans="1:15" ht="24.95" customHeight="1" thickBot="1" x14ac:dyDescent="0.35">
      <c r="A24" s="34"/>
      <c r="B24" s="49" t="s">
        <v>35</v>
      </c>
      <c r="C24" s="99">
        <v>4800</v>
      </c>
      <c r="D24" s="100">
        <v>0</v>
      </c>
      <c r="E24" s="100">
        <v>0</v>
      </c>
      <c r="F24" s="100">
        <v>5500</v>
      </c>
      <c r="G24" s="100">
        <v>0</v>
      </c>
      <c r="H24" s="100">
        <v>0</v>
      </c>
      <c r="I24" s="100"/>
      <c r="J24" s="100"/>
      <c r="K24" s="100"/>
      <c r="L24" s="100"/>
      <c r="M24" s="100"/>
      <c r="N24" s="100"/>
      <c r="O24" s="101">
        <f t="shared" si="2"/>
        <v>10300</v>
      </c>
    </row>
    <row r="25" spans="1:15" ht="24.95" customHeight="1" thickBot="1" x14ac:dyDescent="0.35">
      <c r="A25" s="34"/>
      <c r="B25" s="49" t="s">
        <v>36</v>
      </c>
      <c r="C25" s="99">
        <v>100</v>
      </c>
      <c r="D25" s="100">
        <v>500</v>
      </c>
      <c r="E25" s="100">
        <v>100</v>
      </c>
      <c r="F25" s="100">
        <v>100</v>
      </c>
      <c r="G25" s="100">
        <v>600</v>
      </c>
      <c r="H25" s="100">
        <v>180</v>
      </c>
      <c r="I25" s="100"/>
      <c r="J25" s="100"/>
      <c r="K25" s="100"/>
      <c r="L25" s="100"/>
      <c r="M25" s="100"/>
      <c r="N25" s="100"/>
      <c r="O25" s="101">
        <f t="shared" si="2"/>
        <v>1580</v>
      </c>
    </row>
    <row r="26" spans="1:15" ht="24.95" customHeight="1" thickBot="1" x14ac:dyDescent="0.35">
      <c r="A26" s="34"/>
      <c r="B26" s="49" t="s">
        <v>37</v>
      </c>
      <c r="C26" s="99">
        <v>1800</v>
      </c>
      <c r="D26" s="100">
        <v>2200</v>
      </c>
      <c r="E26" s="100">
        <v>2200</v>
      </c>
      <c r="F26" s="100">
        <v>4700</v>
      </c>
      <c r="G26" s="100">
        <v>1500</v>
      </c>
      <c r="H26" s="100">
        <v>2300</v>
      </c>
      <c r="I26" s="100"/>
      <c r="J26" s="100"/>
      <c r="K26" s="100"/>
      <c r="L26" s="100"/>
      <c r="M26" s="100"/>
      <c r="N26" s="100"/>
      <c r="O26" s="101">
        <f t="shared" si="2"/>
        <v>14700</v>
      </c>
    </row>
    <row r="27" spans="1:15" ht="24.95" customHeight="1" thickBot="1" x14ac:dyDescent="0.35">
      <c r="A27" s="34"/>
      <c r="B27" s="49" t="s">
        <v>38</v>
      </c>
      <c r="C27" s="99">
        <v>145</v>
      </c>
      <c r="D27" s="100">
        <v>156</v>
      </c>
      <c r="E27" s="100">
        <v>123</v>
      </c>
      <c r="F27" s="100">
        <v>223</v>
      </c>
      <c r="G27" s="100">
        <v>187</v>
      </c>
      <c r="H27" s="100">
        <v>245</v>
      </c>
      <c r="I27" s="100"/>
      <c r="J27" s="100"/>
      <c r="K27" s="100"/>
      <c r="L27" s="100"/>
      <c r="M27" s="100"/>
      <c r="N27" s="100"/>
      <c r="O27" s="101">
        <f t="shared" si="2"/>
        <v>1079</v>
      </c>
    </row>
    <row r="28" spans="1:15" ht="24.95" customHeight="1" x14ac:dyDescent="0.3">
      <c r="A28" s="34"/>
      <c r="B28" s="71" t="s">
        <v>22</v>
      </c>
      <c r="C28" s="111">
        <f>SUBTOTAL(109,MarketingActual[Jan])</f>
        <v>7545</v>
      </c>
      <c r="D28" s="103">
        <f>SUBTOTAL(109,MarketingActual[Feb])</f>
        <v>3556</v>
      </c>
      <c r="E28" s="103">
        <f>SUBTOTAL(109,MarketingActual[Mar])</f>
        <v>3123</v>
      </c>
      <c r="F28" s="103">
        <f>SUBTOTAL(109,MarketingActual[Apr])</f>
        <v>11223</v>
      </c>
      <c r="G28" s="103">
        <f>SUBTOTAL(109,MarketingActual[May])</f>
        <v>2987</v>
      </c>
      <c r="H28" s="103">
        <f>SUBTOTAL(109,MarketingActual[Jun])</f>
        <v>4725</v>
      </c>
      <c r="I28" s="103">
        <f>SUBTOTAL(109,MarketingActual[Jul])</f>
        <v>0</v>
      </c>
      <c r="J28" s="103">
        <f>SUBTOTAL(109,MarketingActual[Aug])</f>
        <v>0</v>
      </c>
      <c r="K28" s="103">
        <f>SUBTOTAL(109,MarketingActual[Sep])</f>
        <v>0</v>
      </c>
      <c r="L28" s="103">
        <f>SUBTOTAL(109,MarketingActual[Oct])</f>
        <v>0</v>
      </c>
      <c r="M28" s="103">
        <f>SUBTOTAL(109,MarketingActual[Nov])</f>
        <v>0</v>
      </c>
      <c r="N28" s="103">
        <f>SUBTOTAL(109,MarketingActual[Dec])</f>
        <v>0</v>
      </c>
      <c r="O28" s="104">
        <f>SUBTOTAL(109,MarketingActual[YEAR])</f>
        <v>33159</v>
      </c>
    </row>
    <row r="29" spans="1:15" ht="21" customHeight="1" x14ac:dyDescent="0.3">
      <c r="A29" s="34"/>
      <c r="B29" s="127"/>
      <c r="C29" s="127"/>
      <c r="D29" s="144"/>
      <c r="E29" s="144"/>
      <c r="F29" s="144"/>
      <c r="G29" s="144"/>
      <c r="H29" s="144"/>
      <c r="I29" s="144"/>
      <c r="J29" s="144"/>
      <c r="K29" s="144"/>
      <c r="L29" s="144"/>
      <c r="M29" s="144"/>
      <c r="N29" s="144"/>
      <c r="O29" s="143"/>
    </row>
    <row r="30" spans="1:15" ht="24.95" customHeight="1" thickBot="1" x14ac:dyDescent="0.35">
      <c r="A30" s="34" t="s">
        <v>82</v>
      </c>
      <c r="B30" s="62" t="s">
        <v>39</v>
      </c>
      <c r="C30" s="68" t="s">
        <v>46</v>
      </c>
      <c r="D30" s="68" t="s">
        <v>48</v>
      </c>
      <c r="E30" s="107" t="s">
        <v>50</v>
      </c>
      <c r="F30" s="68" t="s">
        <v>52</v>
      </c>
      <c r="G30" s="68" t="s">
        <v>54</v>
      </c>
      <c r="H30" s="68" t="s">
        <v>56</v>
      </c>
      <c r="I30" s="68" t="s">
        <v>58</v>
      </c>
      <c r="J30" s="68" t="s">
        <v>60</v>
      </c>
      <c r="K30" s="68" t="s">
        <v>64</v>
      </c>
      <c r="L30" s="68" t="s">
        <v>66</v>
      </c>
      <c r="M30" s="68" t="s">
        <v>68</v>
      </c>
      <c r="N30" s="68" t="s">
        <v>71</v>
      </c>
      <c r="O30" s="69" t="s">
        <v>72</v>
      </c>
    </row>
    <row r="31" spans="1:15" ht="24.95" customHeight="1" thickBot="1" x14ac:dyDescent="0.35">
      <c r="A31" s="34"/>
      <c r="B31" s="70" t="s">
        <v>40</v>
      </c>
      <c r="C31" s="100">
        <v>1600</v>
      </c>
      <c r="D31" s="100">
        <v>2400</v>
      </c>
      <c r="E31" s="100">
        <v>1400</v>
      </c>
      <c r="F31" s="100">
        <v>1600</v>
      </c>
      <c r="G31" s="100">
        <v>1200</v>
      </c>
      <c r="H31" s="100">
        <v>2800</v>
      </c>
      <c r="I31" s="100"/>
      <c r="J31" s="100"/>
      <c r="K31" s="100"/>
      <c r="L31" s="100"/>
      <c r="M31" s="100"/>
      <c r="N31" s="100"/>
      <c r="O31" s="101">
        <f>SUM(C31:N31)</f>
        <v>11000</v>
      </c>
    </row>
    <row r="32" spans="1:15" ht="24.95" customHeight="1" thickBot="1" x14ac:dyDescent="0.35">
      <c r="A32" s="34"/>
      <c r="B32" s="70" t="s">
        <v>41</v>
      </c>
      <c r="C32" s="100">
        <v>1200</v>
      </c>
      <c r="D32" s="100">
        <v>2200</v>
      </c>
      <c r="E32" s="100">
        <v>1400</v>
      </c>
      <c r="F32" s="100">
        <v>1200</v>
      </c>
      <c r="G32" s="100">
        <v>800</v>
      </c>
      <c r="H32" s="100">
        <v>3500</v>
      </c>
      <c r="I32" s="100"/>
      <c r="J32" s="100"/>
      <c r="K32" s="100"/>
      <c r="L32" s="100"/>
      <c r="M32" s="100"/>
      <c r="N32" s="100"/>
      <c r="O32" s="101">
        <f>SUM(C32:N32)</f>
        <v>10300</v>
      </c>
    </row>
    <row r="33" spans="1:16" ht="24.95" customHeight="1" x14ac:dyDescent="0.3">
      <c r="A33" s="34"/>
      <c r="B33" s="74" t="s">
        <v>22</v>
      </c>
      <c r="C33" s="103">
        <f>SUBTOTAL(109,TrainingAndTravelActual[Jan])</f>
        <v>2800</v>
      </c>
      <c r="D33" s="103">
        <f>SUBTOTAL(109,TrainingAndTravelActual[Feb])</f>
        <v>4600</v>
      </c>
      <c r="E33" s="103">
        <f>SUBTOTAL(109,TrainingAndTravelActual[Mar])</f>
        <v>2800</v>
      </c>
      <c r="F33" s="103">
        <f>SUBTOTAL(109,TrainingAndTravelActual[Apr])</f>
        <v>2800</v>
      </c>
      <c r="G33" s="103">
        <f>SUBTOTAL(109,TrainingAndTravelActual[May])</f>
        <v>2000</v>
      </c>
      <c r="H33" s="103">
        <f>SUBTOTAL(109,TrainingAndTravelActual[Jun])</f>
        <v>6300</v>
      </c>
      <c r="I33" s="103">
        <f>SUBTOTAL(109,TrainingAndTravelActual[Jul])</f>
        <v>0</v>
      </c>
      <c r="J33" s="103">
        <f>SUBTOTAL(109,TrainingAndTravelActual[Aug])</f>
        <v>0</v>
      </c>
      <c r="K33" s="103">
        <f>SUBTOTAL(109,TrainingAndTravelActual[Sep])</f>
        <v>0</v>
      </c>
      <c r="L33" s="103">
        <f>SUBTOTAL(109,TrainingAndTravelActual[Oct])</f>
        <v>0</v>
      </c>
      <c r="M33" s="103">
        <f>SUBTOTAL(109,TrainingAndTravelActual[Nov])</f>
        <v>0</v>
      </c>
      <c r="N33" s="103">
        <f>SUBTOTAL(109,TrainingAndTravelActual[Dec])</f>
        <v>0</v>
      </c>
      <c r="O33" s="104">
        <f>SUBTOTAL(109,TrainingAndTravelActual[YEAR])</f>
        <v>21300</v>
      </c>
    </row>
    <row r="34" spans="1:16" ht="21" customHeight="1" x14ac:dyDescent="0.3">
      <c r="A34" s="34"/>
      <c r="B34" s="127"/>
      <c r="C34" s="127"/>
      <c r="D34" s="143"/>
      <c r="E34" s="143"/>
      <c r="F34" s="143"/>
      <c r="G34" s="143"/>
      <c r="H34" s="143"/>
      <c r="I34" s="143"/>
      <c r="J34" s="143"/>
      <c r="K34" s="143"/>
      <c r="L34" s="143"/>
      <c r="M34" s="143"/>
      <c r="N34" s="143"/>
      <c r="O34" s="143"/>
    </row>
    <row r="35" spans="1:16" ht="24.95" customHeight="1" thickBot="1" x14ac:dyDescent="0.35">
      <c r="A35" s="34" t="s">
        <v>83</v>
      </c>
      <c r="B35" s="29" t="s">
        <v>44</v>
      </c>
      <c r="C35" s="30" t="s">
        <v>46</v>
      </c>
      <c r="D35" s="30" t="s">
        <v>48</v>
      </c>
      <c r="E35" s="30" t="s">
        <v>50</v>
      </c>
      <c r="F35" s="30" t="s">
        <v>52</v>
      </c>
      <c r="G35" s="30" t="s">
        <v>54</v>
      </c>
      <c r="H35" s="30" t="s">
        <v>56</v>
      </c>
      <c r="I35" s="30" t="s">
        <v>58</v>
      </c>
      <c r="J35" s="30" t="s">
        <v>60</v>
      </c>
      <c r="K35" s="30" t="s">
        <v>64</v>
      </c>
      <c r="L35" s="30" t="s">
        <v>66</v>
      </c>
      <c r="M35" s="30" t="s">
        <v>68</v>
      </c>
      <c r="N35" s="30" t="s">
        <v>71</v>
      </c>
      <c r="O35" s="77" t="s">
        <v>73</v>
      </c>
    </row>
    <row r="36" spans="1:16" ht="24.95" customHeight="1" thickBot="1" x14ac:dyDescent="0.35">
      <c r="A36" s="34"/>
      <c r="B36" s="76" t="s">
        <v>85</v>
      </c>
      <c r="C36" s="112">
        <f>TrainingAndTravelActual[[#Totals],[Jan]]+MarketingActual[[#Totals],[Jan]]+OfficeActual[[#Totals],[Jan]]+EmployeeActual[[#Totals],[Jan]]</f>
        <v>129682</v>
      </c>
      <c r="D36" s="113">
        <f>TrainingAndTravelActual[[#Totals],[Feb]]+MarketingActual[[#Totals],[Feb]]+OfficeActual[[#Totals],[Feb]]+EmployeeActual[[#Totals],[Feb]]</f>
        <v>127804</v>
      </c>
      <c r="E36" s="113">
        <f>TrainingAndTravelActual[[#Totals],[Mar]]+MarketingActual[[#Totals],[Mar]]+OfficeActual[[#Totals],[Mar]]+EmployeeActual[[#Totals],[Mar]]</f>
        <v>125565</v>
      </c>
      <c r="F36" s="113">
        <f>TrainingAndTravelActual[[#Totals],[Apr]]+MarketingActual[[#Totals],[Apr]]+OfficeActual[[#Totals],[Apr]]+EmployeeActual[[#Totals],[Apr]]</f>
        <v>137394</v>
      </c>
      <c r="G36" s="113">
        <f>TrainingAndTravelActual[[#Totals],[May]]+MarketingActual[[#Totals],[May]]+OfficeActual[[#Totals],[May]]+EmployeeActual[[#Totals],[May]]</f>
        <v>128255</v>
      </c>
      <c r="H36" s="113">
        <f>TrainingAndTravelActual[[#Totals],[Jun]]+MarketingActual[[#Totals],[Jun]]+OfficeActual[[#Totals],[Jun]]+EmployeeActual[[#Totals],[Jun]]</f>
        <v>134239</v>
      </c>
      <c r="I36" s="113">
        <f>TrainingAndTravelActual[[#Totals],[Jul]]+MarketingActual[[#Totals],[Jul]]+OfficeActual[[#Totals],[Jul]]+EmployeeActual[[#Totals],[Jul]]</f>
        <v>0</v>
      </c>
      <c r="J36" s="113">
        <f>TrainingAndTravelActual[[#Totals],[Aug]]+MarketingActual[[#Totals],[Aug]]+OfficeActual[[#Totals],[Aug]]+EmployeeActual[[#Totals],[Aug]]</f>
        <v>0</v>
      </c>
      <c r="K36" s="113">
        <f>TrainingAndTravelActual[[#Totals],[Sep]]+MarketingActual[[#Totals],[Sep]]+OfficeActual[[#Totals],[Sep]]+EmployeeActual[[#Totals],[Sep]]</f>
        <v>0</v>
      </c>
      <c r="L36" s="113">
        <f>TrainingAndTravelActual[[#Totals],[Oct]]+MarketingActual[[#Totals],[Oct]]+OfficeActual[[#Totals],[Oct]]+EmployeeActual[[#Totals],[Oct]]</f>
        <v>0</v>
      </c>
      <c r="M36" s="113">
        <f>TrainingAndTravelActual[[#Totals],[Nov]]+MarketingActual[[#Totals],[Nov]]+OfficeActual[[#Totals],[Nov]]+EmployeeActual[[#Totals],[Nov]]</f>
        <v>0</v>
      </c>
      <c r="N36" s="113">
        <f>TrainingAndTravelActual[[#Totals],[Dec]]+MarketingActual[[#Totals],[Dec]]+OfficeActual[[#Totals],[Dec]]+EmployeeActual[[#Totals],[Dec]]</f>
        <v>0</v>
      </c>
      <c r="O36" s="113">
        <f>TrainingAndTravelActual[[#Totals],[YEAR]]+MarketingActual[[#Totals],[YEAR]]+OfficeActual[[#Totals],[YEAR]]+EmployeeActual[[#Totals],[YEAR]]</f>
        <v>782939</v>
      </c>
      <c r="P36"/>
    </row>
    <row r="37" spans="1:16" ht="24.95" customHeight="1" thickBot="1" x14ac:dyDescent="0.35">
      <c r="A37" s="34"/>
      <c r="B37" s="76" t="s">
        <v>86</v>
      </c>
      <c r="C37" s="114">
        <f>SUM($C$36:C36)</f>
        <v>129682</v>
      </c>
      <c r="D37" s="115">
        <f>SUM($C$36:D36)</f>
        <v>257486</v>
      </c>
      <c r="E37" s="115">
        <f>SUM($C$36:E36)</f>
        <v>383051</v>
      </c>
      <c r="F37" s="115">
        <f>SUM($C$36:F36)</f>
        <v>520445</v>
      </c>
      <c r="G37" s="115">
        <f>SUM($C$36:G36)</f>
        <v>648700</v>
      </c>
      <c r="H37" s="116">
        <f>SUM($C$36:H36)</f>
        <v>782939</v>
      </c>
      <c r="I37" s="115">
        <f>SUM($C$36:I36)</f>
        <v>782939</v>
      </c>
      <c r="J37" s="115">
        <f>SUM($C$36:J36)</f>
        <v>782939</v>
      </c>
      <c r="K37" s="115">
        <f>SUM($C$36:K36)</f>
        <v>782939</v>
      </c>
      <c r="L37" s="115">
        <f>SUM($C$36:L36)</f>
        <v>782939</v>
      </c>
      <c r="M37" s="116">
        <f>SUM($C$36:M36)</f>
        <v>782939</v>
      </c>
      <c r="N37" s="115">
        <f>SUM($C$36:N36)</f>
        <v>782939</v>
      </c>
      <c r="O37" s="116"/>
      <c r="P37"/>
    </row>
    <row r="38" spans="1:16" ht="21" customHeight="1" x14ac:dyDescent="0.3">
      <c r="B38" s="2"/>
      <c r="C38" s="2"/>
      <c r="D38" s="2"/>
      <c r="E38" s="2"/>
      <c r="F38" s="2"/>
      <c r="G38" s="2"/>
      <c r="H38" s="2"/>
      <c r="I38" s="2"/>
      <c r="J38" s="2"/>
      <c r="K38" s="2"/>
      <c r="L38" s="14"/>
      <c r="M38" s="14"/>
      <c r="N38" s="14"/>
      <c r="O38" s="14"/>
    </row>
    <row r="39" spans="1:16" ht="21" customHeight="1" x14ac:dyDescent="0.3">
      <c r="B39" s="2"/>
      <c r="C39" s="2"/>
      <c r="D39" s="2"/>
      <c r="E39" s="2"/>
      <c r="F39" s="2"/>
      <c r="G39" s="2"/>
      <c r="H39" s="2"/>
      <c r="I39" s="2"/>
      <c r="J39" s="2"/>
      <c r="K39" s="2"/>
      <c r="L39" s="2"/>
      <c r="M39" s="2"/>
      <c r="N39" s="2"/>
      <c r="O39" s="2"/>
    </row>
    <row r="40" spans="1:16" ht="21" customHeight="1" x14ac:dyDescent="0.3">
      <c r="B40" s="2"/>
      <c r="C40" s="2"/>
      <c r="D40" s="2"/>
      <c r="E40" s="2"/>
      <c r="F40" s="2"/>
      <c r="G40" s="2"/>
      <c r="H40" s="2"/>
      <c r="I40" s="2"/>
      <c r="J40" s="2"/>
      <c r="K40" s="2"/>
      <c r="L40" s="2"/>
      <c r="M40" s="2"/>
      <c r="N40" s="2"/>
      <c r="O40" s="2"/>
    </row>
    <row r="41" spans="1:16" ht="21" customHeight="1" x14ac:dyDescent="0.3">
      <c r="B41" s="2"/>
      <c r="C41" s="2"/>
      <c r="D41" s="2"/>
      <c r="E41" s="2"/>
      <c r="F41" s="2"/>
      <c r="G41" s="2"/>
      <c r="H41" s="2"/>
      <c r="I41" s="2"/>
      <c r="J41" s="2"/>
      <c r="K41" s="2"/>
      <c r="L41" s="2"/>
      <c r="M41" s="2"/>
      <c r="N41" s="2"/>
      <c r="O41" s="2"/>
    </row>
  </sheetData>
  <mergeCells count="8">
    <mergeCell ref="N2:O3"/>
    <mergeCell ref="K2:M2"/>
    <mergeCell ref="K3:M3"/>
    <mergeCell ref="B34:C34"/>
    <mergeCell ref="B29:C29"/>
    <mergeCell ref="B20:C20"/>
    <mergeCell ref="B9:C9"/>
    <mergeCell ref="B2:D3"/>
  </mergeCells>
  <printOptions horizontalCentered="1"/>
  <pageMargins left="0.4" right="0.4" top="0.4" bottom="0.4" header="0.3" footer="0.3"/>
  <pageSetup paperSize="9" fitToHeight="0" orientation="landscape" r:id="rId1"/>
  <headerFooter differentFirst="1">
    <oddFooter>Page &amp;P of &amp;N</oddFooter>
  </headerFooter>
  <ignoredErrors>
    <ignoredError sqref="B2 O31:O33 O22:O28 O11:O19" emptyCellReference="1"/>
    <ignoredError sqref="C36:O37 C7:H7 C6:N6 O7" calculatedColumn="1"/>
    <ignoredError sqref="O6 I7:N7" emptyCellReference="1" calculatedColumn="1"/>
  </ignoredErrors>
  <drawing r:id="rId2"/>
  <tableParts count="5">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7"/>
    <pageSetUpPr autoPageBreaks="0" fitToPage="1"/>
  </sheetPr>
  <dimension ref="A1:P38"/>
  <sheetViews>
    <sheetView showGridLines="0" zoomScaleNormal="100" workbookViewId="0"/>
  </sheetViews>
  <sheetFormatPr defaultColWidth="9.140625" defaultRowHeight="21" customHeight="1" x14ac:dyDescent="0.3"/>
  <cols>
    <col min="1" max="1" width="4.7109375" style="1" customWidth="1"/>
    <col min="2" max="2" width="33.42578125" style="4" customWidth="1"/>
    <col min="3" max="14" width="14.7109375" style="4" customWidth="1"/>
    <col min="15" max="15" width="16.28515625" style="4" customWidth="1"/>
    <col min="16" max="16" width="4.7109375" style="1" customWidth="1"/>
    <col min="17" max="16384" width="9.140625" style="4"/>
  </cols>
  <sheetData>
    <row r="1" spans="1:16" s="1" customFormat="1" ht="24" customHeight="1" x14ac:dyDescent="0.3">
      <c r="A1" s="35" t="s">
        <v>87</v>
      </c>
      <c r="B1" s="10"/>
      <c r="C1" s="10"/>
      <c r="D1" s="10"/>
      <c r="E1" s="10"/>
      <c r="F1" s="7"/>
      <c r="G1" s="7"/>
      <c r="H1" s="7"/>
      <c r="I1" s="7"/>
      <c r="J1" s="7"/>
      <c r="K1" s="7"/>
      <c r="L1" s="7"/>
      <c r="M1" s="7"/>
      <c r="N1" s="7"/>
      <c r="O1" s="7"/>
      <c r="P1" s="67" t="s">
        <v>74</v>
      </c>
    </row>
    <row r="2" spans="1:16" s="1" customFormat="1" ht="45" customHeight="1" x14ac:dyDescent="0.35">
      <c r="A2" s="33" t="s">
        <v>77</v>
      </c>
      <c r="B2" s="129" t="str">
        <f>'PLANNED EXPENSES'!B2:D3</f>
        <v>Company Name</v>
      </c>
      <c r="C2" s="129"/>
      <c r="D2" s="129"/>
      <c r="E2" s="141"/>
      <c r="F2" s="8"/>
      <c r="G2" s="8"/>
      <c r="H2" s="8"/>
      <c r="I2" s="8"/>
      <c r="J2" s="8"/>
      <c r="K2" s="126" t="str">
        <f>worksheet_title</f>
        <v>Detailed Expense Estimates</v>
      </c>
      <c r="L2" s="126"/>
      <c r="M2" s="126"/>
      <c r="N2" s="125" t="s">
        <v>69</v>
      </c>
      <c r="O2" s="125"/>
      <c r="P2" s="7"/>
    </row>
    <row r="3" spans="1:16" s="1" customFormat="1" ht="30" customHeight="1" x14ac:dyDescent="0.3">
      <c r="A3" s="33" t="s">
        <v>10</v>
      </c>
      <c r="B3" s="129"/>
      <c r="C3" s="129"/>
      <c r="D3" s="129"/>
      <c r="E3" s="142"/>
      <c r="F3" s="9"/>
      <c r="G3" s="9"/>
      <c r="H3" s="9"/>
      <c r="I3" s="9"/>
      <c r="J3" s="9"/>
      <c r="K3" s="131" t="s">
        <v>62</v>
      </c>
      <c r="L3" s="131"/>
      <c r="M3" s="131"/>
      <c r="N3" s="125"/>
      <c r="O3" s="125"/>
      <c r="P3" s="7"/>
    </row>
    <row r="4" spans="1:16" s="22" customFormat="1" ht="49.5" customHeight="1" x14ac:dyDescent="0.3">
      <c r="A4" s="36" t="s">
        <v>88</v>
      </c>
      <c r="B4" s="23" t="s">
        <v>94</v>
      </c>
      <c r="C4" s="24" t="s">
        <v>45</v>
      </c>
      <c r="D4" s="24" t="s">
        <v>47</v>
      </c>
      <c r="E4" s="24" t="s">
        <v>49</v>
      </c>
      <c r="F4" s="24" t="s">
        <v>51</v>
      </c>
      <c r="G4" s="24" t="s">
        <v>53</v>
      </c>
      <c r="H4" s="24" t="s">
        <v>55</v>
      </c>
      <c r="I4" s="24" t="s">
        <v>57</v>
      </c>
      <c r="J4" s="24" t="s">
        <v>59</v>
      </c>
      <c r="K4" s="24" t="s">
        <v>63</v>
      </c>
      <c r="L4" s="24" t="s">
        <v>65</v>
      </c>
      <c r="M4" s="24" t="s">
        <v>67</v>
      </c>
      <c r="N4" s="24" t="s">
        <v>70</v>
      </c>
      <c r="O4" s="24" t="s">
        <v>72</v>
      </c>
    </row>
    <row r="5" spans="1:16" s="5" customFormat="1" ht="24.95" customHeight="1" thickBot="1" x14ac:dyDescent="0.35">
      <c r="A5" s="43" t="s">
        <v>89</v>
      </c>
      <c r="B5" s="62" t="s">
        <v>19</v>
      </c>
      <c r="C5" s="78" t="s">
        <v>46</v>
      </c>
      <c r="D5" s="78" t="s">
        <v>48</v>
      </c>
      <c r="E5" s="78" t="s">
        <v>50</v>
      </c>
      <c r="F5" s="78" t="s">
        <v>52</v>
      </c>
      <c r="G5" s="78" t="s">
        <v>54</v>
      </c>
      <c r="H5" s="78" t="s">
        <v>56</v>
      </c>
      <c r="I5" s="78" t="s">
        <v>58</v>
      </c>
      <c r="J5" s="78" t="s">
        <v>60</v>
      </c>
      <c r="K5" s="78" t="s">
        <v>64</v>
      </c>
      <c r="L5" s="78" t="s">
        <v>66</v>
      </c>
      <c r="M5" s="78" t="s">
        <v>68</v>
      </c>
      <c r="N5" s="78" t="s">
        <v>71</v>
      </c>
      <c r="O5" s="79" t="s">
        <v>72</v>
      </c>
      <c r="P5" s="3"/>
    </row>
    <row r="6" spans="1:16" ht="24.95" customHeight="1" thickBot="1" x14ac:dyDescent="0.35">
      <c r="A6" s="34"/>
      <c r="B6" s="49" t="s">
        <v>20</v>
      </c>
      <c r="C6" s="99">
        <f>INDEX(EmployeePlan[],MATCH(INDEX(EmployeeVariances[],ROW()-ROW(EmployeeVariances[[#Headers],[Jan]]),1),INDEX(EmployeePlan[],,1),0),MATCH(EmployeeVariances[[#Headers],[Jan]],EmployeePlan[#Headers],0))-INDEX(EmployeeActual[],MATCH(INDEX(EmployeeVariances[],ROW()-ROW(EmployeeVariances[[#Headers],[Jan]]),1),INDEX(EmployeePlan[],,1),0),MATCH(EmployeeVariances[[#Headers],[Jan]],EmployeeActual[#Headers],0))</f>
        <v>0</v>
      </c>
      <c r="D6" s="100">
        <f>INDEX(EmployeePlan[],MATCH(INDEX(EmployeeVariances[],ROW()-ROW(EmployeeVariances[[#Headers],[Feb]]),1),INDEX(EmployeePlan[],,1),0),MATCH(EmployeeVariances[[#Headers],[Feb]],EmployeePlan[#Headers],0))-INDEX(EmployeeActual[],MATCH(INDEX(EmployeeVariances[],ROW()-ROW(EmployeeVariances[[#Headers],[Feb]]),1),INDEX(EmployeePlan[],,1),0),MATCH(EmployeeVariances[[#Headers],[Feb]],EmployeeActual[#Headers],0))</f>
        <v>0</v>
      </c>
      <c r="E6" s="100">
        <f>INDEX(EmployeePlan[],MATCH(INDEX(EmployeeVariances[],ROW()-ROW(EmployeeVariances[[#Headers],[Mar]]),1),INDEX(EmployeePlan[],,1),0),MATCH(EmployeeVariances[[#Headers],[Mar]],EmployeePlan[#Headers],0))-INDEX(EmployeeActual[],MATCH(INDEX(EmployeeVariances[],ROW()-ROW(EmployeeVariances[[#Headers],[Mar]]),1),INDEX(EmployeePlan[],,1),0),MATCH(EmployeeVariances[[#Headers],[Mar]],EmployeeActual[#Headers],0))</f>
        <v>0</v>
      </c>
      <c r="F6" s="100">
        <f>INDEX(EmployeePlan[],MATCH(INDEX(EmployeeVariances[],ROW()-ROW(EmployeeVariances[[#Headers],[Apr]]),1),INDEX(EmployeePlan[],,1),0),MATCH(EmployeeVariances[[#Headers],[Apr]],EmployeePlan[#Headers],0))-INDEX(EmployeeActual[],MATCH(INDEX(EmployeeVariances[],ROW()-ROW(EmployeeVariances[[#Headers],[Apr]]),1),INDEX(EmployeePlan[],,1),0),MATCH(EmployeeVariances[[#Headers],[Apr]],EmployeeActual[#Headers],0))</f>
        <v>-500</v>
      </c>
      <c r="G6" s="100">
        <f>INDEX(EmployeePlan[],MATCH(INDEX(EmployeeVariances[],ROW()-ROW(EmployeeVariances[[#Headers],[May]]),1),INDEX(EmployeePlan[],,1),0),MATCH(EmployeeVariances[[#Headers],[May]],EmployeePlan[#Headers],0))-INDEX(EmployeeActual[],MATCH(INDEX(EmployeeVariances[],ROW()-ROW(EmployeeVariances[[#Headers],[May]]),1),INDEX(EmployeePlan[],,1),0),MATCH(EmployeeVariances[[#Headers],[May]],EmployeeActual[#Headers],0))</f>
        <v>-500</v>
      </c>
      <c r="H6" s="100">
        <f>INDEX(EmployeePlan[],MATCH(INDEX(EmployeeVariances[],ROW()-ROW(EmployeeVariances[[#Headers],[Jun]]),1),INDEX(EmployeePlan[],,1),0),MATCH(EmployeeVariances[[#Headers],[Jun]],EmployeePlan[#Headers],0))-INDEX(EmployeeActual[],MATCH(INDEX(EmployeeVariances[],ROW()-ROW(EmployeeVariances[[#Headers],[Jun]]),1),INDEX(EmployeePlan[],,1),0),MATCH(EmployeeVariances[[#Headers],[Jun]],EmployeeActual[#Headers],0))</f>
        <v>-500</v>
      </c>
      <c r="I6" s="100">
        <f>INDEX(EmployeePlan[],MATCH(INDEX(EmployeeVariances[],ROW()-ROW(EmployeeVariances[[#Headers],[Jul]]),1),INDEX(EmployeePlan[],,1),0),MATCH(EmployeeVariances[[#Headers],[Jul]],EmployeePlan[#Headers],0))-INDEX(EmployeeActual[],MATCH(INDEX(EmployeeVariances[],ROW()-ROW(EmployeeVariances[[#Headers],[Jul]]),1),INDEX(EmployeePlan[],,1),0),MATCH(EmployeeVariances[[#Headers],[Jul]],EmployeeActual[#Headers],0))</f>
        <v>87500</v>
      </c>
      <c r="J6" s="100">
        <f>INDEX(EmployeePlan[],MATCH(INDEX(EmployeeVariances[],ROW()-ROW(EmployeeVariances[[#Headers],[Aug]]),1),INDEX(EmployeePlan[],,1),0),MATCH(EmployeeVariances[[#Headers],[Aug]],EmployeePlan[#Headers],0))-INDEX(EmployeeActual[],MATCH(INDEX(EmployeeVariances[],ROW()-ROW(EmployeeVariances[[#Headers],[Aug]]),1),INDEX(EmployeePlan[],,1),0),MATCH(EmployeeVariances[[#Headers],[Aug]],EmployeeActual[#Headers],0))</f>
        <v>92400</v>
      </c>
      <c r="K6" s="100">
        <f>INDEX(EmployeePlan[],MATCH(INDEX(EmployeeVariances[],ROW()-ROW(EmployeeVariances[[#Headers],[Sep]]),1),INDEX(EmployeePlan[],,1),0),MATCH(EmployeeVariances[[#Headers],[Sep]],EmployeePlan[#Headers],0))-INDEX(EmployeeActual[],MATCH(INDEX(EmployeeVariances[],ROW()-ROW(EmployeeVariances[[#Headers],[Sep]]),1),INDEX(EmployeePlan[],,1),0),MATCH(EmployeeVariances[[#Headers],[Sep]],EmployeeActual[#Headers],0))</f>
        <v>92400</v>
      </c>
      <c r="L6" s="100">
        <f>INDEX(EmployeePlan[],MATCH(INDEX(EmployeeVariances[],ROW()-ROW(EmployeeVariances[[#Headers],[Oct]]),1),INDEX(EmployeePlan[],,1),0),MATCH(EmployeeVariances[[#Headers],[Oct]],EmployeePlan[#Headers],0))-INDEX(EmployeeActual[],MATCH(INDEX(EmployeeVariances[],ROW()-ROW(EmployeeVariances[[#Headers],[Oct]]),1),INDEX(EmployeePlan[],,1),0),MATCH(EmployeeVariances[[#Headers],[Oct]],EmployeeActual[#Headers],0))</f>
        <v>92400</v>
      </c>
      <c r="M6" s="100">
        <f>INDEX(EmployeePlan[],MATCH(INDEX(EmployeeVariances[],ROW()-ROW(EmployeeVariances[[#Headers],[Nov]]),1),INDEX(EmployeePlan[],,1),0),MATCH(EmployeeVariances[[#Headers],[Nov]],EmployeePlan[#Headers],0))-INDEX(EmployeeActual[],MATCH(INDEX(EmployeeVariances[],ROW()-ROW(EmployeeVariances[[#Headers],[Nov]]),1),INDEX(EmployeePlan[],,1),0),MATCH(EmployeeVariances[[#Headers],[Nov]],EmployeeActual[#Headers],0))</f>
        <v>92400</v>
      </c>
      <c r="N6" s="100">
        <f>INDEX(EmployeePlan[],MATCH(INDEX(EmployeeVariances[],ROW()-ROW(EmployeeVariances[[#Headers],[Dec]]),1),INDEX(EmployeePlan[],,1),0),MATCH(EmployeeVariances[[#Headers],[Dec]],EmployeePlan[#Headers],0))-INDEX(EmployeeActual[],MATCH(INDEX(EmployeeVariances[],ROW()-ROW(EmployeeVariances[[#Headers],[Dec]]),1),INDEX(EmployeePlan[],,1),0),MATCH(EmployeeVariances[[#Headers],[Dec]],EmployeeActual[#Headers],0))</f>
        <v>92400</v>
      </c>
      <c r="O6" s="101">
        <f>SUM(EmployeeVariances[[#This Row],[Jan]:[Dec]])</f>
        <v>548000</v>
      </c>
    </row>
    <row r="7" spans="1:16" ht="24.95" customHeight="1" thickBot="1" x14ac:dyDescent="0.35">
      <c r="A7" s="34"/>
      <c r="B7" s="49" t="s">
        <v>21</v>
      </c>
      <c r="C7" s="99">
        <f>INDEX(EmployeePlan[],MATCH(INDEX(EmployeeVariances[],ROW()-ROW(EmployeeVariances[[#Headers],[Jan]]),1),INDEX(EmployeePlan[],,1),0),MATCH(EmployeeVariances[[#Headers],[Jan]],EmployeePlan[#Headers],0))-INDEX(EmployeeActual[],MATCH(INDEX(EmployeeVariances[],ROW()-ROW(EmployeeVariances[[#Headers],[Jan]]),1),INDEX(EmployeePlan[],,1),0),MATCH(EmployeeVariances[[#Headers],[Jan]],EmployeeActual[#Headers],0))</f>
        <v>0</v>
      </c>
      <c r="D7" s="100">
        <f>INDEX(EmployeePlan[],MATCH(INDEX(EmployeeVariances[],ROW()-ROW(EmployeeVariances[[#Headers],[Feb]]),1),INDEX(EmployeePlan[],,1),0),MATCH(EmployeeVariances[[#Headers],[Feb]],EmployeePlan[#Headers],0))-INDEX(EmployeeActual[],MATCH(INDEX(EmployeeVariances[],ROW()-ROW(EmployeeVariances[[#Headers],[Feb]]),1),INDEX(EmployeePlan[],,1),0),MATCH(EmployeeVariances[[#Headers],[Feb]],EmployeeActual[#Headers],0))</f>
        <v>0</v>
      </c>
      <c r="E7" s="100">
        <f>INDEX(EmployeePlan[],MATCH(INDEX(EmployeeVariances[],ROW()-ROW(EmployeeVariances[[#Headers],[Mar]]),1),INDEX(EmployeePlan[],,1),0),MATCH(EmployeeVariances[[#Headers],[Mar]],EmployeePlan[#Headers],0))-INDEX(EmployeeActual[],MATCH(INDEX(EmployeeVariances[],ROW()-ROW(EmployeeVariances[[#Headers],[Mar]]),1),INDEX(EmployeePlan[],,1),0),MATCH(EmployeeVariances[[#Headers],[Mar]],EmployeeActual[#Headers],0))</f>
        <v>0</v>
      </c>
      <c r="F7" s="100">
        <f>INDEX(EmployeePlan[],MATCH(INDEX(EmployeeVariances[],ROW()-ROW(EmployeeVariances[[#Headers],[Apr]]),1),INDEX(EmployeePlan[],,1),0),MATCH(EmployeeVariances[[#Headers],[Apr]],EmployeePlan[#Headers],0))-INDEX(EmployeeActual[],MATCH(INDEX(EmployeeVariances[],ROW()-ROW(EmployeeVariances[[#Headers],[Apr]]),1),INDEX(EmployeePlan[],,1),0),MATCH(EmployeeVariances[[#Headers],[Apr]],EmployeeActual[#Headers],0))</f>
        <v>-135</v>
      </c>
      <c r="G7" s="100">
        <f>INDEX(EmployeePlan[],MATCH(INDEX(EmployeeVariances[],ROW()-ROW(EmployeeVariances[[#Headers],[May]]),1),INDEX(EmployeePlan[],,1),0),MATCH(EmployeeVariances[[#Headers],[May]],EmployeePlan[#Headers],0))-INDEX(EmployeeActual[],MATCH(INDEX(EmployeeVariances[],ROW()-ROW(EmployeeVariances[[#Headers],[May]]),1),INDEX(EmployeePlan[],,1),0),MATCH(EmployeeVariances[[#Headers],[May]],EmployeeActual[#Headers],0))</f>
        <v>-135</v>
      </c>
      <c r="H7" s="100">
        <f>INDEX(EmployeePlan[],MATCH(INDEX(EmployeeVariances[],ROW()-ROW(EmployeeVariances[[#Headers],[Jun]]),1),INDEX(EmployeePlan[],,1),0),MATCH(EmployeeVariances[[#Headers],[Jun]],EmployeePlan[#Headers],0))-INDEX(EmployeeActual[],MATCH(INDEX(EmployeeVariances[],ROW()-ROW(EmployeeVariances[[#Headers],[Jun]]),1),INDEX(EmployeePlan[],,1),0),MATCH(EmployeeVariances[[#Headers],[Jun]],EmployeeActual[#Headers],0))</f>
        <v>-135</v>
      </c>
      <c r="I7" s="100">
        <f>INDEX(EmployeePlan[],MATCH(INDEX(EmployeeVariances[],ROW()-ROW(EmployeeVariances[[#Headers],[Jul]]),1),INDEX(EmployeePlan[],,1),0),MATCH(EmployeeVariances[[#Headers],[Jul]],EmployeePlan[#Headers],0))-INDEX(EmployeeActual[],MATCH(INDEX(EmployeeVariances[],ROW()-ROW(EmployeeVariances[[#Headers],[Jul]]),1),INDEX(EmployeePlan[],,1),0),MATCH(EmployeeVariances[[#Headers],[Jul]],EmployeeActual[#Headers],0))</f>
        <v>23625</v>
      </c>
      <c r="J7" s="100">
        <f>INDEX(EmployeePlan[],MATCH(INDEX(EmployeeVariances[],ROW()-ROW(EmployeeVariances[[#Headers],[Aug]]),1),INDEX(EmployeePlan[],,1),0),MATCH(EmployeeVariances[[#Headers],[Aug]],EmployeePlan[#Headers],0))-INDEX(EmployeeActual[],MATCH(INDEX(EmployeeVariances[],ROW()-ROW(EmployeeVariances[[#Headers],[Aug]]),1),INDEX(EmployeePlan[],,1),0),MATCH(EmployeeVariances[[#Headers],[Aug]],EmployeeActual[#Headers],0))</f>
        <v>24948</v>
      </c>
      <c r="K7" s="100">
        <f>INDEX(EmployeePlan[],MATCH(INDEX(EmployeeVariances[],ROW()-ROW(EmployeeVariances[[#Headers],[Sep]]),1),INDEX(EmployeePlan[],,1),0),MATCH(EmployeeVariances[[#Headers],[Sep]],EmployeePlan[#Headers],0))-INDEX(EmployeeActual[],MATCH(INDEX(EmployeeVariances[],ROW()-ROW(EmployeeVariances[[#Headers],[Sep]]),1),INDEX(EmployeePlan[],,1),0),MATCH(EmployeeVariances[[#Headers],[Sep]],EmployeeActual[#Headers],0))</f>
        <v>24948</v>
      </c>
      <c r="L7" s="100">
        <f>INDEX(EmployeePlan[],MATCH(INDEX(EmployeeVariances[],ROW()-ROW(EmployeeVariances[[#Headers],[Oct]]),1),INDEX(EmployeePlan[],,1),0),MATCH(EmployeeVariances[[#Headers],[Oct]],EmployeePlan[#Headers],0))-INDEX(EmployeeActual[],MATCH(INDEX(EmployeeVariances[],ROW()-ROW(EmployeeVariances[[#Headers],[Oct]]),1),INDEX(EmployeePlan[],,1),0),MATCH(EmployeeVariances[[#Headers],[Oct]],EmployeeActual[#Headers],0))</f>
        <v>24948</v>
      </c>
      <c r="M7" s="100">
        <f>INDEX(EmployeePlan[],MATCH(INDEX(EmployeeVariances[],ROW()-ROW(EmployeeVariances[[#Headers],[Nov]]),1),INDEX(EmployeePlan[],,1),0),MATCH(EmployeeVariances[[#Headers],[Nov]],EmployeePlan[#Headers],0))-INDEX(EmployeeActual[],MATCH(INDEX(EmployeeVariances[],ROW()-ROW(EmployeeVariances[[#Headers],[Nov]]),1),INDEX(EmployeePlan[],,1),0),MATCH(EmployeeVariances[[#Headers],[Nov]],EmployeeActual[#Headers],0))</f>
        <v>24948</v>
      </c>
      <c r="N7" s="100">
        <f>INDEX(EmployeePlan[],MATCH(INDEX(EmployeeVariances[],ROW()-ROW(EmployeeVariances[[#Headers],[Dec]]),1),INDEX(EmployeePlan[],,1),0),MATCH(EmployeeVariances[[#Headers],[Dec]],EmployeePlan[#Headers],0))-INDEX(EmployeeActual[],MATCH(INDEX(EmployeeVariances[],ROW()-ROW(EmployeeVariances[[#Headers],[Dec]]),1),INDEX(EmployeePlan[],,1),0),MATCH(EmployeeVariances[[#Headers],[Dec]],EmployeeActual[#Headers],0))</f>
        <v>24948</v>
      </c>
      <c r="O7" s="101">
        <f>SUM(EmployeeVariances[[#This Row],[Jan]:[Dec]])</f>
        <v>147960</v>
      </c>
    </row>
    <row r="8" spans="1:16" ht="24.95" customHeight="1" x14ac:dyDescent="0.3">
      <c r="A8" s="34"/>
      <c r="B8" s="80" t="s">
        <v>22</v>
      </c>
      <c r="C8" s="109">
        <f>SUBTOTAL(109,EmployeeVariances[Jan])</f>
        <v>0</v>
      </c>
      <c r="D8" s="109">
        <f>SUBTOTAL(109,EmployeeVariances[Feb])</f>
        <v>0</v>
      </c>
      <c r="E8" s="109">
        <f>SUBTOTAL(109,EmployeeVariances[Mar])</f>
        <v>0</v>
      </c>
      <c r="F8" s="109">
        <f>SUBTOTAL(109,EmployeeVariances[Apr])</f>
        <v>-635</v>
      </c>
      <c r="G8" s="109">
        <f>SUBTOTAL(109,EmployeeVariances[May])</f>
        <v>-635</v>
      </c>
      <c r="H8" s="109">
        <f>SUBTOTAL(109,EmployeeVariances[Jun])</f>
        <v>-635</v>
      </c>
      <c r="I8" s="109">
        <f>SUBTOTAL(109,EmployeeVariances[Jul])</f>
        <v>111125</v>
      </c>
      <c r="J8" s="109">
        <f>SUBTOTAL(109,EmployeeVariances[Aug])</f>
        <v>117348</v>
      </c>
      <c r="K8" s="109">
        <f>SUBTOTAL(109,EmployeeVariances[Sep])</f>
        <v>117348</v>
      </c>
      <c r="L8" s="109">
        <f>SUBTOTAL(109,EmployeeVariances[Oct])</f>
        <v>117348</v>
      </c>
      <c r="M8" s="109">
        <f>SUBTOTAL(109,EmployeeVariances[Nov])</f>
        <v>117348</v>
      </c>
      <c r="N8" s="109">
        <f>SUBTOTAL(109,EmployeeVariances[Dec])</f>
        <v>117348</v>
      </c>
      <c r="O8" s="110">
        <f>SUBTOTAL(109,EmployeeVariances[YEAR])</f>
        <v>695960</v>
      </c>
    </row>
    <row r="9" spans="1:16" ht="21" customHeight="1" x14ac:dyDescent="0.3">
      <c r="A9" s="34"/>
      <c r="B9" s="132"/>
      <c r="C9" s="132"/>
      <c r="D9" s="145"/>
      <c r="E9" s="145"/>
      <c r="F9" s="145"/>
      <c r="G9" s="145"/>
      <c r="H9" s="145"/>
      <c r="I9" s="145"/>
      <c r="J9" s="145"/>
      <c r="K9" s="145"/>
      <c r="L9" s="145"/>
      <c r="M9" s="145"/>
      <c r="N9" s="145"/>
      <c r="O9" s="143"/>
    </row>
    <row r="10" spans="1:16" ht="24.95" customHeight="1" thickBot="1" x14ac:dyDescent="0.35">
      <c r="A10" s="34" t="s">
        <v>90</v>
      </c>
      <c r="B10" s="52" t="s">
        <v>23</v>
      </c>
      <c r="C10" s="68" t="s">
        <v>46</v>
      </c>
      <c r="D10" s="68" t="s">
        <v>48</v>
      </c>
      <c r="E10" s="107" t="s">
        <v>50</v>
      </c>
      <c r="F10" s="68" t="s">
        <v>52</v>
      </c>
      <c r="G10" s="68" t="s">
        <v>54</v>
      </c>
      <c r="H10" s="68" t="s">
        <v>56</v>
      </c>
      <c r="I10" s="68" t="s">
        <v>58</v>
      </c>
      <c r="J10" s="68" t="s">
        <v>60</v>
      </c>
      <c r="K10" s="68" t="s">
        <v>64</v>
      </c>
      <c r="L10" s="68" t="s">
        <v>66</v>
      </c>
      <c r="M10" s="68" t="s">
        <v>68</v>
      </c>
      <c r="N10" s="68" t="s">
        <v>71</v>
      </c>
      <c r="O10" s="69" t="s">
        <v>72</v>
      </c>
    </row>
    <row r="11" spans="1:16" ht="24.95" customHeight="1" thickBot="1" x14ac:dyDescent="0.35">
      <c r="A11" s="34"/>
      <c r="B11" s="70" t="s">
        <v>24</v>
      </c>
      <c r="C11" s="100">
        <f>INDEX(OfficePlan[],MATCH(INDEX(OfficeVariances[],ROW()-ROW(OfficeVariances[[#Headers],[Jan]]),1),INDEX(OfficePlan[],,1),0),MATCH(OfficeVariances[[#Headers],[Jan]],OfficePlan[#Headers],0))-INDEX(OfficeActual[],MATCH(INDEX(OfficeVariances[],ROW()-ROW(OfficeVariances[[#Headers],[Jan]]),1),INDEX(OfficePlan[],,1),0),MATCH(OfficeVariances[[#Headers],[Jan]],OfficeActual[#Headers],0))</f>
        <v>0</v>
      </c>
      <c r="D11" s="100">
        <f>INDEX(OfficePlan[],MATCH(INDEX(OfficeVariances[],ROW()-ROW(OfficeVariances[[#Headers],[Feb]]),1),INDEX(OfficePlan[],,1),0),MATCH(OfficeVariances[[#Headers],[Feb]],OfficePlan[#Headers],0))-INDEX(OfficeActual[],MATCH(INDEX(OfficeVariances[],ROW()-ROW(OfficeVariances[[#Headers],[Feb]]),1),INDEX(OfficePlan[],,1),0),MATCH(OfficeVariances[[#Headers],[Feb]],OfficeActual[#Headers],0))</f>
        <v>0</v>
      </c>
      <c r="E11" s="100">
        <f>INDEX(OfficePlan[],MATCH(INDEX(OfficeVariances[],ROW()-ROW(OfficeVariances[[#Headers],[Mar]]),1),INDEX(OfficePlan[],,1),0),MATCH(OfficeVariances[[#Headers],[Mar]],OfficePlan[#Headers],0))-INDEX(OfficeActual[],MATCH(INDEX(OfficeVariances[],ROW()-ROW(OfficeVariances[[#Headers],[Mar]]),1),INDEX(OfficePlan[],,1),0),MATCH(OfficeVariances[[#Headers],[Mar]],OfficeActual[#Headers],0))</f>
        <v>0</v>
      </c>
      <c r="F11" s="100">
        <f>INDEX(OfficePlan[],MATCH(INDEX(OfficeVariances[],ROW()-ROW(OfficeVariances[[#Headers],[Apr]]),1),INDEX(OfficePlan[],,1),0),MATCH(OfficeVariances[[#Headers],[Apr]],OfficePlan[#Headers],0))-INDEX(OfficeActual[],MATCH(INDEX(OfficeVariances[],ROW()-ROW(OfficeVariances[[#Headers],[Apr]]),1),INDEX(OfficePlan[],,1),0),MATCH(OfficeVariances[[#Headers],[Apr]],OfficeActual[#Headers],0))</f>
        <v>0</v>
      </c>
      <c r="G11" s="100">
        <f>INDEX(OfficePlan[],MATCH(INDEX(OfficeVariances[],ROW()-ROW(OfficeVariances[[#Headers],[May]]),1),INDEX(OfficePlan[],,1),0),MATCH(OfficeVariances[[#Headers],[May]],OfficePlan[#Headers],0))-INDEX(OfficeActual[],MATCH(INDEX(OfficeVariances[],ROW()-ROW(OfficeVariances[[#Headers],[May]]),1),INDEX(OfficePlan[],,1),0),MATCH(OfficeVariances[[#Headers],[May]],OfficeActual[#Headers],0))</f>
        <v>0</v>
      </c>
      <c r="H11" s="100">
        <f>INDEX(OfficePlan[],MATCH(INDEX(OfficeVariances[],ROW()-ROW(OfficeVariances[[#Headers],[Jun]]),1),INDEX(OfficePlan[],,1),0),MATCH(OfficeVariances[[#Headers],[Jun]],OfficePlan[#Headers],0))-INDEX(OfficeActual[],MATCH(INDEX(OfficeVariances[],ROW()-ROW(OfficeVariances[[#Headers],[Jun]]),1),INDEX(OfficePlan[],,1),0),MATCH(OfficeVariances[[#Headers],[Jun]],OfficeActual[#Headers],0))</f>
        <v>0</v>
      </c>
      <c r="I11" s="100">
        <f>INDEX(OfficePlan[],MATCH(INDEX(OfficeVariances[],ROW()-ROW(OfficeVariances[[#Headers],[Jul]]),1),INDEX(OfficePlan[],,1),0),MATCH(OfficeVariances[[#Headers],[Jul]],OfficePlan[#Headers],0))-INDEX(OfficeActual[],MATCH(INDEX(OfficeVariances[],ROW()-ROW(OfficeVariances[[#Headers],[Jul]]),1),INDEX(OfficePlan[],,1),0),MATCH(OfficeVariances[[#Headers],[Jul]],OfficeActual[#Headers],0))</f>
        <v>9800</v>
      </c>
      <c r="J11" s="100">
        <f>INDEX(OfficePlan[],MATCH(INDEX(OfficeVariances[],ROW()-ROW(OfficeVariances[[#Headers],[Aug]]),1),INDEX(OfficePlan[],,1),0),MATCH(OfficeVariances[[#Headers],[Aug]],OfficePlan[#Headers],0))-INDEX(OfficeActual[],MATCH(INDEX(OfficeVariances[],ROW()-ROW(OfficeVariances[[#Headers],[Aug]]),1),INDEX(OfficePlan[],,1),0),MATCH(OfficeVariances[[#Headers],[Aug]],OfficeActual[#Headers],0))</f>
        <v>9800</v>
      </c>
      <c r="K11" s="100">
        <f>INDEX(OfficePlan[],MATCH(INDEX(OfficeVariances[],ROW()-ROW(OfficeVariances[[#Headers],[Sep]]),1),INDEX(OfficePlan[],,1),0),MATCH(OfficeVariances[[#Headers],[Sep]],OfficePlan[#Headers],0))-INDEX(OfficeActual[],MATCH(INDEX(OfficeVariances[],ROW()-ROW(OfficeVariances[[#Headers],[Sep]]),1),INDEX(OfficePlan[],,1),0),MATCH(OfficeVariances[[#Headers],[Sep]],OfficeActual[#Headers],0))</f>
        <v>9800</v>
      </c>
      <c r="L11" s="100">
        <f>INDEX(OfficePlan[],MATCH(INDEX(OfficeVariances[],ROW()-ROW(OfficeVariances[[#Headers],[Oct]]),1),INDEX(OfficePlan[],,1),0),MATCH(OfficeVariances[[#Headers],[Oct]],OfficePlan[#Headers],0))-INDEX(OfficeActual[],MATCH(INDEX(OfficeVariances[],ROW()-ROW(OfficeVariances[[#Headers],[Oct]]),1),INDEX(OfficePlan[],,1),0),MATCH(OfficeVariances[[#Headers],[Oct]],OfficeActual[#Headers],0))</f>
        <v>9800</v>
      </c>
      <c r="M11" s="100">
        <f>INDEX(OfficePlan[],MATCH(INDEX(OfficeVariances[],ROW()-ROW(OfficeVariances[[#Headers],[Nov]]),1),INDEX(OfficePlan[],,1),0),MATCH(OfficeVariances[[#Headers],[Nov]],OfficePlan[#Headers],0))-INDEX(OfficeActual[],MATCH(INDEX(OfficeVariances[],ROW()-ROW(OfficeVariances[[#Headers],[Nov]]),1),INDEX(OfficePlan[],,1),0),MATCH(OfficeVariances[[#Headers],[Nov]],OfficeActual[#Headers],0))</f>
        <v>9800</v>
      </c>
      <c r="N11" s="100">
        <f>INDEX(OfficePlan[],MATCH(INDEX(OfficeVariances[],ROW()-ROW(OfficeVariances[[#Headers],[Dec]]),1),INDEX(OfficePlan[],,1),0),MATCH(OfficeVariances[[#Headers],[Dec]],OfficePlan[#Headers],0))-INDEX(OfficeActual[],MATCH(INDEX(OfficeVariances[],ROW()-ROW(OfficeVariances[[#Headers],[Dec]]),1),INDEX(OfficePlan[],,1),0),MATCH(OfficeVariances[[#Headers],[Dec]],OfficeActual[#Headers],0))</f>
        <v>9800</v>
      </c>
      <c r="O11" s="101">
        <f>SUM(OfficeVariances[[#This Row],[Jan]:[Dec]])</f>
        <v>58800</v>
      </c>
    </row>
    <row r="12" spans="1:16" ht="24.95" customHeight="1" thickBot="1" x14ac:dyDescent="0.35">
      <c r="A12" s="34"/>
      <c r="B12" s="70" t="s">
        <v>25</v>
      </c>
      <c r="C12" s="100">
        <f>INDEX(OfficePlan[],MATCH(INDEX(OfficeVariances[],ROW()-ROW(OfficeVariances[[#Headers],[Jan]]),1),INDEX(OfficePlan[],,1),0),MATCH(OfficeVariances[[#Headers],[Jan]],OfficePlan[#Headers],0))-INDEX(OfficeActual[],MATCH(INDEX(OfficeVariances[],ROW()-ROW(OfficeVariances[[#Headers],[Jan]]),1),INDEX(OfficePlan[],,1),0),MATCH(OfficeVariances[[#Headers],[Jan]],OfficeActual[#Headers],0))</f>
        <v>-4</v>
      </c>
      <c r="D12" s="100">
        <f>INDEX(OfficePlan[],MATCH(INDEX(OfficeVariances[],ROW()-ROW(OfficeVariances[[#Headers],[Feb]]),1),INDEX(OfficePlan[],,1),0),MATCH(OfficeVariances[[#Headers],[Feb]],OfficePlan[#Headers],0))-INDEX(OfficeActual[],MATCH(INDEX(OfficeVariances[],ROW()-ROW(OfficeVariances[[#Headers],[Feb]]),1),INDEX(OfficePlan[],,1),0),MATCH(OfficeVariances[[#Headers],[Feb]],OfficeActual[#Headers],0))</f>
        <v>-30</v>
      </c>
      <c r="E12" s="100">
        <f>INDEX(OfficePlan[],MATCH(INDEX(OfficeVariances[],ROW()-ROW(OfficeVariances[[#Headers],[Mar]]),1),INDEX(OfficePlan[],,1),0),MATCH(OfficeVariances[[#Headers],[Mar]],OfficePlan[#Headers],0))-INDEX(OfficeActual[],MATCH(INDEX(OfficeVariances[],ROW()-ROW(OfficeVariances[[#Headers],[Mar]]),1),INDEX(OfficePlan[],,1),0),MATCH(OfficeVariances[[#Headers],[Mar]],OfficeActual[#Headers],0))</f>
        <v>15</v>
      </c>
      <c r="F12" s="100">
        <f>INDEX(OfficePlan[],MATCH(INDEX(OfficeVariances[],ROW()-ROW(OfficeVariances[[#Headers],[Apr]]),1),INDEX(OfficePlan[],,1),0),MATCH(OfficeVariances[[#Headers],[Apr]],OfficePlan[#Headers],0))-INDEX(OfficeActual[],MATCH(INDEX(OfficeVariances[],ROW()-ROW(OfficeVariances[[#Headers],[Apr]]),1),INDEX(OfficePlan[],,1),0),MATCH(OfficeVariances[[#Headers],[Apr]],OfficeActual[#Headers],0))</f>
        <v>-130</v>
      </c>
      <c r="G12" s="100">
        <f>INDEX(OfficePlan[],MATCH(INDEX(OfficeVariances[],ROW()-ROW(OfficeVariances[[#Headers],[May]]),1),INDEX(OfficePlan[],,1),0),MATCH(OfficeVariances[[#Headers],[May]],OfficePlan[#Headers],0))-INDEX(OfficeActual[],MATCH(INDEX(OfficeVariances[],ROW()-ROW(OfficeVariances[[#Headers],[May]]),1),INDEX(OfficePlan[],,1),0),MATCH(OfficeVariances[[#Headers],[May]],OfficeActual[#Headers],0))</f>
        <v>13</v>
      </c>
      <c r="H12" s="100">
        <f>INDEX(OfficePlan[],MATCH(INDEX(OfficeVariances[],ROW()-ROW(OfficeVariances[[#Headers],[Jun]]),1),INDEX(OfficePlan[],,1),0),MATCH(OfficeVariances[[#Headers],[Jun]],OfficePlan[#Headers],0))-INDEX(OfficeActual[],MATCH(INDEX(OfficeVariances[],ROW()-ROW(OfficeVariances[[#Headers],[Jun]]),1),INDEX(OfficePlan[],,1),0),MATCH(OfficeVariances[[#Headers],[Jun]],OfficeActual[#Headers],0))</f>
        <v>12</v>
      </c>
      <c r="I12" s="100">
        <f>INDEX(OfficePlan[],MATCH(INDEX(OfficeVariances[],ROW()-ROW(OfficeVariances[[#Headers],[Jul]]),1),INDEX(OfficePlan[],,1),0),MATCH(OfficeVariances[[#Headers],[Jul]],OfficePlan[#Headers],0))-INDEX(OfficeActual[],MATCH(INDEX(OfficeVariances[],ROW()-ROW(OfficeVariances[[#Headers],[Jul]]),1),INDEX(OfficePlan[],,1),0),MATCH(OfficeVariances[[#Headers],[Jul]],OfficeActual[#Headers],0))</f>
        <v>100</v>
      </c>
      <c r="J12" s="100">
        <f>INDEX(OfficePlan[],MATCH(INDEX(OfficeVariances[],ROW()-ROW(OfficeVariances[[#Headers],[Aug]]),1),INDEX(OfficePlan[],,1),0),MATCH(OfficeVariances[[#Headers],[Aug]],OfficePlan[#Headers],0))-INDEX(OfficeActual[],MATCH(INDEX(OfficeVariances[],ROW()-ROW(OfficeVariances[[#Headers],[Aug]]),1),INDEX(OfficePlan[],,1),0),MATCH(OfficeVariances[[#Headers],[Aug]],OfficeActual[#Headers],0))</f>
        <v>100</v>
      </c>
      <c r="K12" s="100">
        <f>INDEX(OfficePlan[],MATCH(INDEX(OfficeVariances[],ROW()-ROW(OfficeVariances[[#Headers],[Sep]]),1),INDEX(OfficePlan[],,1),0),MATCH(OfficeVariances[[#Headers],[Sep]],OfficePlan[#Headers],0))-INDEX(OfficeActual[],MATCH(INDEX(OfficeVariances[],ROW()-ROW(OfficeVariances[[#Headers],[Sep]]),1),INDEX(OfficePlan[],,1),0),MATCH(OfficeVariances[[#Headers],[Sep]],OfficeActual[#Headers],0))</f>
        <v>100</v>
      </c>
      <c r="L12" s="100">
        <f>INDEX(OfficePlan[],MATCH(INDEX(OfficeVariances[],ROW()-ROW(OfficeVariances[[#Headers],[Oct]]),1),INDEX(OfficePlan[],,1),0),MATCH(OfficeVariances[[#Headers],[Oct]],OfficePlan[#Headers],0))-INDEX(OfficeActual[],MATCH(INDEX(OfficeVariances[],ROW()-ROW(OfficeVariances[[#Headers],[Oct]]),1),INDEX(OfficePlan[],,1),0),MATCH(OfficeVariances[[#Headers],[Oct]],OfficeActual[#Headers],0))</f>
        <v>100</v>
      </c>
      <c r="M12" s="100">
        <f>INDEX(OfficePlan[],MATCH(INDEX(OfficeVariances[],ROW()-ROW(OfficeVariances[[#Headers],[Nov]]),1),INDEX(OfficePlan[],,1),0),MATCH(OfficeVariances[[#Headers],[Nov]],OfficePlan[#Headers],0))-INDEX(OfficeActual[],MATCH(INDEX(OfficeVariances[],ROW()-ROW(OfficeVariances[[#Headers],[Nov]]),1),INDEX(OfficePlan[],,1),0),MATCH(OfficeVariances[[#Headers],[Nov]],OfficeActual[#Headers],0))</f>
        <v>400</v>
      </c>
      <c r="N12" s="100">
        <f>INDEX(OfficePlan[],MATCH(INDEX(OfficeVariances[],ROW()-ROW(OfficeVariances[[#Headers],[Dec]]),1),INDEX(OfficePlan[],,1),0),MATCH(OfficeVariances[[#Headers],[Dec]],OfficePlan[#Headers],0))-INDEX(OfficeActual[],MATCH(INDEX(OfficeVariances[],ROW()-ROW(OfficeVariances[[#Headers],[Dec]]),1),INDEX(OfficePlan[],,1),0),MATCH(OfficeVariances[[#Headers],[Dec]],OfficeActual[#Headers],0))</f>
        <v>400</v>
      </c>
      <c r="O12" s="101">
        <f>SUM(OfficeVariances[[#This Row],[Jan]:[Dec]])</f>
        <v>1076</v>
      </c>
    </row>
    <row r="13" spans="1:16" ht="24.95" customHeight="1" thickBot="1" x14ac:dyDescent="0.35">
      <c r="A13" s="34"/>
      <c r="B13" s="70" t="s">
        <v>26</v>
      </c>
      <c r="C13" s="100">
        <f>INDEX(OfficePlan[],MATCH(INDEX(OfficeVariances[],ROW()-ROW(OfficeVariances[[#Headers],[Jan]]),1),INDEX(OfficePlan[],,1),0),MATCH(OfficeVariances[[#Headers],[Jan]],OfficePlan[#Headers],0))-INDEX(OfficeActual[],MATCH(INDEX(OfficeVariances[],ROW()-ROW(OfficeVariances[[#Headers],[Jan]]),1),INDEX(OfficePlan[],,1),0),MATCH(OfficeVariances[[#Headers],[Jan]],OfficeActual[#Headers],0))</f>
        <v>12</v>
      </c>
      <c r="D13" s="100">
        <f>INDEX(OfficePlan[],MATCH(INDEX(OfficeVariances[],ROW()-ROW(OfficeVariances[[#Headers],[Feb]]),1),INDEX(OfficePlan[],,1),0),MATCH(OfficeVariances[[#Headers],[Feb]],OfficePlan[#Headers],0))-INDEX(OfficeActual[],MATCH(INDEX(OfficeVariances[],ROW()-ROW(OfficeVariances[[#Headers],[Feb]]),1),INDEX(OfficePlan[],,1),0),MATCH(OfficeVariances[[#Headers],[Feb]],OfficeActual[#Headers],0))</f>
        <v>22</v>
      </c>
      <c r="E13" s="100">
        <f>INDEX(OfficePlan[],MATCH(INDEX(OfficeVariances[],ROW()-ROW(OfficeVariances[[#Headers],[Mar]]),1),INDEX(OfficePlan[],,1),0),MATCH(OfficeVariances[[#Headers],[Mar]],OfficePlan[#Headers],0))-INDEX(OfficeActual[],MATCH(INDEX(OfficeVariances[],ROW()-ROW(OfficeVariances[[#Headers],[Mar]]),1),INDEX(OfficePlan[],,1),0),MATCH(OfficeVariances[[#Headers],[Mar]],OfficeActual[#Headers],0))</f>
        <v>32</v>
      </c>
      <c r="F13" s="100">
        <f>INDEX(OfficePlan[],MATCH(INDEX(OfficeVariances[],ROW()-ROW(OfficeVariances[[#Headers],[Apr]]),1),INDEX(OfficePlan[],,1),0),MATCH(OfficeVariances[[#Headers],[Apr]],OfficePlan[#Headers],0))-INDEX(OfficeActual[],MATCH(INDEX(OfficeVariances[],ROW()-ROW(OfficeVariances[[#Headers],[Apr]]),1),INDEX(OfficePlan[],,1),0),MATCH(OfficeVariances[[#Headers],[Apr]],OfficeActual[#Headers],0))</f>
        <v>1</v>
      </c>
      <c r="G13" s="100">
        <f>INDEX(OfficePlan[],MATCH(INDEX(OfficeVariances[],ROW()-ROW(OfficeVariances[[#Headers],[May]]),1),INDEX(OfficePlan[],,1),0),MATCH(OfficeVariances[[#Headers],[May]],OfficePlan[#Headers],0))-INDEX(OfficeActual[],MATCH(INDEX(OfficeVariances[],ROW()-ROW(OfficeVariances[[#Headers],[May]]),1),INDEX(OfficePlan[],,1),0),MATCH(OfficeVariances[[#Headers],[May]],OfficeActual[#Headers],0))</f>
        <v>-6</v>
      </c>
      <c r="H13" s="100">
        <f>INDEX(OfficePlan[],MATCH(INDEX(OfficeVariances[],ROW()-ROW(OfficeVariances[[#Headers],[Jun]]),1),INDEX(OfficePlan[],,1),0),MATCH(OfficeVariances[[#Headers],[Jun]],OfficePlan[#Headers],0))-INDEX(OfficeActual[],MATCH(INDEX(OfficeVariances[],ROW()-ROW(OfficeVariances[[#Headers],[Jun]]),1),INDEX(OfficePlan[],,1),0),MATCH(OfficeVariances[[#Headers],[Jun]],OfficeActual[#Headers],0))</f>
        <v>10</v>
      </c>
      <c r="I13" s="100">
        <f>INDEX(OfficePlan[],MATCH(INDEX(OfficeVariances[],ROW()-ROW(OfficeVariances[[#Headers],[Jul]]),1),INDEX(OfficePlan[],,1),0),MATCH(OfficeVariances[[#Headers],[Jul]],OfficePlan[#Headers],0))-INDEX(OfficeActual[],MATCH(INDEX(OfficeVariances[],ROW()-ROW(OfficeVariances[[#Headers],[Jul]]),1),INDEX(OfficePlan[],,1),0),MATCH(OfficeVariances[[#Headers],[Jul]],OfficeActual[#Headers],0))</f>
        <v>300</v>
      </c>
      <c r="J13" s="100">
        <f>INDEX(OfficePlan[],MATCH(INDEX(OfficeVariances[],ROW()-ROW(OfficeVariances[[#Headers],[Aug]]),1),INDEX(OfficePlan[],,1),0),MATCH(OfficeVariances[[#Headers],[Aug]],OfficePlan[#Headers],0))-INDEX(OfficeActual[],MATCH(INDEX(OfficeVariances[],ROW()-ROW(OfficeVariances[[#Headers],[Aug]]),1),INDEX(OfficePlan[],,1),0),MATCH(OfficeVariances[[#Headers],[Aug]],OfficeActual[#Headers],0))</f>
        <v>300</v>
      </c>
      <c r="K13" s="100">
        <f>INDEX(OfficePlan[],MATCH(INDEX(OfficeVariances[],ROW()-ROW(OfficeVariances[[#Headers],[Sep]]),1),INDEX(OfficePlan[],,1),0),MATCH(OfficeVariances[[#Headers],[Sep]],OfficePlan[#Headers],0))-INDEX(OfficeActual[],MATCH(INDEX(OfficeVariances[],ROW()-ROW(OfficeVariances[[#Headers],[Sep]]),1),INDEX(OfficePlan[],,1),0),MATCH(OfficeVariances[[#Headers],[Sep]],OfficeActual[#Headers],0))</f>
        <v>300</v>
      </c>
      <c r="L13" s="100">
        <f>INDEX(OfficePlan[],MATCH(INDEX(OfficeVariances[],ROW()-ROW(OfficeVariances[[#Headers],[Oct]]),1),INDEX(OfficePlan[],,1),0),MATCH(OfficeVariances[[#Headers],[Oct]],OfficePlan[#Headers],0))-INDEX(OfficeActual[],MATCH(INDEX(OfficeVariances[],ROW()-ROW(OfficeVariances[[#Headers],[Oct]]),1),INDEX(OfficePlan[],,1),0),MATCH(OfficeVariances[[#Headers],[Oct]],OfficeActual[#Headers],0))</f>
        <v>300</v>
      </c>
      <c r="M13" s="100">
        <f>INDEX(OfficePlan[],MATCH(INDEX(OfficeVariances[],ROW()-ROW(OfficeVariances[[#Headers],[Nov]]),1),INDEX(OfficePlan[],,1),0),MATCH(OfficeVariances[[#Headers],[Nov]],OfficePlan[#Headers],0))-INDEX(OfficeActual[],MATCH(INDEX(OfficeVariances[],ROW()-ROW(OfficeVariances[[#Headers],[Nov]]),1),INDEX(OfficePlan[],,1),0),MATCH(OfficeVariances[[#Headers],[Nov]],OfficeActual[#Headers],0))</f>
        <v>300</v>
      </c>
      <c r="N13" s="100">
        <f>INDEX(OfficePlan[],MATCH(INDEX(OfficeVariances[],ROW()-ROW(OfficeVariances[[#Headers],[Dec]]),1),INDEX(OfficePlan[],,1),0),MATCH(OfficeVariances[[#Headers],[Dec]],OfficePlan[#Headers],0))-INDEX(OfficeActual[],MATCH(INDEX(OfficeVariances[],ROW()-ROW(OfficeVariances[[#Headers],[Dec]]),1),INDEX(OfficePlan[],,1),0),MATCH(OfficeVariances[[#Headers],[Dec]],OfficeActual[#Headers],0))</f>
        <v>300</v>
      </c>
      <c r="O13" s="101">
        <f>SUM(OfficeVariances[[#This Row],[Jan]:[Dec]])</f>
        <v>1871</v>
      </c>
    </row>
    <row r="14" spans="1:16" ht="24.95" customHeight="1" thickBot="1" x14ac:dyDescent="0.35">
      <c r="A14" s="34"/>
      <c r="B14" s="70" t="s">
        <v>27</v>
      </c>
      <c r="C14" s="100">
        <f>INDEX(OfficePlan[],MATCH(INDEX(OfficeVariances[],ROW()-ROW(OfficeVariances[[#Headers],[Jan]]),1),INDEX(OfficePlan[],,1),0),MATCH(OfficeVariances[[#Headers],[Jan]],OfficePlan[#Headers],0))-INDEX(OfficeActual[],MATCH(INDEX(OfficeVariances[],ROW()-ROW(OfficeVariances[[#Headers],[Jan]]),1),INDEX(OfficePlan[],,1),0),MATCH(OfficeVariances[[#Headers],[Jan]],OfficeActual[#Headers],0))</f>
        <v>5</v>
      </c>
      <c r="D14" s="100">
        <f>INDEX(OfficePlan[],MATCH(INDEX(OfficeVariances[],ROW()-ROW(OfficeVariances[[#Headers],[Feb]]),1),INDEX(OfficePlan[],,1),0),MATCH(OfficeVariances[[#Headers],[Feb]],OfficePlan[#Headers],0))-INDEX(OfficeActual[],MATCH(INDEX(OfficeVariances[],ROW()-ROW(OfficeVariances[[#Headers],[Feb]]),1),INDEX(OfficePlan[],,1),0),MATCH(OfficeVariances[[#Headers],[Feb]],OfficeActual[#Headers],0))</f>
        <v>7</v>
      </c>
      <c r="E14" s="100">
        <f>INDEX(OfficePlan[],MATCH(INDEX(OfficeVariances[],ROW()-ROW(OfficeVariances[[#Headers],[Mar]]),1),INDEX(OfficePlan[],,1),0),MATCH(OfficeVariances[[#Headers],[Mar]],OfficePlan[#Headers],0))-INDEX(OfficeActual[],MATCH(INDEX(OfficeVariances[],ROW()-ROW(OfficeVariances[[#Headers],[Mar]]),1),INDEX(OfficePlan[],,1),0),MATCH(OfficeVariances[[#Headers],[Mar]],OfficeActual[#Headers],0))</f>
        <v>6</v>
      </c>
      <c r="F14" s="100">
        <f>INDEX(OfficePlan[],MATCH(INDEX(OfficeVariances[],ROW()-ROW(OfficeVariances[[#Headers],[Apr]]),1),INDEX(OfficePlan[],,1),0),MATCH(OfficeVariances[[#Headers],[Apr]],OfficePlan[#Headers],0))-INDEX(OfficeActual[],MATCH(INDEX(OfficeVariances[],ROW()-ROW(OfficeVariances[[#Headers],[Apr]]),1),INDEX(OfficePlan[],,1),0),MATCH(OfficeVariances[[#Headers],[Apr]],OfficeActual[#Headers],0))</f>
        <v>4</v>
      </c>
      <c r="G14" s="100">
        <f>INDEX(OfficePlan[],MATCH(INDEX(OfficeVariances[],ROW()-ROW(OfficeVariances[[#Headers],[May]]),1),INDEX(OfficePlan[],,1),0),MATCH(OfficeVariances[[#Headers],[May]],OfficePlan[#Headers],0))-INDEX(OfficeActual[],MATCH(INDEX(OfficeVariances[],ROW()-ROW(OfficeVariances[[#Headers],[May]]),1),INDEX(OfficePlan[],,1),0),MATCH(OfficeVariances[[#Headers],[May]],OfficeActual[#Headers],0))</f>
        <v>6</v>
      </c>
      <c r="H14" s="100">
        <f>INDEX(OfficePlan[],MATCH(INDEX(OfficeVariances[],ROW()-ROW(OfficeVariances[[#Headers],[Jun]]),1),INDEX(OfficePlan[],,1),0),MATCH(OfficeVariances[[#Headers],[Jun]],OfficePlan[#Headers],0))-INDEX(OfficeActual[],MATCH(INDEX(OfficeVariances[],ROW()-ROW(OfficeVariances[[#Headers],[Jun]]),1),INDEX(OfficePlan[],,1),0),MATCH(OfficeVariances[[#Headers],[Jun]],OfficeActual[#Headers],0))</f>
        <v>4</v>
      </c>
      <c r="I14" s="100">
        <f>INDEX(OfficePlan[],MATCH(INDEX(OfficeVariances[],ROW()-ROW(OfficeVariances[[#Headers],[Jul]]),1),INDEX(OfficePlan[],,1),0),MATCH(OfficeVariances[[#Headers],[Jul]],OfficePlan[#Headers],0))-INDEX(OfficeActual[],MATCH(INDEX(OfficeVariances[],ROW()-ROW(OfficeVariances[[#Headers],[Jul]]),1),INDEX(OfficePlan[],,1),0),MATCH(OfficeVariances[[#Headers],[Jul]],OfficeActual[#Headers],0))</f>
        <v>40</v>
      </c>
      <c r="J14" s="100">
        <f>INDEX(OfficePlan[],MATCH(INDEX(OfficeVariances[],ROW()-ROW(OfficeVariances[[#Headers],[Aug]]),1),INDEX(OfficePlan[],,1),0),MATCH(OfficeVariances[[#Headers],[Aug]],OfficePlan[#Headers],0))-INDEX(OfficeActual[],MATCH(INDEX(OfficeVariances[],ROW()-ROW(OfficeVariances[[#Headers],[Aug]]),1),INDEX(OfficePlan[],,1),0),MATCH(OfficeVariances[[#Headers],[Aug]],OfficeActual[#Headers],0))</f>
        <v>40</v>
      </c>
      <c r="K14" s="100">
        <f>INDEX(OfficePlan[],MATCH(INDEX(OfficeVariances[],ROW()-ROW(OfficeVariances[[#Headers],[Sep]]),1),INDEX(OfficePlan[],,1),0),MATCH(OfficeVariances[[#Headers],[Sep]],OfficePlan[#Headers],0))-INDEX(OfficeActual[],MATCH(INDEX(OfficeVariances[],ROW()-ROW(OfficeVariances[[#Headers],[Sep]]),1),INDEX(OfficePlan[],,1),0),MATCH(OfficeVariances[[#Headers],[Sep]],OfficeActual[#Headers],0))</f>
        <v>40</v>
      </c>
      <c r="L14" s="100">
        <f>INDEX(OfficePlan[],MATCH(INDEX(OfficeVariances[],ROW()-ROW(OfficeVariances[[#Headers],[Oct]]),1),INDEX(OfficePlan[],,1),0),MATCH(OfficeVariances[[#Headers],[Oct]],OfficePlan[#Headers],0))-INDEX(OfficeActual[],MATCH(INDEX(OfficeVariances[],ROW()-ROW(OfficeVariances[[#Headers],[Oct]]),1),INDEX(OfficePlan[],,1),0),MATCH(OfficeVariances[[#Headers],[Oct]],OfficeActual[#Headers],0))</f>
        <v>40</v>
      </c>
      <c r="M14" s="100">
        <f>INDEX(OfficePlan[],MATCH(INDEX(OfficeVariances[],ROW()-ROW(OfficeVariances[[#Headers],[Nov]]),1),INDEX(OfficePlan[],,1),0),MATCH(OfficeVariances[[#Headers],[Nov]],OfficePlan[#Headers],0))-INDEX(OfficeActual[],MATCH(INDEX(OfficeVariances[],ROW()-ROW(OfficeVariances[[#Headers],[Nov]]),1),INDEX(OfficePlan[],,1),0),MATCH(OfficeVariances[[#Headers],[Nov]],OfficeActual[#Headers],0))</f>
        <v>40</v>
      </c>
      <c r="N14" s="100">
        <f>INDEX(OfficePlan[],MATCH(INDEX(OfficeVariances[],ROW()-ROW(OfficeVariances[[#Headers],[Dec]]),1),INDEX(OfficePlan[],,1),0),MATCH(OfficeVariances[[#Headers],[Dec]],OfficePlan[#Headers],0))-INDEX(OfficeActual[],MATCH(INDEX(OfficeVariances[],ROW()-ROW(OfficeVariances[[#Headers],[Dec]]),1),INDEX(OfficePlan[],,1),0),MATCH(OfficeVariances[[#Headers],[Dec]],OfficeActual[#Headers],0))</f>
        <v>40</v>
      </c>
      <c r="O14" s="101">
        <f>SUM(OfficeVariances[[#This Row],[Jan]:[Dec]])</f>
        <v>272</v>
      </c>
    </row>
    <row r="15" spans="1:16" ht="24.95" customHeight="1" thickBot="1" x14ac:dyDescent="0.35">
      <c r="A15" s="34"/>
      <c r="B15" s="70" t="s">
        <v>28</v>
      </c>
      <c r="C15" s="100">
        <f>INDEX(OfficePlan[],MATCH(INDEX(OfficeVariances[],ROW()-ROW(OfficeVariances[[#Headers],[Jan]]),1),INDEX(OfficePlan[],,1),0),MATCH(OfficeVariances[[#Headers],[Jan]],OfficePlan[#Headers],0))-INDEX(OfficeActual[],MATCH(INDEX(OfficeVariances[],ROW()-ROW(OfficeVariances[[#Headers],[Jan]]),1),INDEX(OfficePlan[],,1),0),MATCH(OfficeVariances[[#Headers],[Jan]],OfficeActual[#Headers],0))</f>
        <v>26</v>
      </c>
      <c r="D15" s="100">
        <f>INDEX(OfficePlan[],MATCH(INDEX(OfficeVariances[],ROW()-ROW(OfficeVariances[[#Headers],[Feb]]),1),INDEX(OfficePlan[],,1),0),MATCH(OfficeVariances[[#Headers],[Feb]],OfficePlan[#Headers],0))-INDEX(OfficeActual[],MATCH(INDEX(OfficeVariances[],ROW()-ROW(OfficeVariances[[#Headers],[Feb]]),1),INDEX(OfficePlan[],,1),0),MATCH(OfficeVariances[[#Headers],[Feb]],OfficeActual[#Headers],0))</f>
        <v>15</v>
      </c>
      <c r="E15" s="100">
        <f>INDEX(OfficePlan[],MATCH(INDEX(OfficeVariances[],ROW()-ROW(OfficeVariances[[#Headers],[Mar]]),1),INDEX(OfficePlan[],,1),0),MATCH(OfficeVariances[[#Headers],[Mar]],OfficePlan[#Headers],0))-INDEX(OfficeActual[],MATCH(INDEX(OfficeVariances[],ROW()-ROW(OfficeVariances[[#Headers],[Mar]]),1),INDEX(OfficePlan[],,1),0),MATCH(OfficeVariances[[#Headers],[Mar]],OfficeActual[#Headers],0))</f>
        <v>-15</v>
      </c>
      <c r="F15" s="100">
        <f>INDEX(OfficePlan[],MATCH(INDEX(OfficeVariances[],ROW()-ROW(OfficeVariances[[#Headers],[Apr]]),1),INDEX(OfficePlan[],,1),0),MATCH(OfficeVariances[[#Headers],[Apr]],OfficePlan[#Headers],0))-INDEX(OfficeActual[],MATCH(INDEX(OfficeVariances[],ROW()-ROW(OfficeVariances[[#Headers],[Apr]]),1),INDEX(OfficePlan[],,1),0),MATCH(OfficeVariances[[#Headers],[Apr]],OfficeActual[#Headers],0))</f>
        <v>5</v>
      </c>
      <c r="G15" s="100">
        <f>INDEX(OfficePlan[],MATCH(INDEX(OfficeVariances[],ROW()-ROW(OfficeVariances[[#Headers],[May]]),1),INDEX(OfficePlan[],,1),0),MATCH(OfficeVariances[[#Headers],[May]],OfficePlan[#Headers],0))-INDEX(OfficeActual[],MATCH(INDEX(OfficeVariances[],ROW()-ROW(OfficeVariances[[#Headers],[May]]),1),INDEX(OfficePlan[],,1),0),MATCH(OfficeVariances[[#Headers],[May]],OfficeActual[#Headers],0))</f>
        <v>5</v>
      </c>
      <c r="H15" s="100">
        <f>INDEX(OfficePlan[],MATCH(INDEX(OfficeVariances[],ROW()-ROW(OfficeVariances[[#Headers],[Jun]]),1),INDEX(OfficePlan[],,1),0),MATCH(OfficeVariances[[#Headers],[Jun]],OfficePlan[#Headers],0))-INDEX(OfficeActual[],MATCH(INDEX(OfficeVariances[],ROW()-ROW(OfficeVariances[[#Headers],[Jun]]),1),INDEX(OfficePlan[],,1),0),MATCH(OfficeVariances[[#Headers],[Jun]],OfficeActual[#Headers],0))</f>
        <v>30</v>
      </c>
      <c r="I15" s="100">
        <f>INDEX(OfficePlan[],MATCH(INDEX(OfficeVariances[],ROW()-ROW(OfficeVariances[[#Headers],[Jul]]),1),INDEX(OfficePlan[],,1),0),MATCH(OfficeVariances[[#Headers],[Jul]],OfficePlan[#Headers],0))-INDEX(OfficeActual[],MATCH(INDEX(OfficeVariances[],ROW()-ROW(OfficeVariances[[#Headers],[Jul]]),1),INDEX(OfficePlan[],,1),0),MATCH(OfficeVariances[[#Headers],[Jul]],OfficeActual[#Headers],0))</f>
        <v>250</v>
      </c>
      <c r="J15" s="100">
        <f>INDEX(OfficePlan[],MATCH(INDEX(OfficeVariances[],ROW()-ROW(OfficeVariances[[#Headers],[Aug]]),1),INDEX(OfficePlan[],,1),0),MATCH(OfficeVariances[[#Headers],[Aug]],OfficePlan[#Headers],0))-INDEX(OfficeActual[],MATCH(INDEX(OfficeVariances[],ROW()-ROW(OfficeVariances[[#Headers],[Aug]]),1),INDEX(OfficePlan[],,1),0),MATCH(OfficeVariances[[#Headers],[Aug]],OfficeActual[#Headers],0))</f>
        <v>250</v>
      </c>
      <c r="K15" s="100">
        <f>INDEX(OfficePlan[],MATCH(INDEX(OfficeVariances[],ROW()-ROW(OfficeVariances[[#Headers],[Sep]]),1),INDEX(OfficePlan[],,1),0),MATCH(OfficeVariances[[#Headers],[Sep]],OfficePlan[#Headers],0))-INDEX(OfficeActual[],MATCH(INDEX(OfficeVariances[],ROW()-ROW(OfficeVariances[[#Headers],[Sep]]),1),INDEX(OfficePlan[],,1),0),MATCH(OfficeVariances[[#Headers],[Sep]],OfficeActual[#Headers],0))</f>
        <v>250</v>
      </c>
      <c r="L15" s="100">
        <f>INDEX(OfficePlan[],MATCH(INDEX(OfficeVariances[],ROW()-ROW(OfficeVariances[[#Headers],[Oct]]),1),INDEX(OfficePlan[],,1),0),MATCH(OfficeVariances[[#Headers],[Oct]],OfficePlan[#Headers],0))-INDEX(OfficeActual[],MATCH(INDEX(OfficeVariances[],ROW()-ROW(OfficeVariances[[#Headers],[Oct]]),1),INDEX(OfficePlan[],,1),0),MATCH(OfficeVariances[[#Headers],[Oct]],OfficeActual[#Headers],0))</f>
        <v>250</v>
      </c>
      <c r="M15" s="100">
        <f>INDEX(OfficePlan[],MATCH(INDEX(OfficeVariances[],ROW()-ROW(OfficeVariances[[#Headers],[Nov]]),1),INDEX(OfficePlan[],,1),0),MATCH(OfficeVariances[[#Headers],[Nov]],OfficePlan[#Headers],0))-INDEX(OfficeActual[],MATCH(INDEX(OfficeVariances[],ROW()-ROW(OfficeVariances[[#Headers],[Nov]]),1),INDEX(OfficePlan[],,1),0),MATCH(OfficeVariances[[#Headers],[Nov]],OfficeActual[#Headers],0))</f>
        <v>250</v>
      </c>
      <c r="N15" s="100">
        <f>INDEX(OfficePlan[],MATCH(INDEX(OfficeVariances[],ROW()-ROW(OfficeVariances[[#Headers],[Dec]]),1),INDEX(OfficePlan[],,1),0),MATCH(OfficeVariances[[#Headers],[Dec]],OfficePlan[#Headers],0))-INDEX(OfficeActual[],MATCH(INDEX(OfficeVariances[],ROW()-ROW(OfficeVariances[[#Headers],[Dec]]),1),INDEX(OfficePlan[],,1),0),MATCH(OfficeVariances[[#Headers],[Dec]],OfficeActual[#Headers],0))</f>
        <v>250</v>
      </c>
      <c r="O15" s="101">
        <f>SUM(OfficeVariances[[#This Row],[Jan]:[Dec]])</f>
        <v>1566</v>
      </c>
    </row>
    <row r="16" spans="1:16" ht="24.95" customHeight="1" thickBot="1" x14ac:dyDescent="0.35">
      <c r="A16" s="34"/>
      <c r="B16" s="70" t="s">
        <v>29</v>
      </c>
      <c r="C16" s="100">
        <f>INDEX(OfficePlan[],MATCH(INDEX(OfficeVariances[],ROW()-ROW(OfficeVariances[[#Headers],[Jan]]),1),INDEX(OfficePlan[],,1),0),MATCH(OfficeVariances[[#Headers],[Jan]],OfficePlan[#Headers],0))-INDEX(OfficeActual[],MATCH(INDEX(OfficeVariances[],ROW()-ROW(OfficeVariances[[#Headers],[Jan]]),1),INDEX(OfficePlan[],,1),0),MATCH(OfficeVariances[[#Headers],[Jan]],OfficeActual[#Headers],0))</f>
        <v>0</v>
      </c>
      <c r="D16" s="100">
        <f>INDEX(OfficePlan[],MATCH(INDEX(OfficeVariances[],ROW()-ROW(OfficeVariances[[#Headers],[Feb]]),1),INDEX(OfficePlan[],,1),0),MATCH(OfficeVariances[[#Headers],[Feb]],OfficePlan[#Headers],0))-INDEX(OfficeActual[],MATCH(INDEX(OfficeVariances[],ROW()-ROW(OfficeVariances[[#Headers],[Feb]]),1),INDEX(OfficePlan[],,1),0),MATCH(OfficeVariances[[#Headers],[Feb]],OfficeActual[#Headers],0))</f>
        <v>0</v>
      </c>
      <c r="E16" s="100">
        <f>INDEX(OfficePlan[],MATCH(INDEX(OfficeVariances[],ROW()-ROW(OfficeVariances[[#Headers],[Mar]]),1),INDEX(OfficePlan[],,1),0),MATCH(OfficeVariances[[#Headers],[Mar]],OfficePlan[#Headers],0))-INDEX(OfficeActual[],MATCH(INDEX(OfficeVariances[],ROW()-ROW(OfficeVariances[[#Headers],[Mar]]),1),INDEX(OfficePlan[],,1),0),MATCH(OfficeVariances[[#Headers],[Mar]],OfficeActual[#Headers],0))</f>
        <v>0</v>
      </c>
      <c r="F16" s="100">
        <f>INDEX(OfficePlan[],MATCH(INDEX(OfficeVariances[],ROW()-ROW(OfficeVariances[[#Headers],[Apr]]),1),INDEX(OfficePlan[],,1),0),MATCH(OfficeVariances[[#Headers],[Apr]],OfficePlan[#Headers],0))-INDEX(OfficeActual[],MATCH(INDEX(OfficeVariances[],ROW()-ROW(OfficeVariances[[#Headers],[Apr]]),1),INDEX(OfficePlan[],,1),0),MATCH(OfficeVariances[[#Headers],[Apr]],OfficeActual[#Headers],0))</f>
        <v>0</v>
      </c>
      <c r="G16" s="100">
        <f>INDEX(OfficePlan[],MATCH(INDEX(OfficeVariances[],ROW()-ROW(OfficeVariances[[#Headers],[May]]),1),INDEX(OfficePlan[],,1),0),MATCH(OfficeVariances[[#Headers],[May]],OfficePlan[#Headers],0))-INDEX(OfficeActual[],MATCH(INDEX(OfficeVariances[],ROW()-ROW(OfficeVariances[[#Headers],[May]]),1),INDEX(OfficePlan[],,1),0),MATCH(OfficeVariances[[#Headers],[May]],OfficeActual[#Headers],0))</f>
        <v>0</v>
      </c>
      <c r="H16" s="100">
        <f>INDEX(OfficePlan[],MATCH(INDEX(OfficeVariances[],ROW()-ROW(OfficeVariances[[#Headers],[Jun]]),1),INDEX(OfficePlan[],,1),0),MATCH(OfficeVariances[[#Headers],[Jun]],OfficePlan[#Headers],0))-INDEX(OfficeActual[],MATCH(INDEX(OfficeVariances[],ROW()-ROW(OfficeVariances[[#Headers],[Jun]]),1),INDEX(OfficePlan[],,1),0),MATCH(OfficeVariances[[#Headers],[Jun]],OfficeActual[#Headers],0))</f>
        <v>0</v>
      </c>
      <c r="I16" s="100">
        <f>INDEX(OfficePlan[],MATCH(INDEX(OfficeVariances[],ROW()-ROW(OfficeVariances[[#Headers],[Jul]]),1),INDEX(OfficePlan[],,1),0),MATCH(OfficeVariances[[#Headers],[Jul]],OfficePlan[#Headers],0))-INDEX(OfficeActual[],MATCH(INDEX(OfficeVariances[],ROW()-ROW(OfficeVariances[[#Headers],[Jul]]),1),INDEX(OfficePlan[],,1),0),MATCH(OfficeVariances[[#Headers],[Jul]],OfficeActual[#Headers],0))</f>
        <v>180</v>
      </c>
      <c r="J16" s="100">
        <f>INDEX(OfficePlan[],MATCH(INDEX(OfficeVariances[],ROW()-ROW(OfficeVariances[[#Headers],[Aug]]),1),INDEX(OfficePlan[],,1),0),MATCH(OfficeVariances[[#Headers],[Aug]],OfficePlan[#Headers],0))-INDEX(OfficeActual[],MATCH(INDEX(OfficeVariances[],ROW()-ROW(OfficeVariances[[#Headers],[Aug]]),1),INDEX(OfficePlan[],,1),0),MATCH(OfficeVariances[[#Headers],[Aug]],OfficeActual[#Headers],0))</f>
        <v>180</v>
      </c>
      <c r="K16" s="100">
        <f>INDEX(OfficePlan[],MATCH(INDEX(OfficeVariances[],ROW()-ROW(OfficeVariances[[#Headers],[Sep]]),1),INDEX(OfficePlan[],,1),0),MATCH(OfficeVariances[[#Headers],[Sep]],OfficePlan[#Headers],0))-INDEX(OfficeActual[],MATCH(INDEX(OfficeVariances[],ROW()-ROW(OfficeVariances[[#Headers],[Sep]]),1),INDEX(OfficePlan[],,1),0),MATCH(OfficeVariances[[#Headers],[Sep]],OfficeActual[#Headers],0))</f>
        <v>180</v>
      </c>
      <c r="L16" s="100">
        <f>INDEX(OfficePlan[],MATCH(INDEX(OfficeVariances[],ROW()-ROW(OfficeVariances[[#Headers],[Oct]]),1),INDEX(OfficePlan[],,1),0),MATCH(OfficeVariances[[#Headers],[Oct]],OfficePlan[#Headers],0))-INDEX(OfficeActual[],MATCH(INDEX(OfficeVariances[],ROW()-ROW(OfficeVariances[[#Headers],[Oct]]),1),INDEX(OfficePlan[],,1),0),MATCH(OfficeVariances[[#Headers],[Oct]],OfficeActual[#Headers],0))</f>
        <v>180</v>
      </c>
      <c r="M16" s="100">
        <f>INDEX(OfficePlan[],MATCH(INDEX(OfficeVariances[],ROW()-ROW(OfficeVariances[[#Headers],[Nov]]),1),INDEX(OfficePlan[],,1),0),MATCH(OfficeVariances[[#Headers],[Nov]],OfficePlan[#Headers],0))-INDEX(OfficeActual[],MATCH(INDEX(OfficeVariances[],ROW()-ROW(OfficeVariances[[#Headers],[Nov]]),1),INDEX(OfficePlan[],,1),0),MATCH(OfficeVariances[[#Headers],[Nov]],OfficeActual[#Headers],0))</f>
        <v>180</v>
      </c>
      <c r="N16" s="100">
        <f>INDEX(OfficePlan[],MATCH(INDEX(OfficeVariances[],ROW()-ROW(OfficeVariances[[#Headers],[Dec]]),1),INDEX(OfficePlan[],,1),0),MATCH(OfficeVariances[[#Headers],[Dec]],OfficePlan[#Headers],0))-INDEX(OfficeActual[],MATCH(INDEX(OfficeVariances[],ROW()-ROW(OfficeVariances[[#Headers],[Dec]]),1),INDEX(OfficePlan[],,1),0),MATCH(OfficeVariances[[#Headers],[Dec]],OfficeActual[#Headers],0))</f>
        <v>180</v>
      </c>
      <c r="O16" s="101">
        <f>SUM(OfficeVariances[[#This Row],[Jan]:[Dec]])</f>
        <v>1080</v>
      </c>
    </row>
    <row r="17" spans="1:15" ht="24.95" customHeight="1" thickBot="1" x14ac:dyDescent="0.35">
      <c r="A17" s="34"/>
      <c r="B17" s="70" t="s">
        <v>30</v>
      </c>
      <c r="C17" s="100">
        <f>INDEX(OfficePlan[],MATCH(INDEX(OfficeVariances[],ROW()-ROW(OfficeVariances[[#Headers],[Jan]]),1),INDEX(OfficePlan[],,1),0),MATCH(OfficeVariances[[#Headers],[Jan]],OfficePlan[#Headers],0))-INDEX(OfficeActual[],MATCH(INDEX(OfficeVariances[],ROW()-ROW(OfficeVariances[[#Headers],[Jan]]),1),INDEX(OfficePlan[],,1),0),MATCH(OfficeVariances[[#Headers],[Jan]],OfficeActual[#Headers],0))</f>
        <v>-56</v>
      </c>
      <c r="D17" s="100">
        <f>INDEX(OfficePlan[],MATCH(INDEX(OfficeVariances[],ROW()-ROW(OfficeVariances[[#Headers],[Feb]]),1),INDEX(OfficePlan[],,1),0),MATCH(OfficeVariances[[#Headers],[Feb]],OfficePlan[#Headers],0))-INDEX(OfficeActual[],MATCH(INDEX(OfficeVariances[],ROW()-ROW(OfficeVariances[[#Headers],[Feb]]),1),INDEX(OfficePlan[],,1),0),MATCH(OfficeVariances[[#Headers],[Feb]],OfficeActual[#Headers],0))</f>
        <v>58</v>
      </c>
      <c r="E17" s="100">
        <f>INDEX(OfficePlan[],MATCH(INDEX(OfficeVariances[],ROW()-ROW(OfficeVariances[[#Headers],[Mar]]),1),INDEX(OfficePlan[],,1),0),MATCH(OfficeVariances[[#Headers],[Mar]],OfficePlan[#Headers],0))-INDEX(OfficeActual[],MATCH(INDEX(OfficeVariances[],ROW()-ROW(OfficeVariances[[#Headers],[Mar]]),1),INDEX(OfficePlan[],,1),0),MATCH(OfficeVariances[[#Headers],[Mar]],OfficeActual[#Headers],0))</f>
        <v>40</v>
      </c>
      <c r="F17" s="100">
        <f>INDEX(OfficePlan[],MATCH(INDEX(OfficeVariances[],ROW()-ROW(OfficeVariances[[#Headers],[Apr]]),1),INDEX(OfficePlan[],,1),0),MATCH(OfficeVariances[[#Headers],[Apr]],OfficePlan[#Headers],0))-INDEX(OfficeActual[],MATCH(INDEX(OfficeVariances[],ROW()-ROW(OfficeVariances[[#Headers],[Apr]]),1),INDEX(OfficePlan[],,1),0),MATCH(OfficeVariances[[#Headers],[Apr]],OfficeActual[#Headers],0))</f>
        <v>-21</v>
      </c>
      <c r="G17" s="100">
        <f>INDEX(OfficePlan[],MATCH(INDEX(OfficeVariances[],ROW()-ROW(OfficeVariances[[#Headers],[May]]),1),INDEX(OfficePlan[],,1),0),MATCH(OfficeVariances[[#Headers],[May]],OfficePlan[#Headers],0))-INDEX(OfficeActual[],MATCH(INDEX(OfficeVariances[],ROW()-ROW(OfficeVariances[[#Headers],[May]]),1),INDEX(OfficePlan[],,1),0),MATCH(OfficeVariances[[#Headers],[May]],OfficeActual[#Headers],0))</f>
        <v>-56</v>
      </c>
      <c r="H17" s="100">
        <f>INDEX(OfficePlan[],MATCH(INDEX(OfficeVariances[],ROW()-ROW(OfficeVariances[[#Headers],[Jun]]),1),INDEX(OfficePlan[],,1),0),MATCH(OfficeVariances[[#Headers],[Jun]],OfficePlan[#Headers],0))-INDEX(OfficeActual[],MATCH(INDEX(OfficeVariances[],ROW()-ROW(OfficeVariances[[#Headers],[Jun]]),1),INDEX(OfficePlan[],,1),0),MATCH(OfficeVariances[[#Headers],[Jun]],OfficeActual[#Headers],0))</f>
        <v>-40</v>
      </c>
      <c r="I17" s="100">
        <f>INDEX(OfficePlan[],MATCH(INDEX(OfficeVariances[],ROW()-ROW(OfficeVariances[[#Headers],[Jul]]),1),INDEX(OfficePlan[],,1),0),MATCH(OfficeVariances[[#Headers],[Jul]],OfficePlan[#Headers],0))-INDEX(OfficeActual[],MATCH(INDEX(OfficeVariances[],ROW()-ROW(OfficeVariances[[#Headers],[Jul]]),1),INDEX(OfficePlan[],,1),0),MATCH(OfficeVariances[[#Headers],[Jul]],OfficeActual[#Headers],0))</f>
        <v>200</v>
      </c>
      <c r="J17" s="100">
        <f>INDEX(OfficePlan[],MATCH(INDEX(OfficeVariances[],ROW()-ROW(OfficeVariances[[#Headers],[Aug]]),1),INDEX(OfficePlan[],,1),0),MATCH(OfficeVariances[[#Headers],[Aug]],OfficePlan[#Headers],0))-INDEX(OfficeActual[],MATCH(INDEX(OfficeVariances[],ROW()-ROW(OfficeVariances[[#Headers],[Aug]]),1),INDEX(OfficePlan[],,1),0),MATCH(OfficeVariances[[#Headers],[Aug]],OfficeActual[#Headers],0))</f>
        <v>200</v>
      </c>
      <c r="K17" s="100">
        <f>INDEX(OfficePlan[],MATCH(INDEX(OfficeVariances[],ROW()-ROW(OfficeVariances[[#Headers],[Sep]]),1),INDEX(OfficePlan[],,1),0),MATCH(OfficeVariances[[#Headers],[Sep]],OfficePlan[#Headers],0))-INDEX(OfficeActual[],MATCH(INDEX(OfficeVariances[],ROW()-ROW(OfficeVariances[[#Headers],[Sep]]),1),INDEX(OfficePlan[],,1),0),MATCH(OfficeVariances[[#Headers],[Sep]],OfficeActual[#Headers],0))</f>
        <v>200</v>
      </c>
      <c r="L17" s="100">
        <f>INDEX(OfficePlan[],MATCH(INDEX(OfficeVariances[],ROW()-ROW(OfficeVariances[[#Headers],[Oct]]),1),INDEX(OfficePlan[],,1),0),MATCH(OfficeVariances[[#Headers],[Oct]],OfficePlan[#Headers],0))-INDEX(OfficeActual[],MATCH(INDEX(OfficeVariances[],ROW()-ROW(OfficeVariances[[#Headers],[Oct]]),1),INDEX(OfficePlan[],,1),0),MATCH(OfficeVariances[[#Headers],[Oct]],OfficeActual[#Headers],0))</f>
        <v>200</v>
      </c>
      <c r="M17" s="100">
        <f>INDEX(OfficePlan[],MATCH(INDEX(OfficeVariances[],ROW()-ROW(OfficeVariances[[#Headers],[Nov]]),1),INDEX(OfficePlan[],,1),0),MATCH(OfficeVariances[[#Headers],[Nov]],OfficePlan[#Headers],0))-INDEX(OfficeActual[],MATCH(INDEX(OfficeVariances[],ROW()-ROW(OfficeVariances[[#Headers],[Nov]]),1),INDEX(OfficePlan[],,1),0),MATCH(OfficeVariances[[#Headers],[Nov]],OfficeActual[#Headers],0))</f>
        <v>200</v>
      </c>
      <c r="N17" s="100">
        <f>INDEX(OfficePlan[],MATCH(INDEX(OfficeVariances[],ROW()-ROW(OfficeVariances[[#Headers],[Dec]]),1),INDEX(OfficePlan[],,1),0),MATCH(OfficeVariances[[#Headers],[Dec]],OfficePlan[#Headers],0))-INDEX(OfficeActual[],MATCH(INDEX(OfficeVariances[],ROW()-ROW(OfficeVariances[[#Headers],[Dec]]),1),INDEX(OfficePlan[],,1),0),MATCH(OfficeVariances[[#Headers],[Dec]],OfficeActual[#Headers],0))</f>
        <v>200</v>
      </c>
      <c r="O17" s="101">
        <f>SUM(OfficeVariances[[#This Row],[Jan]:[Dec]])</f>
        <v>1125</v>
      </c>
    </row>
    <row r="18" spans="1:15" ht="24.95" customHeight="1" thickBot="1" x14ac:dyDescent="0.35">
      <c r="A18" s="34"/>
      <c r="B18" s="70" t="s">
        <v>31</v>
      </c>
      <c r="C18" s="100">
        <f>INDEX(OfficePlan[],MATCH(INDEX(OfficeVariances[],ROW()-ROW(OfficeVariances[[#Headers],[Jan]]),1),INDEX(OfficePlan[],,1),0),MATCH(OfficeVariances[[#Headers],[Jan]],OfficePlan[#Headers],0))-INDEX(OfficeActual[],MATCH(INDEX(OfficeVariances[],ROW()-ROW(OfficeVariances[[#Headers],[Jan]]),1),INDEX(OfficePlan[],,1),0),MATCH(OfficeVariances[[#Headers],[Jan]],OfficeActual[#Headers],0))</f>
        <v>0</v>
      </c>
      <c r="D18" s="100">
        <f>INDEX(OfficePlan[],MATCH(INDEX(OfficeVariances[],ROW()-ROW(OfficeVariances[[#Headers],[Feb]]),1),INDEX(OfficePlan[],,1),0),MATCH(OfficeVariances[[#Headers],[Feb]],OfficePlan[#Headers],0))-INDEX(OfficeActual[],MATCH(INDEX(OfficeVariances[],ROW()-ROW(OfficeVariances[[#Headers],[Feb]]),1),INDEX(OfficePlan[],,1),0),MATCH(OfficeVariances[[#Headers],[Feb]],OfficeActual[#Headers],0))</f>
        <v>0</v>
      </c>
      <c r="E18" s="100">
        <f>INDEX(OfficePlan[],MATCH(INDEX(OfficeVariances[],ROW()-ROW(OfficeVariances[[#Headers],[Mar]]),1),INDEX(OfficePlan[],,1),0),MATCH(OfficeVariances[[#Headers],[Mar]],OfficePlan[#Headers],0))-INDEX(OfficeActual[],MATCH(INDEX(OfficeVariances[],ROW()-ROW(OfficeVariances[[#Headers],[Mar]]),1),INDEX(OfficePlan[],,1),0),MATCH(OfficeVariances[[#Headers],[Mar]],OfficeActual[#Headers],0))</f>
        <v>0</v>
      </c>
      <c r="F18" s="100">
        <f>INDEX(OfficePlan[],MATCH(INDEX(OfficeVariances[],ROW()-ROW(OfficeVariances[[#Headers],[Apr]]),1),INDEX(OfficePlan[],,1),0),MATCH(OfficeVariances[[#Headers],[Apr]],OfficePlan[#Headers],0))-INDEX(OfficeActual[],MATCH(INDEX(OfficeVariances[],ROW()-ROW(OfficeVariances[[#Headers],[Apr]]),1),INDEX(OfficePlan[],,1),0),MATCH(OfficeVariances[[#Headers],[Apr]],OfficeActual[#Headers],0))</f>
        <v>0</v>
      </c>
      <c r="G18" s="100">
        <f>INDEX(OfficePlan[],MATCH(INDEX(OfficeVariances[],ROW()-ROW(OfficeVariances[[#Headers],[May]]),1),INDEX(OfficePlan[],,1),0),MATCH(OfficeVariances[[#Headers],[May]],OfficePlan[#Headers],0))-INDEX(OfficeActual[],MATCH(INDEX(OfficeVariances[],ROW()-ROW(OfficeVariances[[#Headers],[May]]),1),INDEX(OfficePlan[],,1),0),MATCH(OfficeVariances[[#Headers],[May]],OfficeActual[#Headers],0))</f>
        <v>0</v>
      </c>
      <c r="H18" s="100">
        <f>INDEX(OfficePlan[],MATCH(INDEX(OfficeVariances[],ROW()-ROW(OfficeVariances[[#Headers],[Jun]]),1),INDEX(OfficePlan[],,1),0),MATCH(OfficeVariances[[#Headers],[Jun]],OfficePlan[#Headers],0))-INDEX(OfficeActual[],MATCH(INDEX(OfficeVariances[],ROW()-ROW(OfficeVariances[[#Headers],[Jun]]),1),INDEX(OfficePlan[],,1),0),MATCH(OfficeVariances[[#Headers],[Jun]],OfficeActual[#Headers],0))</f>
        <v>0</v>
      </c>
      <c r="I18" s="100">
        <f>INDEX(OfficePlan[],MATCH(INDEX(OfficeVariances[],ROW()-ROW(OfficeVariances[[#Headers],[Jul]]),1),INDEX(OfficePlan[],,1),0),MATCH(OfficeVariances[[#Headers],[Jul]],OfficePlan[#Headers],0))-INDEX(OfficeActual[],MATCH(INDEX(OfficeVariances[],ROW()-ROW(OfficeVariances[[#Headers],[Jul]]),1),INDEX(OfficePlan[],,1),0),MATCH(OfficeVariances[[#Headers],[Jul]],OfficeActual[#Headers],0))</f>
        <v>600</v>
      </c>
      <c r="J18" s="100">
        <f>INDEX(OfficePlan[],MATCH(INDEX(OfficeVariances[],ROW()-ROW(OfficeVariances[[#Headers],[Aug]]),1),INDEX(OfficePlan[],,1),0),MATCH(OfficeVariances[[#Headers],[Aug]],OfficePlan[#Headers],0))-INDEX(OfficeActual[],MATCH(INDEX(OfficeVariances[],ROW()-ROW(OfficeVariances[[#Headers],[Aug]]),1),INDEX(OfficePlan[],,1),0),MATCH(OfficeVariances[[#Headers],[Aug]],OfficeActual[#Headers],0))</f>
        <v>600</v>
      </c>
      <c r="K18" s="100">
        <f>INDEX(OfficePlan[],MATCH(INDEX(OfficeVariances[],ROW()-ROW(OfficeVariances[[#Headers],[Sep]]),1),INDEX(OfficePlan[],,1),0),MATCH(OfficeVariances[[#Headers],[Sep]],OfficePlan[#Headers],0))-INDEX(OfficeActual[],MATCH(INDEX(OfficeVariances[],ROW()-ROW(OfficeVariances[[#Headers],[Sep]]),1),INDEX(OfficePlan[],,1),0),MATCH(OfficeVariances[[#Headers],[Sep]],OfficeActual[#Headers],0))</f>
        <v>600</v>
      </c>
      <c r="L18" s="100">
        <f>INDEX(OfficePlan[],MATCH(INDEX(OfficeVariances[],ROW()-ROW(OfficeVariances[[#Headers],[Oct]]),1),INDEX(OfficePlan[],,1),0),MATCH(OfficeVariances[[#Headers],[Oct]],OfficePlan[#Headers],0))-INDEX(OfficeActual[],MATCH(INDEX(OfficeVariances[],ROW()-ROW(OfficeVariances[[#Headers],[Oct]]),1),INDEX(OfficePlan[],,1),0),MATCH(OfficeVariances[[#Headers],[Oct]],OfficeActual[#Headers],0))</f>
        <v>600</v>
      </c>
      <c r="M18" s="100">
        <f>INDEX(OfficePlan[],MATCH(INDEX(OfficeVariances[],ROW()-ROW(OfficeVariances[[#Headers],[Nov]]),1),INDEX(OfficePlan[],,1),0),MATCH(OfficeVariances[[#Headers],[Nov]],OfficePlan[#Headers],0))-INDEX(OfficeActual[],MATCH(INDEX(OfficeVariances[],ROW()-ROW(OfficeVariances[[#Headers],[Nov]]),1),INDEX(OfficePlan[],,1),0),MATCH(OfficeVariances[[#Headers],[Nov]],OfficeActual[#Headers],0))</f>
        <v>600</v>
      </c>
      <c r="N18" s="100">
        <f>INDEX(OfficePlan[],MATCH(INDEX(OfficeVariances[],ROW()-ROW(OfficeVariances[[#Headers],[Dec]]),1),INDEX(OfficePlan[],,1),0),MATCH(OfficeVariances[[#Headers],[Dec]],OfficePlan[#Headers],0))-INDEX(OfficeActual[],MATCH(INDEX(OfficeVariances[],ROW()-ROW(OfficeVariances[[#Headers],[Dec]]),1),INDEX(OfficePlan[],,1),0),MATCH(OfficeVariances[[#Headers],[Dec]],OfficeActual[#Headers],0))</f>
        <v>600</v>
      </c>
      <c r="O18" s="101">
        <f>SUM(OfficeVariances[[#This Row],[Jan]:[Dec]])</f>
        <v>3600</v>
      </c>
    </row>
    <row r="19" spans="1:15" ht="24.95" customHeight="1" x14ac:dyDescent="0.3">
      <c r="A19" s="34"/>
      <c r="B19" s="82" t="s">
        <v>22</v>
      </c>
      <c r="C19" s="117">
        <f>SUBTOTAL(109,OfficeVariances[Jan])</f>
        <v>-17</v>
      </c>
      <c r="D19" s="109">
        <f>SUBTOTAL(109,OfficeVariances[Feb])</f>
        <v>72</v>
      </c>
      <c r="E19" s="109">
        <f>SUBTOTAL(109,OfficeVariances[Mar])</f>
        <v>78</v>
      </c>
      <c r="F19" s="109">
        <f>SUBTOTAL(109,OfficeVariances[Apr])</f>
        <v>-141</v>
      </c>
      <c r="G19" s="109">
        <f>SUBTOTAL(109,OfficeVariances[May])</f>
        <v>-38</v>
      </c>
      <c r="H19" s="109">
        <f>SUBTOTAL(109,OfficeVariances[Jun])</f>
        <v>16</v>
      </c>
      <c r="I19" s="109">
        <f>SUBTOTAL(109,OfficeVariances[Jul])</f>
        <v>11470</v>
      </c>
      <c r="J19" s="109">
        <f>SUBTOTAL(109,OfficeVariances[Aug])</f>
        <v>11470</v>
      </c>
      <c r="K19" s="109">
        <f>SUBTOTAL(109,OfficeVariances[Sep])</f>
        <v>11470</v>
      </c>
      <c r="L19" s="109">
        <f>SUBTOTAL(109,OfficeVariances[Oct])</f>
        <v>11470</v>
      </c>
      <c r="M19" s="109">
        <f>SUBTOTAL(109,OfficeVariances[Nov])</f>
        <v>11770</v>
      </c>
      <c r="N19" s="109">
        <f>SUBTOTAL(109,OfficeVariances[Dec])</f>
        <v>11770</v>
      </c>
      <c r="O19" s="110">
        <f>SUBTOTAL(109,OfficeVariances[YEAR])</f>
        <v>69390</v>
      </c>
    </row>
    <row r="20" spans="1:15" ht="21" customHeight="1" x14ac:dyDescent="0.3">
      <c r="A20" s="34"/>
      <c r="B20" s="133"/>
      <c r="C20" s="133"/>
      <c r="D20" s="145"/>
      <c r="E20" s="145"/>
      <c r="F20" s="144"/>
      <c r="G20" s="144"/>
      <c r="H20" s="144"/>
      <c r="I20" s="144"/>
      <c r="J20" s="144"/>
      <c r="K20" s="144"/>
      <c r="L20" s="144"/>
      <c r="M20" s="144"/>
      <c r="N20" s="144"/>
      <c r="O20" s="143"/>
    </row>
    <row r="21" spans="1:15" ht="24.95" customHeight="1" thickBot="1" x14ac:dyDescent="0.35">
      <c r="A21" s="34" t="s">
        <v>91</v>
      </c>
      <c r="B21" s="60" t="s">
        <v>32</v>
      </c>
      <c r="C21" s="68" t="s">
        <v>46</v>
      </c>
      <c r="D21" s="68" t="s">
        <v>48</v>
      </c>
      <c r="E21" s="107" t="s">
        <v>50</v>
      </c>
      <c r="F21" s="68" t="s">
        <v>52</v>
      </c>
      <c r="G21" s="68" t="s">
        <v>54</v>
      </c>
      <c r="H21" s="68" t="s">
        <v>56</v>
      </c>
      <c r="I21" s="68" t="s">
        <v>58</v>
      </c>
      <c r="J21" s="68" t="s">
        <v>60</v>
      </c>
      <c r="K21" s="68" t="s">
        <v>64</v>
      </c>
      <c r="L21" s="68" t="s">
        <v>66</v>
      </c>
      <c r="M21" s="68" t="s">
        <v>68</v>
      </c>
      <c r="N21" s="68" t="s">
        <v>71</v>
      </c>
      <c r="O21" s="69" t="s">
        <v>72</v>
      </c>
    </row>
    <row r="22" spans="1:15" ht="24.95" customHeight="1" thickBot="1" x14ac:dyDescent="0.35">
      <c r="A22" s="34"/>
      <c r="B22" s="70" t="s">
        <v>33</v>
      </c>
      <c r="C22" s="100">
        <f>INDEX(MarketingPlan[],MATCH(INDEX(MarketingVariances[],ROW()-ROW(MarketingVariances[[#Headers],[Jan]]),1),INDEX(MarketingPlan[],,1),0),MATCH(MarketingVariances[[#Headers],[Jan]],MarketingPlan[#Headers],0))-INDEX(MarketingActual[],MATCH(INDEX(MarketingVariances[],ROW()-ROW(MarketingVariances[[#Headers],[Jan]]),1),INDEX(MarketingPlan[],,1),0),MATCH(MarketingVariances[[#Headers],[Jan]],MarketingActual[#Headers],0))</f>
        <v>0</v>
      </c>
      <c r="D22" s="100">
        <f>INDEX(MarketingPlan[],MATCH(INDEX(MarketingVariances[],ROW()-ROW(MarketingVariances[[#Headers],[Feb]]),1),INDEX(MarketingPlan[],,1),0),MATCH(MarketingVariances[[#Headers],[Feb]],MarketingPlan[#Headers],0))-INDEX(MarketingActual[],MATCH(INDEX(MarketingVariances[],ROW()-ROW(MarketingVariances[[#Headers],[Feb]]),1),INDEX(MarketingPlan[],,1),0),MATCH(MarketingVariances[[#Headers],[Feb]],MarketingActual[#Headers],0))</f>
        <v>0</v>
      </c>
      <c r="E22" s="100">
        <f>INDEX(MarketingPlan[],MATCH(INDEX(MarketingVariances[],ROW()-ROW(MarketingVariances[[#Headers],[Mar]]),1),INDEX(MarketingPlan[],,1),0),MATCH(MarketingVariances[[#Headers],[Mar]],MarketingPlan[#Headers],0))-INDEX(MarketingActual[],MATCH(INDEX(MarketingVariances[],ROW()-ROW(MarketingVariances[[#Headers],[Mar]]),1),INDEX(MarketingPlan[],,1),0),MATCH(MarketingVariances[[#Headers],[Mar]],MarketingActual[#Headers],0))</f>
        <v>0</v>
      </c>
      <c r="F22" s="100">
        <f>INDEX(MarketingPlan[],MATCH(INDEX(MarketingVariances[],ROW()-ROW(MarketingVariances[[#Headers],[Apr]]),1),INDEX(MarketingPlan[],,1),0),MATCH(MarketingVariances[[#Headers],[Apr]],MarketingPlan[#Headers],0))-INDEX(MarketingActual[],MATCH(INDEX(MarketingVariances[],ROW()-ROW(MarketingVariances[[#Headers],[Apr]]),1),INDEX(MarketingPlan[],,1),0),MATCH(MarketingVariances[[#Headers],[Apr]],MarketingActual[#Headers],0))</f>
        <v>0</v>
      </c>
      <c r="G22" s="100">
        <f>INDEX(MarketingPlan[],MATCH(INDEX(MarketingVariances[],ROW()-ROW(MarketingVariances[[#Headers],[May]]),1),INDEX(MarketingPlan[],,1),0),MATCH(MarketingVariances[[#Headers],[May]],MarketingPlan[#Headers],0))-INDEX(MarketingActual[],MATCH(INDEX(MarketingVariances[],ROW()-ROW(MarketingVariances[[#Headers],[May]]),1),INDEX(MarketingPlan[],,1),0),MATCH(MarketingVariances[[#Headers],[May]],MarketingActual[#Headers],0))</f>
        <v>0</v>
      </c>
      <c r="H22" s="100">
        <f>INDEX(MarketingPlan[],MATCH(INDEX(MarketingVariances[],ROW()-ROW(MarketingVariances[[#Headers],[Jun]]),1),INDEX(MarketingPlan[],,1),0),MATCH(MarketingVariances[[#Headers],[Jun]],MarketingPlan[#Headers],0))-INDEX(MarketingActual[],MATCH(INDEX(MarketingVariances[],ROW()-ROW(MarketingVariances[[#Headers],[Jun]]),1),INDEX(MarketingPlan[],,1),0),MATCH(MarketingVariances[[#Headers],[Jun]],MarketingActual[#Headers],0))</f>
        <v>0</v>
      </c>
      <c r="I22" s="100">
        <f>INDEX(MarketingPlan[],MATCH(INDEX(MarketingVariances[],ROW()-ROW(MarketingVariances[[#Headers],[Jul]]),1),INDEX(MarketingPlan[],,1),0),MATCH(MarketingVariances[[#Headers],[Jul]],MarketingPlan[#Headers],0))-INDEX(MarketingActual[],MATCH(INDEX(MarketingVariances[],ROW()-ROW(MarketingVariances[[#Headers],[Jul]]),1),INDEX(MarketingPlan[],,1),0),MATCH(MarketingVariances[[#Headers],[Jul]],MarketingActual[#Headers],0))</f>
        <v>500</v>
      </c>
      <c r="J22" s="100">
        <f>INDEX(MarketingPlan[],MATCH(INDEX(MarketingVariances[],ROW()-ROW(MarketingVariances[[#Headers],[Aug]]),1),INDEX(MarketingPlan[],,1),0),MATCH(MarketingVariances[[#Headers],[Aug]],MarketingPlan[#Headers],0))-INDEX(MarketingActual[],MATCH(INDEX(MarketingVariances[],ROW()-ROW(MarketingVariances[[#Headers],[Aug]]),1),INDEX(MarketingPlan[],,1),0),MATCH(MarketingVariances[[#Headers],[Aug]],MarketingActual[#Headers],0))</f>
        <v>500</v>
      </c>
      <c r="K22" s="100">
        <f>INDEX(MarketingPlan[],MATCH(INDEX(MarketingVariances[],ROW()-ROW(MarketingVariances[[#Headers],[Sep]]),1),INDEX(MarketingPlan[],,1),0),MATCH(MarketingVariances[[#Headers],[Sep]],MarketingPlan[#Headers],0))-INDEX(MarketingActual[],MATCH(INDEX(MarketingVariances[],ROW()-ROW(MarketingVariances[[#Headers],[Sep]]),1),INDEX(MarketingPlan[],,1),0),MATCH(MarketingVariances[[#Headers],[Sep]],MarketingActual[#Headers],0))</f>
        <v>500</v>
      </c>
      <c r="L22" s="100">
        <f>INDEX(MarketingPlan[],MATCH(INDEX(MarketingVariances[],ROW()-ROW(MarketingVariances[[#Headers],[Oct]]),1),INDEX(MarketingPlan[],,1),0),MATCH(MarketingVariances[[#Headers],[Oct]],MarketingPlan[#Headers],0))-INDEX(MarketingActual[],MATCH(INDEX(MarketingVariances[],ROW()-ROW(MarketingVariances[[#Headers],[Oct]]),1),INDEX(MarketingPlan[],,1),0),MATCH(MarketingVariances[[#Headers],[Oct]],MarketingActual[#Headers],0))</f>
        <v>500</v>
      </c>
      <c r="M22" s="100">
        <f>INDEX(MarketingPlan[],MATCH(INDEX(MarketingVariances[],ROW()-ROW(MarketingVariances[[#Headers],[Nov]]),1),INDEX(MarketingPlan[],,1),0),MATCH(MarketingVariances[[#Headers],[Nov]],MarketingPlan[#Headers],0))-INDEX(MarketingActual[],MATCH(INDEX(MarketingVariances[],ROW()-ROW(MarketingVariances[[#Headers],[Nov]]),1),INDEX(MarketingPlan[],,1),0),MATCH(MarketingVariances[[#Headers],[Nov]],MarketingActual[#Headers],0))</f>
        <v>500</v>
      </c>
      <c r="N22" s="100">
        <f>INDEX(MarketingPlan[],MATCH(INDEX(MarketingVariances[],ROW()-ROW(MarketingVariances[[#Headers],[Dec]]),1),INDEX(MarketingPlan[],,1),0),MATCH(MarketingVariances[[#Headers],[Dec]],MarketingPlan[#Headers],0))-INDEX(MarketingActual[],MATCH(INDEX(MarketingVariances[],ROW()-ROW(MarketingVariances[[#Headers],[Dec]]),1),INDEX(MarketingPlan[],,1),0),MATCH(MarketingVariances[[#Headers],[Dec]],MarketingActual[#Headers],0))</f>
        <v>500</v>
      </c>
      <c r="O22" s="101">
        <f>SUM(MarketingVariances[[#This Row],[Jan]:[Dec]])</f>
        <v>3000</v>
      </c>
    </row>
    <row r="23" spans="1:15" ht="24.95" customHeight="1" thickBot="1" x14ac:dyDescent="0.35">
      <c r="A23" s="34"/>
      <c r="B23" s="70" t="s">
        <v>34</v>
      </c>
      <c r="C23" s="100">
        <f>INDEX(MarketingPlan[],MATCH(INDEX(MarketingVariances[],ROW()-ROW(MarketingVariances[[#Headers],[Jan]]),1),INDEX(MarketingPlan[],,1),0),MATCH(MarketingVariances[[#Headers],[Jan]],MarketingPlan[#Headers],0))-INDEX(MarketingActual[],MATCH(INDEX(MarketingVariances[],ROW()-ROW(MarketingVariances[[#Headers],[Jan]]),1),INDEX(MarketingPlan[],,1),0),MATCH(MarketingVariances[[#Headers],[Jan]],MarketingActual[#Headers],0))</f>
        <v>0</v>
      </c>
      <c r="D23" s="100">
        <f>INDEX(MarketingPlan[],MATCH(INDEX(MarketingVariances[],ROW()-ROW(MarketingVariances[[#Headers],[Feb]]),1),INDEX(MarketingPlan[],,1),0),MATCH(MarketingVariances[[#Headers],[Feb]],MarketingPlan[#Headers],0))-INDEX(MarketingActual[],MATCH(INDEX(MarketingVariances[],ROW()-ROW(MarketingVariances[[#Headers],[Feb]]),1),INDEX(MarketingPlan[],,1),0),MATCH(MarketingVariances[[#Headers],[Feb]],MarketingActual[#Headers],0))</f>
        <v>0</v>
      </c>
      <c r="E23" s="100">
        <f>INDEX(MarketingPlan[],MATCH(INDEX(MarketingVariances[],ROW()-ROW(MarketingVariances[[#Headers],[Mar]]),1),INDEX(MarketingPlan[],,1),0),MATCH(MarketingVariances[[#Headers],[Mar]],MarketingPlan[#Headers],0))-INDEX(MarketingActual[],MATCH(INDEX(MarketingVariances[],ROW()-ROW(MarketingVariances[[#Headers],[Mar]]),1),INDEX(MarketingPlan[],,1),0),MATCH(MarketingVariances[[#Headers],[Mar]],MarketingActual[#Headers],0))</f>
        <v>0</v>
      </c>
      <c r="F23" s="100">
        <f>INDEX(MarketingPlan[],MATCH(INDEX(MarketingVariances[],ROW()-ROW(MarketingVariances[[#Headers],[Apr]]),1),INDEX(MarketingPlan[],,1),0),MATCH(MarketingVariances[[#Headers],[Apr]],MarketingPlan[#Headers],0))-INDEX(MarketingActual[],MATCH(INDEX(MarketingVariances[],ROW()-ROW(MarketingVariances[[#Headers],[Apr]]),1),INDEX(MarketingPlan[],,1),0),MATCH(MarketingVariances[[#Headers],[Apr]],MarketingActual[#Headers],0))</f>
        <v>0</v>
      </c>
      <c r="G23" s="100">
        <f>INDEX(MarketingPlan[],MATCH(INDEX(MarketingVariances[],ROW()-ROW(MarketingVariances[[#Headers],[May]]),1),INDEX(MarketingPlan[],,1),0),MATCH(MarketingVariances[[#Headers],[May]],MarketingPlan[#Headers],0))-INDEX(MarketingActual[],MATCH(INDEX(MarketingVariances[],ROW()-ROW(MarketingVariances[[#Headers],[May]]),1),INDEX(MarketingPlan[],,1),0),MATCH(MarketingVariances[[#Headers],[May]],MarketingActual[#Headers],0))</f>
        <v>0</v>
      </c>
      <c r="H23" s="100">
        <f>INDEX(MarketingPlan[],MATCH(INDEX(MarketingVariances[],ROW()-ROW(MarketingVariances[[#Headers],[Jun]]),1),INDEX(MarketingPlan[],,1),0),MATCH(MarketingVariances[[#Headers],[Jun]],MarketingPlan[#Headers],0))-INDEX(MarketingActual[],MATCH(INDEX(MarketingVariances[],ROW()-ROW(MarketingVariances[[#Headers],[Jun]]),1),INDEX(MarketingPlan[],,1),0),MATCH(MarketingVariances[[#Headers],[Jun]],MarketingActual[#Headers],0))</f>
        <v>-500</v>
      </c>
      <c r="I23" s="100">
        <f>INDEX(MarketingPlan[],MATCH(INDEX(MarketingVariances[],ROW()-ROW(MarketingVariances[[#Headers],[Jul]]),1),INDEX(MarketingPlan[],,1),0),MATCH(MarketingVariances[[#Headers],[Jul]],MarketingPlan[#Headers],0))-INDEX(MarketingActual[],MATCH(INDEX(MarketingVariances[],ROW()-ROW(MarketingVariances[[#Headers],[Jul]]),1),INDEX(MarketingPlan[],,1),0),MATCH(MarketingVariances[[#Headers],[Jul]],MarketingActual[#Headers],0))</f>
        <v>200</v>
      </c>
      <c r="J23" s="100">
        <f>INDEX(MarketingPlan[],MATCH(INDEX(MarketingVariances[],ROW()-ROW(MarketingVariances[[#Headers],[Aug]]),1),INDEX(MarketingPlan[],,1),0),MATCH(MarketingVariances[[#Headers],[Aug]],MarketingPlan[#Headers],0))-INDEX(MarketingActual[],MATCH(INDEX(MarketingVariances[],ROW()-ROW(MarketingVariances[[#Headers],[Aug]]),1),INDEX(MarketingPlan[],,1),0),MATCH(MarketingVariances[[#Headers],[Aug]],MarketingActual[#Headers],0))</f>
        <v>200</v>
      </c>
      <c r="K23" s="100">
        <f>INDEX(MarketingPlan[],MATCH(INDEX(MarketingVariances[],ROW()-ROW(MarketingVariances[[#Headers],[Sep]]),1),INDEX(MarketingPlan[],,1),0),MATCH(MarketingVariances[[#Headers],[Sep]],MarketingPlan[#Headers],0))-INDEX(MarketingActual[],MATCH(INDEX(MarketingVariances[],ROW()-ROW(MarketingVariances[[#Headers],[Sep]]),1),INDEX(MarketingPlan[],,1),0),MATCH(MarketingVariances[[#Headers],[Sep]],MarketingActual[#Headers],0))</f>
        <v>200</v>
      </c>
      <c r="L23" s="100">
        <f>INDEX(MarketingPlan[],MATCH(INDEX(MarketingVariances[],ROW()-ROW(MarketingVariances[[#Headers],[Oct]]),1),INDEX(MarketingPlan[],,1),0),MATCH(MarketingVariances[[#Headers],[Oct]],MarketingPlan[#Headers],0))-INDEX(MarketingActual[],MATCH(INDEX(MarketingVariances[],ROW()-ROW(MarketingVariances[[#Headers],[Oct]]),1),INDEX(MarketingPlan[],,1),0),MATCH(MarketingVariances[[#Headers],[Oct]],MarketingActual[#Headers],0))</f>
        <v>200</v>
      </c>
      <c r="M23" s="100">
        <f>INDEX(MarketingPlan[],MATCH(INDEX(MarketingVariances[],ROW()-ROW(MarketingVariances[[#Headers],[Nov]]),1),INDEX(MarketingPlan[],,1),0),MATCH(MarketingVariances[[#Headers],[Nov]],MarketingPlan[#Headers],0))-INDEX(MarketingActual[],MATCH(INDEX(MarketingVariances[],ROW()-ROW(MarketingVariances[[#Headers],[Nov]]),1),INDEX(MarketingPlan[],,1),0),MATCH(MarketingVariances[[#Headers],[Nov]],MarketingActual[#Headers],0))</f>
        <v>200</v>
      </c>
      <c r="N23" s="100">
        <f>INDEX(MarketingPlan[],MATCH(INDEX(MarketingVariances[],ROW()-ROW(MarketingVariances[[#Headers],[Dec]]),1),INDEX(MarketingPlan[],,1),0),MATCH(MarketingVariances[[#Headers],[Dec]],MarketingPlan[#Headers],0))-INDEX(MarketingActual[],MATCH(INDEX(MarketingVariances[],ROW()-ROW(MarketingVariances[[#Headers],[Dec]]),1),INDEX(MarketingPlan[],,1),0),MATCH(MarketingVariances[[#Headers],[Dec]],MarketingActual[#Headers],0))</f>
        <v>1000</v>
      </c>
      <c r="O23" s="101">
        <f>SUM(MarketingVariances[[#This Row],[Jan]:[Dec]])</f>
        <v>1500</v>
      </c>
    </row>
    <row r="24" spans="1:15" ht="24.95" customHeight="1" thickBot="1" x14ac:dyDescent="0.35">
      <c r="A24" s="34"/>
      <c r="B24" s="70" t="s">
        <v>35</v>
      </c>
      <c r="C24" s="100">
        <f>INDEX(MarketingPlan[],MATCH(INDEX(MarketingVariances[],ROW()-ROW(MarketingVariances[[#Headers],[Jan]]),1),INDEX(MarketingPlan[],,1),0),MATCH(MarketingVariances[[#Headers],[Jan]],MarketingPlan[#Headers],0))-INDEX(MarketingActual[],MATCH(INDEX(MarketingVariances[],ROW()-ROW(MarketingVariances[[#Headers],[Jan]]),1),INDEX(MarketingPlan[],,1),0),MATCH(MarketingVariances[[#Headers],[Jan]],MarketingActual[#Headers],0))</f>
        <v>200</v>
      </c>
      <c r="D24" s="100">
        <f>INDEX(MarketingPlan[],MATCH(INDEX(MarketingVariances[],ROW()-ROW(MarketingVariances[[#Headers],[Feb]]),1),INDEX(MarketingPlan[],,1),0),MATCH(MarketingVariances[[#Headers],[Feb]],MarketingPlan[#Headers],0))-INDEX(MarketingActual[],MATCH(INDEX(MarketingVariances[],ROW()-ROW(MarketingVariances[[#Headers],[Feb]]),1),INDEX(MarketingPlan[],,1),0),MATCH(MarketingVariances[[#Headers],[Feb]],MarketingActual[#Headers],0))</f>
        <v>0</v>
      </c>
      <c r="E24" s="100">
        <f>INDEX(MarketingPlan[],MATCH(INDEX(MarketingVariances[],ROW()-ROW(MarketingVariances[[#Headers],[Mar]]),1),INDEX(MarketingPlan[],,1),0),MATCH(MarketingVariances[[#Headers],[Mar]],MarketingPlan[#Headers],0))-INDEX(MarketingActual[],MATCH(INDEX(MarketingVariances[],ROW()-ROW(MarketingVariances[[#Headers],[Mar]]),1),INDEX(MarketingPlan[],,1),0),MATCH(MarketingVariances[[#Headers],[Mar]],MarketingActual[#Headers],0))</f>
        <v>0</v>
      </c>
      <c r="F24" s="100">
        <f>INDEX(MarketingPlan[],MATCH(INDEX(MarketingVariances[],ROW()-ROW(MarketingVariances[[#Headers],[Apr]]),1),INDEX(MarketingPlan[],,1),0),MATCH(MarketingVariances[[#Headers],[Apr]],MarketingPlan[#Headers],0))-INDEX(MarketingActual[],MATCH(INDEX(MarketingVariances[],ROW()-ROW(MarketingVariances[[#Headers],[Apr]]),1),INDEX(MarketingPlan[],,1),0),MATCH(MarketingVariances[[#Headers],[Apr]],MarketingActual[#Headers],0))</f>
        <v>-500</v>
      </c>
      <c r="G24" s="100">
        <f>INDEX(MarketingPlan[],MATCH(INDEX(MarketingVariances[],ROW()-ROW(MarketingVariances[[#Headers],[May]]),1),INDEX(MarketingPlan[],,1),0),MATCH(MarketingVariances[[#Headers],[May]],MarketingPlan[#Headers],0))-INDEX(MarketingActual[],MATCH(INDEX(MarketingVariances[],ROW()-ROW(MarketingVariances[[#Headers],[May]]),1),INDEX(MarketingPlan[],,1),0),MATCH(MarketingVariances[[#Headers],[May]],MarketingActual[#Headers],0))</f>
        <v>0</v>
      </c>
      <c r="H24" s="100">
        <f>INDEX(MarketingPlan[],MATCH(INDEX(MarketingVariances[],ROW()-ROW(MarketingVariances[[#Headers],[Jun]]),1),INDEX(MarketingPlan[],,1),0),MATCH(MarketingVariances[[#Headers],[Jun]],MarketingPlan[#Headers],0))-INDEX(MarketingActual[],MATCH(INDEX(MarketingVariances[],ROW()-ROW(MarketingVariances[[#Headers],[Jun]]),1),INDEX(MarketingPlan[],,1),0),MATCH(MarketingVariances[[#Headers],[Jun]],MarketingActual[#Headers],0))</f>
        <v>0</v>
      </c>
      <c r="I24" s="100">
        <f>INDEX(MarketingPlan[],MATCH(INDEX(MarketingVariances[],ROW()-ROW(MarketingVariances[[#Headers],[Jul]]),1),INDEX(MarketingPlan[],,1),0),MATCH(MarketingVariances[[#Headers],[Jul]],MarketingPlan[#Headers],0))-INDEX(MarketingActual[],MATCH(INDEX(MarketingVariances[],ROW()-ROW(MarketingVariances[[#Headers],[Jul]]),1),INDEX(MarketingPlan[],,1),0),MATCH(MarketingVariances[[#Headers],[Jul]],MarketingActual[#Headers],0))</f>
        <v>5000</v>
      </c>
      <c r="J24" s="100">
        <f>INDEX(MarketingPlan[],MATCH(INDEX(MarketingVariances[],ROW()-ROW(MarketingVariances[[#Headers],[Aug]]),1),INDEX(MarketingPlan[],,1),0),MATCH(MarketingVariances[[#Headers],[Aug]],MarketingPlan[#Headers],0))-INDEX(MarketingActual[],MATCH(INDEX(MarketingVariances[],ROW()-ROW(MarketingVariances[[#Headers],[Aug]]),1),INDEX(MarketingPlan[],,1),0),MATCH(MarketingVariances[[#Headers],[Aug]],MarketingActual[#Headers],0))</f>
        <v>0</v>
      </c>
      <c r="K24" s="100">
        <f>INDEX(MarketingPlan[],MATCH(INDEX(MarketingVariances[],ROW()-ROW(MarketingVariances[[#Headers],[Sep]]),1),INDEX(MarketingPlan[],,1),0),MATCH(MarketingVariances[[#Headers],[Sep]],MarketingPlan[#Headers],0))-INDEX(MarketingActual[],MATCH(INDEX(MarketingVariances[],ROW()-ROW(MarketingVariances[[#Headers],[Sep]]),1),INDEX(MarketingPlan[],,1),0),MATCH(MarketingVariances[[#Headers],[Sep]],MarketingActual[#Headers],0))</f>
        <v>0</v>
      </c>
      <c r="L24" s="100">
        <f>INDEX(MarketingPlan[],MATCH(INDEX(MarketingVariances[],ROW()-ROW(MarketingVariances[[#Headers],[Oct]]),1),INDEX(MarketingPlan[],,1),0),MATCH(MarketingVariances[[#Headers],[Oct]],MarketingPlan[#Headers],0))-INDEX(MarketingActual[],MATCH(INDEX(MarketingVariances[],ROW()-ROW(MarketingVariances[[#Headers],[Oct]]),1),INDEX(MarketingPlan[],,1),0),MATCH(MarketingVariances[[#Headers],[Oct]],MarketingActual[#Headers],0))</f>
        <v>5000</v>
      </c>
      <c r="M24" s="100">
        <f>INDEX(MarketingPlan[],MATCH(INDEX(MarketingVariances[],ROW()-ROW(MarketingVariances[[#Headers],[Nov]]),1),INDEX(MarketingPlan[],,1),0),MATCH(MarketingVariances[[#Headers],[Nov]],MarketingPlan[#Headers],0))-INDEX(MarketingActual[],MATCH(INDEX(MarketingVariances[],ROW()-ROW(MarketingVariances[[#Headers],[Nov]]),1),INDEX(MarketingPlan[],,1),0),MATCH(MarketingVariances[[#Headers],[Nov]],MarketingActual[#Headers],0))</f>
        <v>0</v>
      </c>
      <c r="N24" s="100">
        <f>INDEX(MarketingPlan[],MATCH(INDEX(MarketingVariances[],ROW()-ROW(MarketingVariances[[#Headers],[Dec]]),1),INDEX(MarketingPlan[],,1),0),MATCH(MarketingVariances[[#Headers],[Dec]],MarketingPlan[#Headers],0))-INDEX(MarketingActual[],MATCH(INDEX(MarketingVariances[],ROW()-ROW(MarketingVariances[[#Headers],[Dec]]),1),INDEX(MarketingPlan[],,1),0),MATCH(MarketingVariances[[#Headers],[Dec]],MarketingActual[#Headers],0))</f>
        <v>0</v>
      </c>
      <c r="O24" s="101">
        <f>SUM(MarketingVariances[[#This Row],[Jan]:[Dec]])</f>
        <v>9700</v>
      </c>
    </row>
    <row r="25" spans="1:15" ht="24.95" customHeight="1" thickBot="1" x14ac:dyDescent="0.35">
      <c r="A25" s="34"/>
      <c r="B25" s="70" t="s">
        <v>36</v>
      </c>
      <c r="C25" s="100">
        <f>INDEX(MarketingPlan[],MATCH(INDEX(MarketingVariances[],ROW()-ROW(MarketingVariances[[#Headers],[Jan]]),1),INDEX(MarketingPlan[],,1),0),MATCH(MarketingVariances[[#Headers],[Jan]],MarketingPlan[#Headers],0))-INDEX(MarketingActual[],MATCH(INDEX(MarketingVariances[],ROW()-ROW(MarketingVariances[[#Headers],[Jan]]),1),INDEX(MarketingPlan[],,1),0),MATCH(MarketingVariances[[#Headers],[Jan]],MarketingActual[#Headers],0))</f>
        <v>100</v>
      </c>
      <c r="D25" s="100">
        <f>INDEX(MarketingPlan[],MATCH(INDEX(MarketingVariances[],ROW()-ROW(MarketingVariances[[#Headers],[Feb]]),1),INDEX(MarketingPlan[],,1),0),MATCH(MarketingVariances[[#Headers],[Feb]],MarketingPlan[#Headers],0))-INDEX(MarketingActual[],MATCH(INDEX(MarketingVariances[],ROW()-ROW(MarketingVariances[[#Headers],[Feb]]),1),INDEX(MarketingPlan[],,1),0),MATCH(MarketingVariances[[#Headers],[Feb]],MarketingActual[#Headers],0))</f>
        <v>-300</v>
      </c>
      <c r="E25" s="100">
        <f>INDEX(MarketingPlan[],MATCH(INDEX(MarketingVariances[],ROW()-ROW(MarketingVariances[[#Headers],[Mar]]),1),INDEX(MarketingPlan[],,1),0),MATCH(MarketingVariances[[#Headers],[Mar]],MarketingPlan[#Headers],0))-INDEX(MarketingActual[],MATCH(INDEX(MarketingVariances[],ROW()-ROW(MarketingVariances[[#Headers],[Mar]]),1),INDEX(MarketingPlan[],,1),0),MATCH(MarketingVariances[[#Headers],[Mar]],MarketingActual[#Headers],0))</f>
        <v>100</v>
      </c>
      <c r="F25" s="100">
        <f>INDEX(MarketingPlan[],MATCH(INDEX(MarketingVariances[],ROW()-ROW(MarketingVariances[[#Headers],[Apr]]),1),INDEX(MarketingPlan[],,1),0),MATCH(MarketingVariances[[#Headers],[Apr]],MarketingPlan[#Headers],0))-INDEX(MarketingActual[],MATCH(INDEX(MarketingVariances[],ROW()-ROW(MarketingVariances[[#Headers],[Apr]]),1),INDEX(MarketingPlan[],,1),0),MATCH(MarketingVariances[[#Headers],[Apr]],MarketingActual[#Headers],0))</f>
        <v>100</v>
      </c>
      <c r="G25" s="100">
        <f>INDEX(MarketingPlan[],MATCH(INDEX(MarketingVariances[],ROW()-ROW(MarketingVariances[[#Headers],[May]]),1),INDEX(MarketingPlan[],,1),0),MATCH(MarketingVariances[[#Headers],[May]],MarketingPlan[#Headers],0))-INDEX(MarketingActual[],MATCH(INDEX(MarketingVariances[],ROW()-ROW(MarketingVariances[[#Headers],[May]]),1),INDEX(MarketingPlan[],,1),0),MATCH(MarketingVariances[[#Headers],[May]],MarketingActual[#Headers],0))</f>
        <v>-400</v>
      </c>
      <c r="H25" s="100">
        <f>INDEX(MarketingPlan[],MATCH(INDEX(MarketingVariances[],ROW()-ROW(MarketingVariances[[#Headers],[Jun]]),1),INDEX(MarketingPlan[],,1),0),MATCH(MarketingVariances[[#Headers],[Jun]],MarketingPlan[#Headers],0))-INDEX(MarketingActual[],MATCH(INDEX(MarketingVariances[],ROW()-ROW(MarketingVariances[[#Headers],[Jun]]),1),INDEX(MarketingPlan[],,1),0),MATCH(MarketingVariances[[#Headers],[Jun]],MarketingActual[#Headers],0))</f>
        <v>20</v>
      </c>
      <c r="I25" s="100">
        <f>INDEX(MarketingPlan[],MATCH(INDEX(MarketingVariances[],ROW()-ROW(MarketingVariances[[#Headers],[Jul]]),1),INDEX(MarketingPlan[],,1),0),MATCH(MarketingVariances[[#Headers],[Jul]],MarketingPlan[#Headers],0))-INDEX(MarketingActual[],MATCH(INDEX(MarketingVariances[],ROW()-ROW(MarketingVariances[[#Headers],[Jul]]),1),INDEX(MarketingPlan[],,1),0),MATCH(MarketingVariances[[#Headers],[Jul]],MarketingActual[#Headers],0))</f>
        <v>200</v>
      </c>
      <c r="J25" s="100">
        <f>INDEX(MarketingPlan[],MATCH(INDEX(MarketingVariances[],ROW()-ROW(MarketingVariances[[#Headers],[Aug]]),1),INDEX(MarketingPlan[],,1),0),MATCH(MarketingVariances[[#Headers],[Aug]],MarketingPlan[#Headers],0))-INDEX(MarketingActual[],MATCH(INDEX(MarketingVariances[],ROW()-ROW(MarketingVariances[[#Headers],[Aug]]),1),INDEX(MarketingPlan[],,1),0),MATCH(MarketingVariances[[#Headers],[Aug]],MarketingActual[#Headers],0))</f>
        <v>200</v>
      </c>
      <c r="K25" s="100">
        <f>INDEX(MarketingPlan[],MATCH(INDEX(MarketingVariances[],ROW()-ROW(MarketingVariances[[#Headers],[Sep]]),1),INDEX(MarketingPlan[],,1),0),MATCH(MarketingVariances[[#Headers],[Sep]],MarketingPlan[#Headers],0))-INDEX(MarketingActual[],MATCH(INDEX(MarketingVariances[],ROW()-ROW(MarketingVariances[[#Headers],[Sep]]),1),INDEX(MarketingPlan[],,1),0),MATCH(MarketingVariances[[#Headers],[Sep]],MarketingActual[#Headers],0))</f>
        <v>200</v>
      </c>
      <c r="L25" s="100">
        <f>INDEX(MarketingPlan[],MATCH(INDEX(MarketingVariances[],ROW()-ROW(MarketingVariances[[#Headers],[Oct]]),1),INDEX(MarketingPlan[],,1),0),MATCH(MarketingVariances[[#Headers],[Oct]],MarketingPlan[#Headers],0))-INDEX(MarketingActual[],MATCH(INDEX(MarketingVariances[],ROW()-ROW(MarketingVariances[[#Headers],[Oct]]),1),INDEX(MarketingPlan[],,1),0),MATCH(MarketingVariances[[#Headers],[Oct]],MarketingActual[#Headers],0))</f>
        <v>200</v>
      </c>
      <c r="M25" s="100">
        <f>INDEX(MarketingPlan[],MATCH(INDEX(MarketingVariances[],ROW()-ROW(MarketingVariances[[#Headers],[Nov]]),1),INDEX(MarketingPlan[],,1),0),MATCH(MarketingVariances[[#Headers],[Nov]],MarketingPlan[#Headers],0))-INDEX(MarketingActual[],MATCH(INDEX(MarketingVariances[],ROW()-ROW(MarketingVariances[[#Headers],[Nov]]),1),INDEX(MarketingPlan[],,1),0),MATCH(MarketingVariances[[#Headers],[Nov]],MarketingActual[#Headers],0))</f>
        <v>200</v>
      </c>
      <c r="N25" s="100">
        <f>INDEX(MarketingPlan[],MATCH(INDEX(MarketingVariances[],ROW()-ROW(MarketingVariances[[#Headers],[Dec]]),1),INDEX(MarketingPlan[],,1),0),MATCH(MarketingVariances[[#Headers],[Dec]],MarketingPlan[#Headers],0))-INDEX(MarketingActual[],MATCH(INDEX(MarketingVariances[],ROW()-ROW(MarketingVariances[[#Headers],[Dec]]),1),INDEX(MarketingPlan[],,1),0),MATCH(MarketingVariances[[#Headers],[Dec]],MarketingActual[#Headers],0))</f>
        <v>200</v>
      </c>
      <c r="O25" s="101">
        <f>SUM(MarketingVariances[[#This Row],[Jan]:[Dec]])</f>
        <v>820</v>
      </c>
    </row>
    <row r="26" spans="1:15" ht="24.95" customHeight="1" thickBot="1" x14ac:dyDescent="0.35">
      <c r="A26" s="34"/>
      <c r="B26" s="70" t="s">
        <v>37</v>
      </c>
      <c r="C26" s="100">
        <f>INDEX(MarketingPlan[],MATCH(INDEX(MarketingVariances[],ROW()-ROW(MarketingVariances[[#Headers],[Jan]]),1),INDEX(MarketingPlan[],,1),0),MATCH(MarketingVariances[[#Headers],[Jan]],MarketingPlan[#Headers],0))-INDEX(MarketingActual[],MATCH(INDEX(MarketingVariances[],ROW()-ROW(MarketingVariances[[#Headers],[Jan]]),1),INDEX(MarketingPlan[],,1),0),MATCH(MarketingVariances[[#Headers],[Jan]],MarketingActual[#Headers],0))</f>
        <v>200</v>
      </c>
      <c r="D26" s="100">
        <f>INDEX(MarketingPlan[],MATCH(INDEX(MarketingVariances[],ROW()-ROW(MarketingVariances[[#Headers],[Feb]]),1),INDEX(MarketingPlan[],,1),0),MATCH(MarketingVariances[[#Headers],[Feb]],MarketingPlan[#Headers],0))-INDEX(MarketingActual[],MATCH(INDEX(MarketingVariances[],ROW()-ROW(MarketingVariances[[#Headers],[Feb]]),1),INDEX(MarketingPlan[],,1),0),MATCH(MarketingVariances[[#Headers],[Feb]],MarketingActual[#Headers],0))</f>
        <v>-200</v>
      </c>
      <c r="E26" s="100">
        <f>INDEX(MarketingPlan[],MATCH(INDEX(MarketingVariances[],ROW()-ROW(MarketingVariances[[#Headers],[Mar]]),1),INDEX(MarketingPlan[],,1),0),MATCH(MarketingVariances[[#Headers],[Mar]],MarketingPlan[#Headers],0))-INDEX(MarketingActual[],MATCH(INDEX(MarketingVariances[],ROW()-ROW(MarketingVariances[[#Headers],[Mar]]),1),INDEX(MarketingPlan[],,1),0),MATCH(MarketingVariances[[#Headers],[Mar]],MarketingActual[#Headers],0))</f>
        <v>-200</v>
      </c>
      <c r="F26" s="100">
        <f>INDEX(MarketingPlan[],MATCH(INDEX(MarketingVariances[],ROW()-ROW(MarketingVariances[[#Headers],[Apr]]),1),INDEX(MarketingPlan[],,1),0),MATCH(MarketingVariances[[#Headers],[Apr]],MarketingPlan[#Headers],0))-INDEX(MarketingActual[],MATCH(INDEX(MarketingVariances[],ROW()-ROW(MarketingVariances[[#Headers],[Apr]]),1),INDEX(MarketingPlan[],,1),0),MATCH(MarketingVariances[[#Headers],[Apr]],MarketingActual[#Headers],0))</f>
        <v>300</v>
      </c>
      <c r="G26" s="100">
        <f>INDEX(MarketingPlan[],MATCH(INDEX(MarketingVariances[],ROW()-ROW(MarketingVariances[[#Headers],[May]]),1),INDEX(MarketingPlan[],,1),0),MATCH(MarketingVariances[[#Headers],[May]],MarketingPlan[#Headers],0))-INDEX(MarketingActual[],MATCH(INDEX(MarketingVariances[],ROW()-ROW(MarketingVariances[[#Headers],[May]]),1),INDEX(MarketingPlan[],,1),0),MATCH(MarketingVariances[[#Headers],[May]],MarketingActual[#Headers],0))</f>
        <v>500</v>
      </c>
      <c r="H26" s="100">
        <f>INDEX(MarketingPlan[],MATCH(INDEX(MarketingVariances[],ROW()-ROW(MarketingVariances[[#Headers],[Jun]]),1),INDEX(MarketingPlan[],,1),0),MATCH(MarketingVariances[[#Headers],[Jun]],MarketingPlan[#Headers],0))-INDEX(MarketingActual[],MATCH(INDEX(MarketingVariances[],ROW()-ROW(MarketingVariances[[#Headers],[Jun]]),1),INDEX(MarketingPlan[],,1),0),MATCH(MarketingVariances[[#Headers],[Jun]],MarketingActual[#Headers],0))</f>
        <v>-300</v>
      </c>
      <c r="I26" s="100">
        <f>INDEX(MarketingPlan[],MATCH(INDEX(MarketingVariances[],ROW()-ROW(MarketingVariances[[#Headers],[Jul]]),1),INDEX(MarketingPlan[],,1),0),MATCH(MarketingVariances[[#Headers],[Jul]],MarketingPlan[#Headers],0))-INDEX(MarketingActual[],MATCH(INDEX(MarketingVariances[],ROW()-ROW(MarketingVariances[[#Headers],[Jul]]),1),INDEX(MarketingPlan[],,1),0),MATCH(MarketingVariances[[#Headers],[Jul]],MarketingActual[#Headers],0))</f>
        <v>2000</v>
      </c>
      <c r="J26" s="100">
        <f>INDEX(MarketingPlan[],MATCH(INDEX(MarketingVariances[],ROW()-ROW(MarketingVariances[[#Headers],[Aug]]),1),INDEX(MarketingPlan[],,1),0),MATCH(MarketingVariances[[#Headers],[Aug]],MarketingPlan[#Headers],0))-INDEX(MarketingActual[],MATCH(INDEX(MarketingVariances[],ROW()-ROW(MarketingVariances[[#Headers],[Aug]]),1),INDEX(MarketingPlan[],,1),0),MATCH(MarketingVariances[[#Headers],[Aug]],MarketingActual[#Headers],0))</f>
        <v>5000</v>
      </c>
      <c r="K26" s="100">
        <f>INDEX(MarketingPlan[],MATCH(INDEX(MarketingVariances[],ROW()-ROW(MarketingVariances[[#Headers],[Sep]]),1),INDEX(MarketingPlan[],,1),0),MATCH(MarketingVariances[[#Headers],[Sep]],MarketingPlan[#Headers],0))-INDEX(MarketingActual[],MATCH(INDEX(MarketingVariances[],ROW()-ROW(MarketingVariances[[#Headers],[Sep]]),1),INDEX(MarketingPlan[],,1),0),MATCH(MarketingVariances[[#Headers],[Sep]],MarketingActual[#Headers],0))</f>
        <v>2000</v>
      </c>
      <c r="L26" s="100">
        <f>INDEX(MarketingPlan[],MATCH(INDEX(MarketingVariances[],ROW()-ROW(MarketingVariances[[#Headers],[Oct]]),1),INDEX(MarketingPlan[],,1),0),MATCH(MarketingVariances[[#Headers],[Oct]],MarketingPlan[#Headers],0))-INDEX(MarketingActual[],MATCH(INDEX(MarketingVariances[],ROW()-ROW(MarketingVariances[[#Headers],[Oct]]),1),INDEX(MarketingPlan[],,1),0),MATCH(MarketingVariances[[#Headers],[Oct]],MarketingActual[#Headers],0))</f>
        <v>2000</v>
      </c>
      <c r="M26" s="100">
        <f>INDEX(MarketingPlan[],MATCH(INDEX(MarketingVariances[],ROW()-ROW(MarketingVariances[[#Headers],[Nov]]),1),INDEX(MarketingPlan[],,1),0),MATCH(MarketingVariances[[#Headers],[Nov]],MarketingPlan[#Headers],0))-INDEX(MarketingActual[],MATCH(INDEX(MarketingVariances[],ROW()-ROW(MarketingVariances[[#Headers],[Nov]]),1),INDEX(MarketingPlan[],,1),0),MATCH(MarketingVariances[[#Headers],[Nov]],MarketingActual[#Headers],0))</f>
        <v>2000</v>
      </c>
      <c r="N26" s="100">
        <f>INDEX(MarketingPlan[],MATCH(INDEX(MarketingVariances[],ROW()-ROW(MarketingVariances[[#Headers],[Dec]]),1),INDEX(MarketingPlan[],,1),0),MATCH(MarketingVariances[[#Headers],[Dec]],MarketingPlan[#Headers],0))-INDEX(MarketingActual[],MATCH(INDEX(MarketingVariances[],ROW()-ROW(MarketingVariances[[#Headers],[Dec]]),1),INDEX(MarketingPlan[],,1),0),MATCH(MarketingVariances[[#Headers],[Dec]],MarketingActual[#Headers],0))</f>
        <v>5000</v>
      </c>
      <c r="O26" s="101">
        <f>SUM(MarketingVariances[[#This Row],[Jan]:[Dec]])</f>
        <v>18300</v>
      </c>
    </row>
    <row r="27" spans="1:15" ht="24.95" customHeight="1" thickBot="1" x14ac:dyDescent="0.35">
      <c r="A27" s="34"/>
      <c r="B27" s="70" t="s">
        <v>38</v>
      </c>
      <c r="C27" s="100">
        <f>INDEX(MarketingPlan[],MATCH(INDEX(MarketingVariances[],ROW()-ROW(MarketingVariances[[#Headers],[Jan]]),1),INDEX(MarketingPlan[],,1),0),MATCH(MarketingVariances[[#Headers],[Jan]],MarketingPlan[#Headers],0))-INDEX(MarketingActual[],MATCH(INDEX(MarketingVariances[],ROW()-ROW(MarketingVariances[[#Headers],[Jan]]),1),INDEX(MarketingPlan[],,1),0),MATCH(MarketingVariances[[#Headers],[Jan]],MarketingActual[#Headers],0))</f>
        <v>55</v>
      </c>
      <c r="D27" s="100">
        <f>INDEX(MarketingPlan[],MATCH(INDEX(MarketingVariances[],ROW()-ROW(MarketingVariances[[#Headers],[Feb]]),1),INDEX(MarketingPlan[],,1),0),MATCH(MarketingVariances[[#Headers],[Feb]],MarketingPlan[#Headers],0))-INDEX(MarketingActual[],MATCH(INDEX(MarketingVariances[],ROW()-ROW(MarketingVariances[[#Headers],[Feb]]),1),INDEX(MarketingPlan[],,1),0),MATCH(MarketingVariances[[#Headers],[Feb]],MarketingActual[#Headers],0))</f>
        <v>44</v>
      </c>
      <c r="E27" s="100">
        <f>INDEX(MarketingPlan[],MATCH(INDEX(MarketingVariances[],ROW()-ROW(MarketingVariances[[#Headers],[Mar]]),1),INDEX(MarketingPlan[],,1),0),MATCH(MarketingVariances[[#Headers],[Mar]],MarketingPlan[#Headers],0))-INDEX(MarketingActual[],MATCH(INDEX(MarketingVariances[],ROW()-ROW(MarketingVariances[[#Headers],[Mar]]),1),INDEX(MarketingPlan[],,1),0),MATCH(MarketingVariances[[#Headers],[Mar]],MarketingActual[#Headers],0))</f>
        <v>77</v>
      </c>
      <c r="F27" s="100">
        <f>INDEX(MarketingPlan[],MATCH(INDEX(MarketingVariances[],ROW()-ROW(MarketingVariances[[#Headers],[Apr]]),1),INDEX(MarketingPlan[],,1),0),MATCH(MarketingVariances[[#Headers],[Apr]],MarketingPlan[#Headers],0))-INDEX(MarketingActual[],MATCH(INDEX(MarketingVariances[],ROW()-ROW(MarketingVariances[[#Headers],[Apr]]),1),INDEX(MarketingPlan[],,1),0),MATCH(MarketingVariances[[#Headers],[Apr]],MarketingActual[#Headers],0))</f>
        <v>-23</v>
      </c>
      <c r="G27" s="100">
        <f>INDEX(MarketingPlan[],MATCH(INDEX(MarketingVariances[],ROW()-ROW(MarketingVariances[[#Headers],[May]]),1),INDEX(MarketingPlan[],,1),0),MATCH(MarketingVariances[[#Headers],[May]],MarketingPlan[#Headers],0))-INDEX(MarketingActual[],MATCH(INDEX(MarketingVariances[],ROW()-ROW(MarketingVariances[[#Headers],[May]]),1),INDEX(MarketingPlan[],,1),0),MATCH(MarketingVariances[[#Headers],[May]],MarketingActual[#Headers],0))</f>
        <v>13</v>
      </c>
      <c r="H27" s="100">
        <f>INDEX(MarketingPlan[],MATCH(INDEX(MarketingVariances[],ROW()-ROW(MarketingVariances[[#Headers],[Jun]]),1),INDEX(MarketingPlan[],,1),0),MATCH(MarketingVariances[[#Headers],[Jun]],MarketingPlan[#Headers],0))-INDEX(MarketingActual[],MATCH(INDEX(MarketingVariances[],ROW()-ROW(MarketingVariances[[#Headers],[Jun]]),1),INDEX(MarketingPlan[],,1),0),MATCH(MarketingVariances[[#Headers],[Jun]],MarketingActual[#Headers],0))</f>
        <v>-45</v>
      </c>
      <c r="I27" s="100">
        <f>INDEX(MarketingPlan[],MATCH(INDEX(MarketingVariances[],ROW()-ROW(MarketingVariances[[#Headers],[Jul]]),1),INDEX(MarketingPlan[],,1),0),MATCH(MarketingVariances[[#Headers],[Jul]],MarketingPlan[#Headers],0))-INDEX(MarketingActual[],MATCH(INDEX(MarketingVariances[],ROW()-ROW(MarketingVariances[[#Headers],[Jul]]),1),INDEX(MarketingPlan[],,1),0),MATCH(MarketingVariances[[#Headers],[Jul]],MarketingActual[#Headers],0))</f>
        <v>200</v>
      </c>
      <c r="J27" s="100">
        <f>INDEX(MarketingPlan[],MATCH(INDEX(MarketingVariances[],ROW()-ROW(MarketingVariances[[#Headers],[Aug]]),1),INDEX(MarketingPlan[],,1),0),MATCH(MarketingVariances[[#Headers],[Aug]],MarketingPlan[#Headers],0))-INDEX(MarketingActual[],MATCH(INDEX(MarketingVariances[],ROW()-ROW(MarketingVariances[[#Headers],[Aug]]),1),INDEX(MarketingPlan[],,1),0),MATCH(MarketingVariances[[#Headers],[Aug]],MarketingActual[#Headers],0))</f>
        <v>200</v>
      </c>
      <c r="K27" s="100">
        <f>INDEX(MarketingPlan[],MATCH(INDEX(MarketingVariances[],ROW()-ROW(MarketingVariances[[#Headers],[Sep]]),1),INDEX(MarketingPlan[],,1),0),MATCH(MarketingVariances[[#Headers],[Sep]],MarketingPlan[#Headers],0))-INDEX(MarketingActual[],MATCH(INDEX(MarketingVariances[],ROW()-ROW(MarketingVariances[[#Headers],[Sep]]),1),INDEX(MarketingPlan[],,1),0),MATCH(MarketingVariances[[#Headers],[Sep]],MarketingActual[#Headers],0))</f>
        <v>200</v>
      </c>
      <c r="L27" s="100">
        <f>INDEX(MarketingPlan[],MATCH(INDEX(MarketingVariances[],ROW()-ROW(MarketingVariances[[#Headers],[Oct]]),1),INDEX(MarketingPlan[],,1),0),MATCH(MarketingVariances[[#Headers],[Oct]],MarketingPlan[#Headers],0))-INDEX(MarketingActual[],MATCH(INDEX(MarketingVariances[],ROW()-ROW(MarketingVariances[[#Headers],[Oct]]),1),INDEX(MarketingPlan[],,1),0),MATCH(MarketingVariances[[#Headers],[Oct]],MarketingActual[#Headers],0))</f>
        <v>200</v>
      </c>
      <c r="M27" s="100">
        <f>INDEX(MarketingPlan[],MATCH(INDEX(MarketingVariances[],ROW()-ROW(MarketingVariances[[#Headers],[Nov]]),1),INDEX(MarketingPlan[],,1),0),MATCH(MarketingVariances[[#Headers],[Nov]],MarketingPlan[#Headers],0))-INDEX(MarketingActual[],MATCH(INDEX(MarketingVariances[],ROW()-ROW(MarketingVariances[[#Headers],[Nov]]),1),INDEX(MarketingPlan[],,1),0),MATCH(MarketingVariances[[#Headers],[Nov]],MarketingActual[#Headers],0))</f>
        <v>200</v>
      </c>
      <c r="N27" s="100">
        <f>INDEX(MarketingPlan[],MATCH(INDEX(MarketingVariances[],ROW()-ROW(MarketingVariances[[#Headers],[Dec]]),1),INDEX(MarketingPlan[],,1),0),MATCH(MarketingVariances[[#Headers],[Dec]],MarketingPlan[#Headers],0))-INDEX(MarketingActual[],MATCH(INDEX(MarketingVariances[],ROW()-ROW(MarketingVariances[[#Headers],[Dec]]),1),INDEX(MarketingPlan[],,1),0),MATCH(MarketingVariances[[#Headers],[Dec]],MarketingActual[#Headers],0))</f>
        <v>200</v>
      </c>
      <c r="O27" s="101">
        <f>SUM(MarketingVariances[[#This Row],[Jan]:[Dec]])</f>
        <v>1321</v>
      </c>
    </row>
    <row r="28" spans="1:15" ht="24.95" customHeight="1" x14ac:dyDescent="0.3">
      <c r="A28" s="34"/>
      <c r="B28" s="81" t="s">
        <v>22</v>
      </c>
      <c r="C28" s="109">
        <f>SUBTOTAL(109,MarketingVariances[Jan])</f>
        <v>555</v>
      </c>
      <c r="D28" s="109">
        <f>SUBTOTAL(109,MarketingVariances[Feb])</f>
        <v>-456</v>
      </c>
      <c r="E28" s="109">
        <f>SUBTOTAL(109,MarketingVariances[Mar])</f>
        <v>-23</v>
      </c>
      <c r="F28" s="109">
        <f>SUBTOTAL(109,MarketingVariances[Apr])</f>
        <v>-123</v>
      </c>
      <c r="G28" s="109">
        <f>SUBTOTAL(109,MarketingVariances[May])</f>
        <v>113</v>
      </c>
      <c r="H28" s="109">
        <f>SUBTOTAL(109,MarketingVariances[Jun])</f>
        <v>-825</v>
      </c>
      <c r="I28" s="109">
        <f>SUBTOTAL(109,MarketingVariances[Jul])</f>
        <v>8100</v>
      </c>
      <c r="J28" s="109">
        <f>SUBTOTAL(109,MarketingVariances[Aug])</f>
        <v>6100</v>
      </c>
      <c r="K28" s="109">
        <f>SUBTOTAL(109,MarketingVariances[Sep])</f>
        <v>3100</v>
      </c>
      <c r="L28" s="109">
        <f>SUBTOTAL(109,MarketingVariances[Oct])</f>
        <v>8100</v>
      </c>
      <c r="M28" s="109">
        <f>SUBTOTAL(109,MarketingVariances[Nov])</f>
        <v>3100</v>
      </c>
      <c r="N28" s="109">
        <f>SUBTOTAL(109,MarketingVariances[Dec])</f>
        <v>6900</v>
      </c>
      <c r="O28" s="110">
        <f>SUBTOTAL(109,MarketingVariances[YEAR])</f>
        <v>34641</v>
      </c>
    </row>
    <row r="29" spans="1:15" ht="21" customHeight="1" x14ac:dyDescent="0.3">
      <c r="A29" s="34"/>
      <c r="B29" s="132"/>
      <c r="C29" s="132"/>
      <c r="D29" s="144"/>
      <c r="E29" s="144"/>
      <c r="F29" s="144"/>
      <c r="G29" s="144"/>
      <c r="H29" s="144"/>
      <c r="I29" s="144"/>
      <c r="J29" s="144"/>
      <c r="K29" s="144"/>
      <c r="L29" s="144"/>
      <c r="M29" s="144"/>
      <c r="N29" s="144"/>
      <c r="O29" s="143"/>
    </row>
    <row r="30" spans="1:15" ht="24.95" customHeight="1" thickBot="1" x14ac:dyDescent="0.35">
      <c r="A30" s="34" t="s">
        <v>92</v>
      </c>
      <c r="B30" s="61" t="s">
        <v>39</v>
      </c>
      <c r="C30" s="68" t="s">
        <v>46</v>
      </c>
      <c r="D30" s="68" t="s">
        <v>48</v>
      </c>
      <c r="E30" s="107" t="s">
        <v>50</v>
      </c>
      <c r="F30" s="68" t="s">
        <v>52</v>
      </c>
      <c r="G30" s="68" t="s">
        <v>54</v>
      </c>
      <c r="H30" s="68" t="s">
        <v>56</v>
      </c>
      <c r="I30" s="68" t="s">
        <v>58</v>
      </c>
      <c r="J30" s="68" t="s">
        <v>60</v>
      </c>
      <c r="K30" s="68" t="s">
        <v>64</v>
      </c>
      <c r="L30" s="68" t="s">
        <v>66</v>
      </c>
      <c r="M30" s="68" t="s">
        <v>68</v>
      </c>
      <c r="N30" s="68" t="s">
        <v>71</v>
      </c>
      <c r="O30" s="69" t="s">
        <v>72</v>
      </c>
    </row>
    <row r="31" spans="1:15" ht="24.95" customHeight="1" thickBot="1" x14ac:dyDescent="0.35">
      <c r="A31" s="34"/>
      <c r="B31" s="70" t="s">
        <v>40</v>
      </c>
      <c r="C31" s="100">
        <f>INDEX(TrainingAndTravelPlan[],MATCH(INDEX(TrainingAndTravelVariances[],ROW()-ROW(TrainingAndTravelVariances[[#Headers],[Jan]]),1),INDEX(TrainingAndTravelPlan[],,1),0),MATCH(TrainingAndTravelVariances[[#Headers],[Jan]],TrainingAndTravelPlan[#Headers],0))-INDEX(TrainingAndTravelActual[],MATCH(INDEX(TrainingAndTravelVariances[],ROW()-ROW(TrainingAndTravelVariances[[#Headers],[Jan]]),1),INDEX(TrainingAndTravelPlan[],,1),0),MATCH(TrainingAndTravelVariances[[#Headers],[Jan]],TrainingAndTravelActual[#Headers],0))</f>
        <v>400</v>
      </c>
      <c r="D31" s="100">
        <f>INDEX(TrainingAndTravelPlan[],MATCH(INDEX(TrainingAndTravelVariances[],ROW()-ROW(TrainingAndTravelVariances[[#Headers],[Feb]]),1),INDEX(TrainingAndTravelPlan[],,1),0),MATCH(TrainingAndTravelVariances[[#Headers],[Feb]],TrainingAndTravelPlan[#Headers],0))-INDEX(TrainingAndTravelActual[],MATCH(INDEX(TrainingAndTravelVariances[],ROW()-ROW(TrainingAndTravelVariances[[#Headers],[Feb]]),1),INDEX(TrainingAndTravelPlan[],,1),0),MATCH(TrainingAndTravelVariances[[#Headers],[Feb]],TrainingAndTravelActual[#Headers],0))</f>
        <v>-400</v>
      </c>
      <c r="E31" s="100">
        <f>INDEX(TrainingAndTravelPlan[],MATCH(INDEX(TrainingAndTravelVariances[],ROW()-ROW(TrainingAndTravelVariances[[#Headers],[Mar]]),1),INDEX(TrainingAndTravelPlan[],,1),0),MATCH(TrainingAndTravelVariances[[#Headers],[Mar]],TrainingAndTravelPlan[#Headers],0))-INDEX(TrainingAndTravelActual[],MATCH(INDEX(TrainingAndTravelVariances[],ROW()-ROW(TrainingAndTravelVariances[[#Headers],[Mar]]),1),INDEX(TrainingAndTravelPlan[],,1),0),MATCH(TrainingAndTravelVariances[[#Headers],[Mar]],TrainingAndTravelActual[#Headers],0))</f>
        <v>600</v>
      </c>
      <c r="F31" s="100">
        <f>INDEX(TrainingAndTravelPlan[],MATCH(INDEX(TrainingAndTravelVariances[],ROW()-ROW(TrainingAndTravelVariances[[#Headers],[Apr]]),1),INDEX(TrainingAndTravelPlan[],,1),0),MATCH(TrainingAndTravelVariances[[#Headers],[Apr]],TrainingAndTravelPlan[#Headers],0))-INDEX(TrainingAndTravelActual[],MATCH(INDEX(TrainingAndTravelVariances[],ROW()-ROW(TrainingAndTravelVariances[[#Headers],[Apr]]),1),INDEX(TrainingAndTravelPlan[],,1),0),MATCH(TrainingAndTravelVariances[[#Headers],[Apr]],TrainingAndTravelActual[#Headers],0))</f>
        <v>400</v>
      </c>
      <c r="G31" s="100">
        <f>INDEX(TrainingAndTravelPlan[],MATCH(INDEX(TrainingAndTravelVariances[],ROW()-ROW(TrainingAndTravelVariances[[#Headers],[May]]),1),INDEX(TrainingAndTravelPlan[],,1),0),MATCH(TrainingAndTravelVariances[[#Headers],[May]],TrainingAndTravelPlan[#Headers],0))-INDEX(TrainingAndTravelActual[],MATCH(INDEX(TrainingAndTravelVariances[],ROW()-ROW(TrainingAndTravelVariances[[#Headers],[May]]),1),INDEX(TrainingAndTravelPlan[],,1),0),MATCH(TrainingAndTravelVariances[[#Headers],[May]],TrainingAndTravelActual[#Headers],0))</f>
        <v>800</v>
      </c>
      <c r="H31" s="100">
        <f>INDEX(TrainingAndTravelPlan[],MATCH(INDEX(TrainingAndTravelVariances[],ROW()-ROW(TrainingAndTravelVariances[[#Headers],[Jun]]),1),INDEX(TrainingAndTravelPlan[],,1),0),MATCH(TrainingAndTravelVariances[[#Headers],[Jun]],TrainingAndTravelPlan[#Headers],0))-INDEX(TrainingAndTravelActual[],MATCH(INDEX(TrainingAndTravelVariances[],ROW()-ROW(TrainingAndTravelVariances[[#Headers],[Jun]]),1),INDEX(TrainingAndTravelPlan[],,1),0),MATCH(TrainingAndTravelVariances[[#Headers],[Jun]],TrainingAndTravelActual[#Headers],0))</f>
        <v>-800</v>
      </c>
      <c r="I31" s="100">
        <f>INDEX(TrainingAndTravelPlan[],MATCH(INDEX(TrainingAndTravelVariances[],ROW()-ROW(TrainingAndTravelVariances[[#Headers],[Jul]]),1),INDEX(TrainingAndTravelPlan[],,1),0),MATCH(TrainingAndTravelVariances[[#Headers],[Jul]],TrainingAndTravelPlan[#Headers],0))-INDEX(TrainingAndTravelActual[],MATCH(INDEX(TrainingAndTravelVariances[],ROW()-ROW(TrainingAndTravelVariances[[#Headers],[Jul]]),1),INDEX(TrainingAndTravelPlan[],,1),0),MATCH(TrainingAndTravelVariances[[#Headers],[Jul]],TrainingAndTravelActual[#Headers],0))</f>
        <v>2000</v>
      </c>
      <c r="J31" s="100">
        <f>INDEX(TrainingAndTravelPlan[],MATCH(INDEX(TrainingAndTravelVariances[],ROW()-ROW(TrainingAndTravelVariances[[#Headers],[Aug]]),1),INDEX(TrainingAndTravelPlan[],,1),0),MATCH(TrainingAndTravelVariances[[#Headers],[Aug]],TrainingAndTravelPlan[#Headers],0))-INDEX(TrainingAndTravelActual[],MATCH(INDEX(TrainingAndTravelVariances[],ROW()-ROW(TrainingAndTravelVariances[[#Headers],[Aug]]),1),INDEX(TrainingAndTravelPlan[],,1),0),MATCH(TrainingAndTravelVariances[[#Headers],[Aug]],TrainingAndTravelActual[#Headers],0))</f>
        <v>2000</v>
      </c>
      <c r="K31" s="100">
        <f>INDEX(TrainingAndTravelPlan[],MATCH(INDEX(TrainingAndTravelVariances[],ROW()-ROW(TrainingAndTravelVariances[[#Headers],[Sep]]),1),INDEX(TrainingAndTravelPlan[],,1),0),MATCH(TrainingAndTravelVariances[[#Headers],[Sep]],TrainingAndTravelPlan[#Headers],0))-INDEX(TrainingAndTravelActual[],MATCH(INDEX(TrainingAndTravelVariances[],ROW()-ROW(TrainingAndTravelVariances[[#Headers],[Sep]]),1),INDEX(TrainingAndTravelPlan[],,1),0),MATCH(TrainingAndTravelVariances[[#Headers],[Sep]],TrainingAndTravelActual[#Headers],0))</f>
        <v>2000</v>
      </c>
      <c r="L31" s="100">
        <f>INDEX(TrainingAndTravelPlan[],MATCH(INDEX(TrainingAndTravelVariances[],ROW()-ROW(TrainingAndTravelVariances[[#Headers],[Oct]]),1),INDEX(TrainingAndTravelPlan[],,1),0),MATCH(TrainingAndTravelVariances[[#Headers],[Oct]],TrainingAndTravelPlan[#Headers],0))-INDEX(TrainingAndTravelActual[],MATCH(INDEX(TrainingAndTravelVariances[],ROW()-ROW(TrainingAndTravelVariances[[#Headers],[Oct]]),1),INDEX(TrainingAndTravelPlan[],,1),0),MATCH(TrainingAndTravelVariances[[#Headers],[Oct]],TrainingAndTravelActual[#Headers],0))</f>
        <v>2000</v>
      </c>
      <c r="M31" s="100">
        <f>INDEX(TrainingAndTravelPlan[],MATCH(INDEX(TrainingAndTravelVariances[],ROW()-ROW(TrainingAndTravelVariances[[#Headers],[Nov]]),1),INDEX(TrainingAndTravelPlan[],,1),0),MATCH(TrainingAndTravelVariances[[#Headers],[Nov]],TrainingAndTravelPlan[#Headers],0))-INDEX(TrainingAndTravelActual[],MATCH(INDEX(TrainingAndTravelVariances[],ROW()-ROW(TrainingAndTravelVariances[[#Headers],[Nov]]),1),INDEX(TrainingAndTravelPlan[],,1),0),MATCH(TrainingAndTravelVariances[[#Headers],[Nov]],TrainingAndTravelActual[#Headers],0))</f>
        <v>2000</v>
      </c>
      <c r="N31" s="100">
        <f>INDEX(TrainingAndTravelPlan[],MATCH(INDEX(TrainingAndTravelVariances[],ROW()-ROW(TrainingAndTravelVariances[[#Headers],[Dec]]),1),INDEX(TrainingAndTravelPlan[],,1),0),MATCH(TrainingAndTravelVariances[[#Headers],[Dec]],TrainingAndTravelPlan[#Headers],0))-INDEX(TrainingAndTravelActual[],MATCH(INDEX(TrainingAndTravelVariances[],ROW()-ROW(TrainingAndTravelVariances[[#Headers],[Dec]]),1),INDEX(TrainingAndTravelPlan[],,1),0),MATCH(TrainingAndTravelVariances[[#Headers],[Dec]],TrainingAndTravelActual[#Headers],0))</f>
        <v>2000</v>
      </c>
      <c r="O31" s="101">
        <f>SUM(TrainingAndTravelVariances[[#This Row],[Jan]:[Dec]])</f>
        <v>13000</v>
      </c>
    </row>
    <row r="32" spans="1:15" ht="24.95" customHeight="1" thickBot="1" x14ac:dyDescent="0.35">
      <c r="A32" s="34"/>
      <c r="B32" s="70" t="s">
        <v>41</v>
      </c>
      <c r="C32" s="100">
        <f>INDEX(TrainingAndTravelPlan[],MATCH(INDEX(TrainingAndTravelVariances[],ROW()-ROW(TrainingAndTravelVariances[[#Headers],[Jan]]),1),INDEX(TrainingAndTravelPlan[],,1),0),MATCH(TrainingAndTravelVariances[[#Headers],[Jan]],TrainingAndTravelPlan[#Headers],0))-INDEX(TrainingAndTravelActual[],MATCH(INDEX(TrainingAndTravelVariances[],ROW()-ROW(TrainingAndTravelVariances[[#Headers],[Jan]]),1),INDEX(TrainingAndTravelPlan[],,1),0),MATCH(TrainingAndTravelVariances[[#Headers],[Jan]],TrainingAndTravelActual[#Headers],0))</f>
        <v>800</v>
      </c>
      <c r="D32" s="100">
        <f>INDEX(TrainingAndTravelPlan[],MATCH(INDEX(TrainingAndTravelVariances[],ROW()-ROW(TrainingAndTravelVariances[[#Headers],[Feb]]),1),INDEX(TrainingAndTravelPlan[],,1),0),MATCH(TrainingAndTravelVariances[[#Headers],[Feb]],TrainingAndTravelPlan[#Headers],0))-INDEX(TrainingAndTravelActual[],MATCH(INDEX(TrainingAndTravelVariances[],ROW()-ROW(TrainingAndTravelVariances[[#Headers],[Feb]]),1),INDEX(TrainingAndTravelPlan[],,1),0),MATCH(TrainingAndTravelVariances[[#Headers],[Feb]],TrainingAndTravelActual[#Headers],0))</f>
        <v>-200</v>
      </c>
      <c r="E32" s="100">
        <f>INDEX(TrainingAndTravelPlan[],MATCH(INDEX(TrainingAndTravelVariances[],ROW()-ROW(TrainingAndTravelVariances[[#Headers],[Mar]]),1),INDEX(TrainingAndTravelPlan[],,1),0),MATCH(TrainingAndTravelVariances[[#Headers],[Mar]],TrainingAndTravelPlan[#Headers],0))-INDEX(TrainingAndTravelActual[],MATCH(INDEX(TrainingAndTravelVariances[],ROW()-ROW(TrainingAndTravelVariances[[#Headers],[Mar]]),1),INDEX(TrainingAndTravelPlan[],,1),0),MATCH(TrainingAndTravelVariances[[#Headers],[Mar]],TrainingAndTravelActual[#Headers],0))</f>
        <v>600</v>
      </c>
      <c r="F32" s="100">
        <f>INDEX(TrainingAndTravelPlan[],MATCH(INDEX(TrainingAndTravelVariances[],ROW()-ROW(TrainingAndTravelVariances[[#Headers],[Apr]]),1),INDEX(TrainingAndTravelPlan[],,1),0),MATCH(TrainingAndTravelVariances[[#Headers],[Apr]],TrainingAndTravelPlan[#Headers],0))-INDEX(TrainingAndTravelActual[],MATCH(INDEX(TrainingAndTravelVariances[],ROW()-ROW(TrainingAndTravelVariances[[#Headers],[Apr]]),1),INDEX(TrainingAndTravelPlan[],,1),0),MATCH(TrainingAndTravelVariances[[#Headers],[Apr]],TrainingAndTravelActual[#Headers],0))</f>
        <v>800</v>
      </c>
      <c r="G32" s="100">
        <f>INDEX(TrainingAndTravelPlan[],MATCH(INDEX(TrainingAndTravelVariances[],ROW()-ROW(TrainingAndTravelVariances[[#Headers],[May]]),1),INDEX(TrainingAndTravelPlan[],,1),0),MATCH(TrainingAndTravelVariances[[#Headers],[May]],TrainingAndTravelPlan[#Headers],0))-INDEX(TrainingAndTravelActual[],MATCH(INDEX(TrainingAndTravelVariances[],ROW()-ROW(TrainingAndTravelVariances[[#Headers],[May]]),1),INDEX(TrainingAndTravelPlan[],,1),0),MATCH(TrainingAndTravelVariances[[#Headers],[May]],TrainingAndTravelActual[#Headers],0))</f>
        <v>1200</v>
      </c>
      <c r="H32" s="100">
        <f>INDEX(TrainingAndTravelPlan[],MATCH(INDEX(TrainingAndTravelVariances[],ROW()-ROW(TrainingAndTravelVariances[[#Headers],[Jun]]),1),INDEX(TrainingAndTravelPlan[],,1),0),MATCH(TrainingAndTravelVariances[[#Headers],[Jun]],TrainingAndTravelPlan[#Headers],0))-INDEX(TrainingAndTravelActual[],MATCH(INDEX(TrainingAndTravelVariances[],ROW()-ROW(TrainingAndTravelVariances[[#Headers],[Jun]]),1),INDEX(TrainingAndTravelPlan[],,1),0),MATCH(TrainingAndTravelVariances[[#Headers],[Jun]],TrainingAndTravelActual[#Headers],0))</f>
        <v>-1500</v>
      </c>
      <c r="I32" s="100">
        <f>INDEX(TrainingAndTravelPlan[],MATCH(INDEX(TrainingAndTravelVariances[],ROW()-ROW(TrainingAndTravelVariances[[#Headers],[Jul]]),1),INDEX(TrainingAndTravelPlan[],,1),0),MATCH(TrainingAndTravelVariances[[#Headers],[Jul]],TrainingAndTravelPlan[#Headers],0))-INDEX(TrainingAndTravelActual[],MATCH(INDEX(TrainingAndTravelVariances[],ROW()-ROW(TrainingAndTravelVariances[[#Headers],[Jul]]),1),INDEX(TrainingAndTravelPlan[],,1),0),MATCH(TrainingAndTravelVariances[[#Headers],[Jul]],TrainingAndTravelActual[#Headers],0))</f>
        <v>2000</v>
      </c>
      <c r="J32" s="100">
        <f>INDEX(TrainingAndTravelPlan[],MATCH(INDEX(TrainingAndTravelVariances[],ROW()-ROW(TrainingAndTravelVariances[[#Headers],[Aug]]),1),INDEX(TrainingAndTravelPlan[],,1),0),MATCH(TrainingAndTravelVariances[[#Headers],[Aug]],TrainingAndTravelPlan[#Headers],0))-INDEX(TrainingAndTravelActual[],MATCH(INDEX(TrainingAndTravelVariances[],ROW()-ROW(TrainingAndTravelVariances[[#Headers],[Aug]]),1),INDEX(TrainingAndTravelPlan[],,1),0),MATCH(TrainingAndTravelVariances[[#Headers],[Aug]],TrainingAndTravelActual[#Headers],0))</f>
        <v>2000</v>
      </c>
      <c r="K32" s="100">
        <f>INDEX(TrainingAndTravelPlan[],MATCH(INDEX(TrainingAndTravelVariances[],ROW()-ROW(TrainingAndTravelVariances[[#Headers],[Sep]]),1),INDEX(TrainingAndTravelPlan[],,1),0),MATCH(TrainingAndTravelVariances[[#Headers],[Sep]],TrainingAndTravelPlan[#Headers],0))-INDEX(TrainingAndTravelActual[],MATCH(INDEX(TrainingAndTravelVariances[],ROW()-ROW(TrainingAndTravelVariances[[#Headers],[Sep]]),1),INDEX(TrainingAndTravelPlan[],,1),0),MATCH(TrainingAndTravelVariances[[#Headers],[Sep]],TrainingAndTravelActual[#Headers],0))</f>
        <v>2000</v>
      </c>
      <c r="L32" s="100">
        <f>INDEX(TrainingAndTravelPlan[],MATCH(INDEX(TrainingAndTravelVariances[],ROW()-ROW(TrainingAndTravelVariances[[#Headers],[Oct]]),1),INDEX(TrainingAndTravelPlan[],,1),0),MATCH(TrainingAndTravelVariances[[#Headers],[Oct]],TrainingAndTravelPlan[#Headers],0))-INDEX(TrainingAndTravelActual[],MATCH(INDEX(TrainingAndTravelVariances[],ROW()-ROW(TrainingAndTravelVariances[[#Headers],[Oct]]),1),INDEX(TrainingAndTravelPlan[],,1),0),MATCH(TrainingAndTravelVariances[[#Headers],[Oct]],TrainingAndTravelActual[#Headers],0))</f>
        <v>2000</v>
      </c>
      <c r="M32" s="100">
        <f>INDEX(TrainingAndTravelPlan[],MATCH(INDEX(TrainingAndTravelVariances[],ROW()-ROW(TrainingAndTravelVariances[[#Headers],[Nov]]),1),INDEX(TrainingAndTravelPlan[],,1),0),MATCH(TrainingAndTravelVariances[[#Headers],[Nov]],TrainingAndTravelPlan[#Headers],0))-INDEX(TrainingAndTravelActual[],MATCH(INDEX(TrainingAndTravelVariances[],ROW()-ROW(TrainingAndTravelVariances[[#Headers],[Nov]]),1),INDEX(TrainingAndTravelPlan[],,1),0),MATCH(TrainingAndTravelVariances[[#Headers],[Nov]],TrainingAndTravelActual[#Headers],0))</f>
        <v>2000</v>
      </c>
      <c r="N32" s="100">
        <f>INDEX(TrainingAndTravelPlan[],MATCH(INDEX(TrainingAndTravelVariances[],ROW()-ROW(TrainingAndTravelVariances[[#Headers],[Dec]]),1),INDEX(TrainingAndTravelPlan[],,1),0),MATCH(TrainingAndTravelVariances[[#Headers],[Dec]],TrainingAndTravelPlan[#Headers],0))-INDEX(TrainingAndTravelActual[],MATCH(INDEX(TrainingAndTravelVariances[],ROW()-ROW(TrainingAndTravelVariances[[#Headers],[Dec]]),1),INDEX(TrainingAndTravelPlan[],,1),0),MATCH(TrainingAndTravelVariances[[#Headers],[Dec]],TrainingAndTravelActual[#Headers],0))</f>
        <v>2000</v>
      </c>
      <c r="O32" s="101">
        <f>SUM(TrainingAndTravelVariances[[#This Row],[Jan]:[Dec]])</f>
        <v>13700</v>
      </c>
    </row>
    <row r="33" spans="1:15" ht="24.95" customHeight="1" x14ac:dyDescent="0.3">
      <c r="A33" s="34"/>
      <c r="B33" s="83" t="s">
        <v>22</v>
      </c>
      <c r="C33" s="109">
        <f>SUBTOTAL(109,TrainingAndTravelVariances[Jan])</f>
        <v>1200</v>
      </c>
      <c r="D33" s="109">
        <f>SUBTOTAL(109,TrainingAndTravelVariances[Feb])</f>
        <v>-600</v>
      </c>
      <c r="E33" s="109">
        <f>SUBTOTAL(109,TrainingAndTravelVariances[Mar])</f>
        <v>1200</v>
      </c>
      <c r="F33" s="109">
        <f>SUBTOTAL(109,TrainingAndTravelVariances[Apr])</f>
        <v>1200</v>
      </c>
      <c r="G33" s="109">
        <f>SUBTOTAL(109,TrainingAndTravelVariances[May])</f>
        <v>2000</v>
      </c>
      <c r="H33" s="109">
        <f>SUBTOTAL(109,TrainingAndTravelVariances[Jun])</f>
        <v>-2300</v>
      </c>
      <c r="I33" s="109">
        <f>SUBTOTAL(109,TrainingAndTravelVariances[Jul])</f>
        <v>4000</v>
      </c>
      <c r="J33" s="109">
        <f>SUBTOTAL(109,TrainingAndTravelVariances[Aug])</f>
        <v>4000</v>
      </c>
      <c r="K33" s="109">
        <f>SUBTOTAL(109,TrainingAndTravelVariances[Sep])</f>
        <v>4000</v>
      </c>
      <c r="L33" s="109">
        <f>SUBTOTAL(109,TrainingAndTravelVariances[Oct])</f>
        <v>4000</v>
      </c>
      <c r="M33" s="109">
        <f>SUBTOTAL(109,TrainingAndTravelVariances[Nov])</f>
        <v>4000</v>
      </c>
      <c r="N33" s="109">
        <f>SUBTOTAL(109,TrainingAndTravelVariances[Dec])</f>
        <v>4000</v>
      </c>
      <c r="O33" s="110">
        <f>SUBTOTAL(109,TrainingAndTravelVariances[YEAR])</f>
        <v>26700</v>
      </c>
    </row>
    <row r="34" spans="1:15" ht="21" customHeight="1" x14ac:dyDescent="0.3">
      <c r="A34" s="34"/>
      <c r="B34" s="132"/>
      <c r="C34" s="132"/>
      <c r="D34" s="143"/>
      <c r="E34" s="143"/>
      <c r="F34" s="143"/>
      <c r="G34" s="143"/>
      <c r="H34" s="143"/>
      <c r="I34" s="143"/>
      <c r="J34" s="143"/>
      <c r="K34" s="143"/>
      <c r="L34" s="143"/>
      <c r="M34" s="143"/>
      <c r="N34" s="143"/>
      <c r="O34" s="143"/>
    </row>
    <row r="35" spans="1:15" ht="24.95" customHeight="1" thickBot="1" x14ac:dyDescent="0.35">
      <c r="A35" s="44" t="s">
        <v>93</v>
      </c>
      <c r="B35" s="12" t="s">
        <v>42</v>
      </c>
      <c r="C35" s="30" t="s">
        <v>46</v>
      </c>
      <c r="D35" s="30" t="s">
        <v>48</v>
      </c>
      <c r="E35" s="30" t="s">
        <v>50</v>
      </c>
      <c r="F35" s="30" t="s">
        <v>52</v>
      </c>
      <c r="G35" s="30" t="s">
        <v>54</v>
      </c>
      <c r="H35" s="30" t="s">
        <v>56</v>
      </c>
      <c r="I35" s="30" t="s">
        <v>58</v>
      </c>
      <c r="J35" s="30" t="s">
        <v>60</v>
      </c>
      <c r="K35" s="30" t="s">
        <v>64</v>
      </c>
      <c r="L35" s="30" t="s">
        <v>66</v>
      </c>
      <c r="M35" s="30" t="s">
        <v>68</v>
      </c>
      <c r="N35" s="30" t="s">
        <v>71</v>
      </c>
      <c r="O35" s="30" t="s">
        <v>73</v>
      </c>
    </row>
    <row r="36" spans="1:15" ht="24.95" customHeight="1" thickBot="1" x14ac:dyDescent="0.35">
      <c r="A36" s="34"/>
      <c r="B36" s="13" t="s">
        <v>85</v>
      </c>
      <c r="C36" s="118">
        <f>TrainingAndTravelVariances[[#Totals],[Jan]]+MarketingVariances[[#Totals],[Jan]]+OfficeVariances[[#Totals],[Jan]]+EmployeeVariances[[#Totals],[Jan]]</f>
        <v>1738</v>
      </c>
      <c r="D36" s="118">
        <f>TrainingAndTravelVariances[[#Totals],[Feb]]+MarketingVariances[[#Totals],[Feb]]+OfficeVariances[[#Totals],[Feb]]+EmployeeVariances[[#Totals],[Feb]]</f>
        <v>-984</v>
      </c>
      <c r="E36" s="118">
        <f>TrainingAndTravelVariances[[#Totals],[Mar]]+MarketingVariances[[#Totals],[Mar]]+OfficeVariances[[#Totals],[Mar]]+EmployeeVariances[[#Totals],[Mar]]</f>
        <v>1255</v>
      </c>
      <c r="F36" s="118">
        <f>TrainingAndTravelVariances[[#Totals],[Apr]]+MarketingVariances[[#Totals],[Apr]]+OfficeVariances[[#Totals],[Apr]]+EmployeeVariances[[#Totals],[Apr]]</f>
        <v>301</v>
      </c>
      <c r="G36" s="118">
        <f>TrainingAndTravelVariances[[#Totals],[May]]+MarketingVariances[[#Totals],[May]]+OfficeVariances[[#Totals],[May]]+EmployeeVariances[[#Totals],[May]]</f>
        <v>1440</v>
      </c>
      <c r="H36" s="118">
        <f>TrainingAndTravelVariances[[#Totals],[Jun]]+MarketingVariances[[#Totals],[Jun]]+OfficeVariances[[#Totals],[Jun]]+EmployeeVariances[[#Totals],[Jun]]</f>
        <v>-3744</v>
      </c>
      <c r="I36" s="118">
        <f>TrainingAndTravelVariances[[#Totals],[Jul]]+MarketingVariances[[#Totals],[Jul]]+OfficeVariances[[#Totals],[Jul]]+EmployeeVariances[[#Totals],[Jul]]</f>
        <v>134695</v>
      </c>
      <c r="J36" s="118">
        <f>TrainingAndTravelVariances[[#Totals],[Aug]]+MarketingVariances[[#Totals],[Aug]]+OfficeVariances[[#Totals],[Aug]]+EmployeeVariances[[#Totals],[Aug]]</f>
        <v>138918</v>
      </c>
      <c r="K36" s="118">
        <f>TrainingAndTravelVariances[[#Totals],[Sep]]+MarketingVariances[[#Totals],[Sep]]+OfficeVariances[[#Totals],[Sep]]+EmployeeVariances[[#Totals],[Sep]]</f>
        <v>135918</v>
      </c>
      <c r="L36" s="118">
        <f>TrainingAndTravelVariances[[#Totals],[Oct]]+MarketingVariances[[#Totals],[Oct]]+OfficeVariances[[#Totals],[Oct]]+EmployeeVariances[[#Totals],[Oct]]</f>
        <v>140918</v>
      </c>
      <c r="M36" s="118">
        <f>TrainingAndTravelVariances[[#Totals],[Nov]]+MarketingVariances[[#Totals],[Nov]]+OfficeVariances[[#Totals],[Nov]]+EmployeeVariances[[#Totals],[Nov]]</f>
        <v>136218</v>
      </c>
      <c r="N36" s="118">
        <f>TrainingAndTravelVariances[[#Totals],[Dec]]+MarketingVariances[[#Totals],[Dec]]+OfficeVariances[[#Totals],[Dec]]+EmployeeVariances[[#Totals],[Dec]]</f>
        <v>140018</v>
      </c>
      <c r="O36" s="118">
        <f>TrainingAndTravelVariances[[#Totals],[YEAR]]+MarketingVariances[[#Totals],[YEAR]]+OfficeVariances[[#Totals],[YEAR]]+EmployeeVariances[[#Totals],[YEAR]]</f>
        <v>826691</v>
      </c>
    </row>
    <row r="37" spans="1:15" ht="24.95" customHeight="1" thickBot="1" x14ac:dyDescent="0.35">
      <c r="A37" s="34"/>
      <c r="B37" s="13" t="s">
        <v>86</v>
      </c>
      <c r="C37" s="119">
        <f>SUM($C$36:C36)</f>
        <v>1738</v>
      </c>
      <c r="D37" s="119">
        <f>SUM($C$36:D36)</f>
        <v>754</v>
      </c>
      <c r="E37" s="119">
        <f>SUM($C$36:E36)</f>
        <v>2009</v>
      </c>
      <c r="F37" s="119">
        <f>SUM($C$36:F36)</f>
        <v>2310</v>
      </c>
      <c r="G37" s="119">
        <f>SUM($C$36:G36)</f>
        <v>3750</v>
      </c>
      <c r="H37" s="119">
        <f>SUM($C$36:H36)</f>
        <v>6</v>
      </c>
      <c r="I37" s="119">
        <f>SUM($C$36:I36)</f>
        <v>134701</v>
      </c>
      <c r="J37" s="119">
        <f>SUM($C$36:J36)</f>
        <v>273619</v>
      </c>
      <c r="K37" s="119">
        <f>SUM($C$36:K36)</f>
        <v>409537</v>
      </c>
      <c r="L37" s="119">
        <f>SUM($C$36:L36)</f>
        <v>550455</v>
      </c>
      <c r="M37" s="119">
        <f>SUM($C$36:M36)</f>
        <v>686673</v>
      </c>
      <c r="N37" s="119">
        <f>SUM($C$36:N36)</f>
        <v>826691</v>
      </c>
      <c r="O37" s="119"/>
    </row>
    <row r="38" spans="1:15" ht="21" customHeight="1" x14ac:dyDescent="0.3">
      <c r="A38" s="34"/>
      <c r="B38" s="2"/>
      <c r="C38" s="2"/>
      <c r="D38" s="14"/>
      <c r="E38" s="2"/>
      <c r="F38" s="2"/>
      <c r="G38" s="2"/>
      <c r="H38" s="2"/>
      <c r="I38" s="2"/>
      <c r="J38" s="2"/>
      <c r="K38" s="2"/>
      <c r="L38" s="2"/>
      <c r="M38" s="2"/>
      <c r="N38" s="2"/>
      <c r="O38" s="2"/>
    </row>
  </sheetData>
  <mergeCells count="8">
    <mergeCell ref="N2:O3"/>
    <mergeCell ref="K2:M2"/>
    <mergeCell ref="K3:M3"/>
    <mergeCell ref="B34:C34"/>
    <mergeCell ref="B29:C29"/>
    <mergeCell ref="B20:C20"/>
    <mergeCell ref="B9:C9"/>
    <mergeCell ref="B2:D3"/>
  </mergeCells>
  <printOptions horizontalCentered="1"/>
  <pageMargins left="0.4" right="0.4" top="0.4" bottom="0.4" header="0.3" footer="0.3"/>
  <pageSetup paperSize="9" fitToHeight="0" orientation="landscape" r:id="rId1"/>
  <headerFooter differentFirst="1">
    <oddFooter>Page &amp;P of &amp;N</oddFooter>
  </headerFooter>
  <ignoredErrors>
    <ignoredError sqref="B2" emptyCellReference="1"/>
    <ignoredError sqref="C36:O37" calculatedColumn="1"/>
  </ignoredErrors>
  <drawing r:id="rId2"/>
  <tableParts count="5">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8"/>
    <pageSetUpPr autoPageBreaks="0" fitToPage="1"/>
  </sheetPr>
  <dimension ref="A1:P39"/>
  <sheetViews>
    <sheetView showGridLines="0" workbookViewId="0"/>
  </sheetViews>
  <sheetFormatPr defaultColWidth="9.140625" defaultRowHeight="18.75" x14ac:dyDescent="0.3"/>
  <cols>
    <col min="1" max="1" width="4.7109375" style="40" customWidth="1"/>
    <col min="2" max="2" width="26.28515625" style="4" customWidth="1"/>
    <col min="3" max="3" width="23.28515625" style="4" customWidth="1"/>
    <col min="4" max="4" width="24.28515625" style="4" customWidth="1"/>
    <col min="5" max="5" width="23" style="4" customWidth="1"/>
    <col min="6" max="6" width="24.5703125" style="4" customWidth="1"/>
    <col min="7" max="7" width="4.7109375" style="1" customWidth="1"/>
    <col min="8" max="8" width="8.85546875" customWidth="1"/>
    <col min="9" max="16384" width="9.140625" style="4"/>
  </cols>
  <sheetData>
    <row r="1" spans="1:16" s="1" customFormat="1" ht="24" customHeight="1" x14ac:dyDescent="0.3">
      <c r="A1" s="37" t="s">
        <v>95</v>
      </c>
      <c r="B1" s="10"/>
      <c r="C1" s="10"/>
      <c r="D1" s="10"/>
      <c r="E1" s="7"/>
      <c r="F1" s="7"/>
      <c r="G1" s="67" t="s">
        <v>74</v>
      </c>
      <c r="I1"/>
      <c r="J1"/>
      <c r="K1"/>
      <c r="L1"/>
      <c r="M1"/>
      <c r="N1"/>
      <c r="O1"/>
      <c r="P1" t="s">
        <v>74</v>
      </c>
    </row>
    <row r="2" spans="1:16" s="1" customFormat="1" ht="45" customHeight="1" x14ac:dyDescent="0.35">
      <c r="A2" s="37" t="s">
        <v>96</v>
      </c>
      <c r="B2" s="129" t="str">
        <f>'PLANNED EXPENSES'!B2:D3</f>
        <v>Company Name</v>
      </c>
      <c r="C2" s="129"/>
      <c r="D2" s="129"/>
      <c r="E2" s="15"/>
      <c r="F2" s="140" t="s">
        <v>69</v>
      </c>
      <c r="G2" s="140"/>
      <c r="I2"/>
      <c r="J2"/>
      <c r="K2"/>
      <c r="L2"/>
      <c r="M2"/>
      <c r="N2"/>
      <c r="O2"/>
      <c r="P2"/>
    </row>
    <row r="3" spans="1:16" s="1" customFormat="1" ht="30" customHeight="1" x14ac:dyDescent="0.3">
      <c r="A3" s="37" t="s">
        <v>97</v>
      </c>
      <c r="B3" s="129"/>
      <c r="C3" s="129"/>
      <c r="D3" s="129"/>
      <c r="E3" s="139" t="str">
        <f>worksheet_title</f>
        <v>Detailed Expense Estimates</v>
      </c>
      <c r="F3" s="139"/>
      <c r="G3" s="139"/>
      <c r="I3"/>
      <c r="J3"/>
      <c r="K3"/>
      <c r="L3"/>
      <c r="M3"/>
      <c r="N3"/>
      <c r="O3"/>
      <c r="P3"/>
    </row>
    <row r="4" spans="1:16" customFormat="1" ht="18.75" customHeight="1" x14ac:dyDescent="0.2">
      <c r="A4" s="28"/>
    </row>
    <row r="5" spans="1:16" ht="24.95" customHeight="1" thickBot="1" x14ac:dyDescent="0.35">
      <c r="A5" s="38" t="s">
        <v>98</v>
      </c>
      <c r="B5" s="16" t="s">
        <v>101</v>
      </c>
      <c r="C5" s="17" t="s">
        <v>103</v>
      </c>
      <c r="D5" s="18" t="s">
        <v>104</v>
      </c>
      <c r="E5" s="16" t="s">
        <v>106</v>
      </c>
      <c r="F5" s="19" t="s">
        <v>107</v>
      </c>
      <c r="G5" s="11"/>
      <c r="I5"/>
      <c r="J5"/>
      <c r="K5"/>
      <c r="L5"/>
      <c r="M5"/>
      <c r="N5"/>
      <c r="O5"/>
      <c r="P5"/>
    </row>
    <row r="6" spans="1:16" ht="24.95" customHeight="1" thickBot="1" x14ac:dyDescent="0.35">
      <c r="A6" s="39"/>
      <c r="B6" s="84" t="s">
        <v>19</v>
      </c>
      <c r="C6" s="120">
        <f>EmployeePlan[[#Totals],[YEAR]]</f>
        <v>1355090</v>
      </c>
      <c r="D6" s="120">
        <f>EmployeeActual[[#Totals],[YEAR]]</f>
        <v>659130</v>
      </c>
      <c r="E6" s="120">
        <f>C6-D6</f>
        <v>695960</v>
      </c>
      <c r="F6" s="21">
        <f>E6/C6</f>
        <v>0.5135895032802249</v>
      </c>
      <c r="G6" s="3"/>
    </row>
    <row r="7" spans="1:16" ht="24.95" customHeight="1" thickBot="1" x14ac:dyDescent="0.35">
      <c r="A7" s="38"/>
      <c r="B7" s="84" t="str">
        <f>'PLANNED EXPENSES'!B10</f>
        <v>Office Costs</v>
      </c>
      <c r="C7" s="120">
        <f>OfficePlan[[#Totals],[YEAR]]</f>
        <v>138740</v>
      </c>
      <c r="D7" s="120">
        <f>OfficeActual[[#Totals],[YEAR]]</f>
        <v>69350</v>
      </c>
      <c r="E7" s="120">
        <f>C7-D7</f>
        <v>69390</v>
      </c>
      <c r="F7" s="21">
        <f>E7/C7</f>
        <v>0.50014415453366012</v>
      </c>
    </row>
    <row r="8" spans="1:16" ht="24.95" customHeight="1" thickBot="1" x14ac:dyDescent="0.35">
      <c r="A8" s="38"/>
      <c r="B8" s="20" t="str">
        <f>'PLANNED EXPENSES'!B21</f>
        <v>Marketing Costs</v>
      </c>
      <c r="C8" s="120">
        <f>MarketingPlan[[#Totals],[YEAR]]</f>
        <v>67800</v>
      </c>
      <c r="D8" s="120">
        <f>MarketingActual[[#Totals],[YEAR]]</f>
        <v>33159</v>
      </c>
      <c r="E8" s="120">
        <f>C8-D8</f>
        <v>34641</v>
      </c>
      <c r="F8" s="21">
        <f>E8/C8</f>
        <v>0.51092920353982296</v>
      </c>
    </row>
    <row r="9" spans="1:16" ht="24.95" customHeight="1" thickBot="1" x14ac:dyDescent="0.35">
      <c r="A9" s="38"/>
      <c r="B9" s="20" t="str">
        <f>'PLANNED EXPENSES'!B30</f>
        <v>Training/Travel</v>
      </c>
      <c r="C9" s="120">
        <f>TrainingAndTravelPlan[[#Totals],[YEAR]]</f>
        <v>48000</v>
      </c>
      <c r="D9" s="120">
        <f>TrainingAndTravelActual[[#Totals],[YEAR]]</f>
        <v>21300</v>
      </c>
      <c r="E9" s="120">
        <f>C9-D9</f>
        <v>26700</v>
      </c>
      <c r="F9" s="21">
        <f>E9/C9</f>
        <v>0.55625000000000002</v>
      </c>
    </row>
    <row r="10" spans="1:16" ht="24.95" customHeight="1" x14ac:dyDescent="0.3">
      <c r="A10" s="38"/>
      <c r="B10" s="41" t="str">
        <f>'PLANNED EXPENSES'!B35</f>
        <v>TOTALS</v>
      </c>
      <c r="C10" s="121">
        <f>'PLANNED EXPENSES'!O36</f>
        <v>1609630</v>
      </c>
      <c r="D10" s="121">
        <f>'ACTUAL EXPENSES'!O36</f>
        <v>782939</v>
      </c>
      <c r="E10" s="121">
        <f>C10-D10</f>
        <v>826691</v>
      </c>
      <c r="F10" s="42">
        <f>E10/C10</f>
        <v>0.51359070096854553</v>
      </c>
    </row>
    <row r="11" spans="1:16" x14ac:dyDescent="0.3">
      <c r="A11" s="38"/>
      <c r="B11" s="86"/>
      <c r="C11" s="122"/>
      <c r="D11" s="122"/>
      <c r="E11" s="122"/>
      <c r="F11" s="6"/>
    </row>
    <row r="12" spans="1:16" ht="300" customHeight="1" x14ac:dyDescent="0.3">
      <c r="A12" s="38" t="s">
        <v>99</v>
      </c>
      <c r="B12" s="135" t="s">
        <v>102</v>
      </c>
      <c r="C12" s="134"/>
      <c r="D12" s="134" t="s">
        <v>105</v>
      </c>
      <c r="E12" s="134"/>
      <c r="F12" s="134"/>
      <c r="G12"/>
    </row>
    <row r="13" spans="1:16" ht="18.75" customHeight="1" x14ac:dyDescent="0.3">
      <c r="A13" s="38"/>
      <c r="B13" s="87"/>
    </row>
    <row r="14" spans="1:16" ht="409.5" x14ac:dyDescent="0.3">
      <c r="A14" s="38" t="s">
        <v>100</v>
      </c>
      <c r="B14" s="136"/>
      <c r="C14" s="137"/>
      <c r="D14" s="137"/>
      <c r="E14" s="137"/>
      <c r="F14" s="137"/>
    </row>
    <row r="15" spans="1:16" x14ac:dyDescent="0.3">
      <c r="A15" s="38"/>
      <c r="B15" s="136"/>
      <c r="C15" s="137"/>
      <c r="D15" s="137"/>
      <c r="E15" s="137"/>
      <c r="F15" s="137"/>
    </row>
    <row r="16" spans="1:16" x14ac:dyDescent="0.3">
      <c r="A16" s="38"/>
      <c r="B16" s="136"/>
      <c r="C16" s="137"/>
      <c r="D16" s="137"/>
      <c r="E16" s="137"/>
      <c r="F16" s="137"/>
    </row>
    <row r="17" spans="1:6" x14ac:dyDescent="0.3">
      <c r="A17" s="38"/>
      <c r="B17" s="136"/>
      <c r="C17" s="137"/>
      <c r="D17" s="137"/>
      <c r="E17" s="137"/>
      <c r="F17" s="137"/>
    </row>
    <row r="18" spans="1:6" x14ac:dyDescent="0.3">
      <c r="A18" s="38"/>
      <c r="B18" s="136"/>
      <c r="C18" s="137"/>
      <c r="D18" s="137"/>
      <c r="E18" s="137"/>
      <c r="F18" s="137"/>
    </row>
    <row r="19" spans="1:6" x14ac:dyDescent="0.3">
      <c r="A19" s="38"/>
      <c r="B19" s="137"/>
      <c r="C19" s="137"/>
      <c r="D19" s="137"/>
      <c r="E19" s="137"/>
      <c r="F19" s="137"/>
    </row>
    <row r="20" spans="1:6" x14ac:dyDescent="0.3">
      <c r="A20" s="38"/>
      <c r="B20" s="137"/>
      <c r="C20" s="137"/>
      <c r="D20" s="137"/>
      <c r="E20" s="137"/>
      <c r="F20" s="137"/>
    </row>
    <row r="21" spans="1:6" x14ac:dyDescent="0.3">
      <c r="A21" s="38"/>
      <c r="B21" s="137"/>
      <c r="C21" s="137"/>
      <c r="D21" s="137"/>
      <c r="E21" s="137"/>
      <c r="F21" s="137"/>
    </row>
    <row r="22" spans="1:6" x14ac:dyDescent="0.3">
      <c r="A22" s="38"/>
      <c r="B22" s="136"/>
      <c r="C22" s="137"/>
      <c r="D22" s="137"/>
      <c r="E22" s="137"/>
      <c r="F22" s="137"/>
    </row>
    <row r="23" spans="1:6" x14ac:dyDescent="0.3">
      <c r="A23" s="38"/>
      <c r="B23" s="136"/>
      <c r="C23" s="137"/>
      <c r="D23" s="137"/>
      <c r="E23" s="137"/>
      <c r="F23" s="137"/>
    </row>
    <row r="24" spans="1:6" x14ac:dyDescent="0.3">
      <c r="A24" s="38"/>
      <c r="B24" s="136"/>
      <c r="C24" s="137"/>
      <c r="D24" s="137"/>
      <c r="E24" s="137"/>
      <c r="F24" s="137"/>
    </row>
    <row r="25" spans="1:6" x14ac:dyDescent="0.3">
      <c r="A25" s="38"/>
      <c r="B25" s="136"/>
      <c r="C25" s="137"/>
      <c r="D25" s="137"/>
      <c r="E25" s="137"/>
      <c r="F25" s="137"/>
    </row>
    <row r="26" spans="1:6" x14ac:dyDescent="0.3">
      <c r="A26" s="38"/>
      <c r="B26" s="136"/>
      <c r="C26" s="137"/>
      <c r="D26" s="137"/>
      <c r="E26" s="137"/>
      <c r="F26" s="137"/>
    </row>
    <row r="27" spans="1:6" x14ac:dyDescent="0.3">
      <c r="A27" s="38"/>
      <c r="B27" s="136"/>
      <c r="C27" s="137"/>
      <c r="D27" s="137"/>
      <c r="E27" s="137"/>
      <c r="F27" s="137"/>
    </row>
    <row r="28" spans="1:6" x14ac:dyDescent="0.3">
      <c r="A28" s="38"/>
      <c r="B28" s="137"/>
      <c r="C28" s="137"/>
      <c r="D28" s="137"/>
      <c r="E28" s="137"/>
      <c r="F28" s="137"/>
    </row>
    <row r="29" spans="1:6" x14ac:dyDescent="0.3">
      <c r="A29" s="38"/>
      <c r="B29" s="137"/>
      <c r="C29" s="137"/>
      <c r="D29" s="137"/>
      <c r="E29" s="137"/>
      <c r="F29" s="137"/>
    </row>
    <row r="30" spans="1:6" x14ac:dyDescent="0.3">
      <c r="A30" s="38"/>
      <c r="B30" s="137"/>
      <c r="C30" s="137"/>
      <c r="D30" s="137"/>
      <c r="E30" s="137"/>
      <c r="F30" s="137"/>
    </row>
    <row r="31" spans="1:6" x14ac:dyDescent="0.3">
      <c r="A31" s="38"/>
      <c r="B31" s="136"/>
      <c r="C31" s="137"/>
      <c r="D31" s="137"/>
      <c r="E31" s="137"/>
      <c r="F31" s="137"/>
    </row>
    <row r="32" spans="1:6" x14ac:dyDescent="0.3">
      <c r="A32" s="38"/>
      <c r="B32" s="136"/>
      <c r="C32" s="137"/>
      <c r="D32" s="137"/>
      <c r="E32" s="137"/>
      <c r="F32" s="137"/>
    </row>
    <row r="33" spans="1:6" x14ac:dyDescent="0.3">
      <c r="A33" s="38"/>
      <c r="B33" s="137"/>
      <c r="C33" s="137"/>
      <c r="D33" s="137"/>
      <c r="E33" s="137"/>
      <c r="F33" s="137"/>
    </row>
    <row r="34" spans="1:6" x14ac:dyDescent="0.3">
      <c r="A34" s="38"/>
      <c r="B34" s="137"/>
      <c r="C34" s="137"/>
      <c r="D34" s="137"/>
      <c r="E34" s="137"/>
      <c r="F34" s="137"/>
    </row>
    <row r="35" spans="1:6" x14ac:dyDescent="0.3">
      <c r="A35" s="38"/>
      <c r="B35" s="137"/>
      <c r="C35" s="137"/>
      <c r="D35" s="137"/>
      <c r="E35" s="137"/>
      <c r="F35" s="137"/>
    </row>
    <row r="36" spans="1:6" x14ac:dyDescent="0.3">
      <c r="A36" s="38"/>
      <c r="B36" s="138"/>
      <c r="C36" s="137"/>
      <c r="D36" s="137"/>
      <c r="E36" s="137"/>
      <c r="F36" s="137"/>
    </row>
    <row r="37" spans="1:6" x14ac:dyDescent="0.3">
      <c r="A37" s="38"/>
      <c r="B37" s="138"/>
      <c r="C37" s="137"/>
      <c r="D37" s="137"/>
      <c r="E37" s="137"/>
      <c r="F37" s="137"/>
    </row>
    <row r="38" spans="1:6" x14ac:dyDescent="0.3">
      <c r="A38" s="38"/>
    </row>
    <row r="39" spans="1:6" x14ac:dyDescent="0.3">
      <c r="A39" s="38"/>
    </row>
  </sheetData>
  <mergeCells count="6">
    <mergeCell ref="D12:F12"/>
    <mergeCell ref="B12:C12"/>
    <mergeCell ref="B14:F37"/>
    <mergeCell ref="B2:D3"/>
    <mergeCell ref="E3:G3"/>
    <mergeCell ref="F2:G2"/>
  </mergeCells>
  <printOptions horizontalCentered="1"/>
  <pageMargins left="0.4" right="0.4" top="0.4" bottom="0.4" header="0.3" footer="0.3"/>
  <pageSetup paperSize="9" orientation="portrait" r:id="rId1"/>
  <ignoredErrors>
    <ignoredError sqref="B2"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START</vt:lpstr>
      <vt:lpstr>PLANNED EXPENSES</vt:lpstr>
      <vt:lpstr>ACTUAL EXPENSES</vt:lpstr>
      <vt:lpstr>EXPENSE VARIANCES</vt:lpstr>
      <vt:lpstr>EXPENSE ANALYSIS</vt:lpstr>
      <vt:lpstr>worksheet_title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erms:created xsi:type="dcterms:W3CDTF">2018-05-30T05:56:59Z</dcterms:created>
  <dcterms:modified xsi:type="dcterms:W3CDTF">2018-09-19T11:45:43Z</dcterms:modified>
</cp:coreProperties>
</file>

<file path=docProps/custom.xml><?xml version="1.0" encoding="utf-8"?>
<Properties xmlns="http://schemas.openxmlformats.org/officeDocument/2006/custom-properties" xmlns:vt="http://schemas.openxmlformats.org/officeDocument/2006/docPropsVTypes"/>
</file>