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3.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4.xml" ContentType="application/vnd.openxmlformats-officedocument.drawing+xml"/>
  <Override PartName="/xl/tables/table1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codeName="ThisWorkbook"/>
  <mc:AlternateContent xmlns:mc="http://schemas.openxmlformats.org/markup-compatibility/2006">
    <mc:Choice Requires="x15">
      <x15ac:absPath xmlns:x15ac="http://schemas.microsoft.com/office/spreadsheetml/2010/11/ac" url="C:\Users\admin\Desktop\de-DE\"/>
    </mc:Choice>
  </mc:AlternateContent>
  <bookViews>
    <workbookView xWindow="0" yWindow="0" windowWidth="21600" windowHeight="8325" tabRatio="756" xr2:uid="{00000000-000D-0000-FFFF-FFFF00000000}"/>
  </bookViews>
  <sheets>
    <sheet name="START" sheetId="6" r:id="rId1"/>
    <sheet name="GEPLANTE KOSTEN" sheetId="2" r:id="rId2"/>
    <sheet name="TATSÄCHLICHE KOSTEN" sheetId="3" r:id="rId3"/>
    <sheet name="KOSTENABWEICHUNGEN" sheetId="4" r:id="rId4"/>
    <sheet name="AUSGABENANALYSE" sheetId="5" r:id="rId5"/>
  </sheets>
  <definedNames>
    <definedName name="Arbeitsblatt_Titel">'GEPLANTE KOSTEN'!$J$2</definedName>
  </definedNames>
  <calcPr calcId="162913"/>
</workbook>
</file>

<file path=xl/calcChain.xml><?xml version="1.0" encoding="utf-8"?>
<calcChain xmlns="http://schemas.openxmlformats.org/spreadsheetml/2006/main">
  <c r="J2" i="3" l="1"/>
  <c r="J2" i="4"/>
  <c r="E3" i="5"/>
  <c r="B2" i="3" l="1"/>
  <c r="B2" i="5" l="1"/>
  <c r="B2" i="4"/>
  <c r="I7" i="3" l="1"/>
  <c r="J7" i="3"/>
  <c r="K7" i="3"/>
  <c r="L7" i="3"/>
  <c r="M7" i="3"/>
  <c r="N7" i="3"/>
  <c r="C32" i="4"/>
  <c r="D32" i="4"/>
  <c r="E32" i="4"/>
  <c r="F32" i="4"/>
  <c r="G32" i="4"/>
  <c r="H32" i="4"/>
  <c r="I32" i="4"/>
  <c r="J32" i="4"/>
  <c r="K32" i="4"/>
  <c r="L32" i="4"/>
  <c r="M32" i="4"/>
  <c r="N32" i="4"/>
  <c r="D31" i="4"/>
  <c r="E31" i="4"/>
  <c r="F31" i="4"/>
  <c r="G31" i="4"/>
  <c r="H31" i="4"/>
  <c r="I31" i="4"/>
  <c r="J31" i="4"/>
  <c r="K31" i="4"/>
  <c r="L31" i="4"/>
  <c r="M31" i="4"/>
  <c r="N31" i="4"/>
  <c r="C31" i="4"/>
  <c r="C23" i="4"/>
  <c r="D23" i="4"/>
  <c r="E23" i="4"/>
  <c r="F23" i="4"/>
  <c r="G23" i="4"/>
  <c r="H23" i="4"/>
  <c r="I23" i="4"/>
  <c r="J23" i="4"/>
  <c r="K23" i="4"/>
  <c r="L23" i="4"/>
  <c r="M23" i="4"/>
  <c r="N23" i="4"/>
  <c r="C24" i="4"/>
  <c r="D24" i="4"/>
  <c r="E24" i="4"/>
  <c r="F24" i="4"/>
  <c r="G24" i="4"/>
  <c r="H24" i="4"/>
  <c r="I24" i="4"/>
  <c r="J24" i="4"/>
  <c r="K24" i="4"/>
  <c r="L24" i="4"/>
  <c r="M24" i="4"/>
  <c r="N24" i="4"/>
  <c r="C25" i="4"/>
  <c r="D25" i="4"/>
  <c r="E25" i="4"/>
  <c r="F25" i="4"/>
  <c r="G25" i="4"/>
  <c r="H25" i="4"/>
  <c r="I25" i="4"/>
  <c r="J25" i="4"/>
  <c r="K25" i="4"/>
  <c r="L25" i="4"/>
  <c r="M25" i="4"/>
  <c r="N25" i="4"/>
  <c r="C26" i="4"/>
  <c r="D26" i="4"/>
  <c r="E26" i="4"/>
  <c r="F26" i="4"/>
  <c r="G26" i="4"/>
  <c r="H26" i="4"/>
  <c r="I26" i="4"/>
  <c r="J26" i="4"/>
  <c r="K26" i="4"/>
  <c r="L26" i="4"/>
  <c r="M26" i="4"/>
  <c r="N26" i="4"/>
  <c r="C27" i="4"/>
  <c r="D27" i="4"/>
  <c r="E27" i="4"/>
  <c r="F27" i="4"/>
  <c r="G27" i="4"/>
  <c r="H27" i="4"/>
  <c r="I27" i="4"/>
  <c r="J27" i="4"/>
  <c r="K27" i="4"/>
  <c r="L27" i="4"/>
  <c r="M27" i="4"/>
  <c r="N27" i="4"/>
  <c r="D22" i="4"/>
  <c r="E22" i="4"/>
  <c r="F22" i="4"/>
  <c r="G22" i="4"/>
  <c r="H22" i="4"/>
  <c r="I22" i="4"/>
  <c r="J22" i="4"/>
  <c r="K22" i="4"/>
  <c r="L22" i="4"/>
  <c r="M22" i="4"/>
  <c r="N22" i="4"/>
  <c r="C22" i="4"/>
  <c r="D6" i="4"/>
  <c r="E6" i="4"/>
  <c r="F6" i="4"/>
  <c r="G6" i="4"/>
  <c r="H6" i="4"/>
  <c r="I6" i="4"/>
  <c r="J6" i="4"/>
  <c r="K6" i="4"/>
  <c r="L6" i="4"/>
  <c r="M6" i="4"/>
  <c r="N6" i="4"/>
  <c r="C6" i="4"/>
  <c r="C12" i="4"/>
  <c r="D12" i="4"/>
  <c r="E12" i="4"/>
  <c r="F12" i="4"/>
  <c r="G12" i="4"/>
  <c r="H12" i="4"/>
  <c r="I12" i="4"/>
  <c r="J12" i="4"/>
  <c r="K12" i="4"/>
  <c r="L12" i="4"/>
  <c r="M12" i="4"/>
  <c r="N12" i="4"/>
  <c r="C13" i="4"/>
  <c r="D13" i="4"/>
  <c r="E13" i="4"/>
  <c r="F13" i="4"/>
  <c r="G13" i="4"/>
  <c r="H13" i="4"/>
  <c r="I13" i="4"/>
  <c r="J13" i="4"/>
  <c r="K13" i="4"/>
  <c r="L13" i="4"/>
  <c r="M13" i="4"/>
  <c r="N13" i="4"/>
  <c r="C14" i="4"/>
  <c r="D14" i="4"/>
  <c r="E14" i="4"/>
  <c r="F14" i="4"/>
  <c r="G14" i="4"/>
  <c r="H14" i="4"/>
  <c r="I14" i="4"/>
  <c r="J14" i="4"/>
  <c r="K14" i="4"/>
  <c r="L14" i="4"/>
  <c r="M14" i="4"/>
  <c r="N14" i="4"/>
  <c r="C15" i="4"/>
  <c r="D15" i="4"/>
  <c r="E15" i="4"/>
  <c r="F15" i="4"/>
  <c r="G15" i="4"/>
  <c r="H15" i="4"/>
  <c r="I15" i="4"/>
  <c r="J15" i="4"/>
  <c r="K15" i="4"/>
  <c r="L15" i="4"/>
  <c r="M15" i="4"/>
  <c r="N15" i="4"/>
  <c r="C16" i="4"/>
  <c r="D16" i="4"/>
  <c r="E16" i="4"/>
  <c r="F16" i="4"/>
  <c r="G16" i="4"/>
  <c r="H16" i="4"/>
  <c r="I16" i="4"/>
  <c r="J16" i="4"/>
  <c r="K16" i="4"/>
  <c r="L16" i="4"/>
  <c r="M16" i="4"/>
  <c r="N16" i="4"/>
  <c r="C17" i="4"/>
  <c r="D17" i="4"/>
  <c r="E17" i="4"/>
  <c r="F17" i="4"/>
  <c r="G17" i="4"/>
  <c r="H17" i="4"/>
  <c r="I17" i="4"/>
  <c r="J17" i="4"/>
  <c r="K17" i="4"/>
  <c r="L17" i="4"/>
  <c r="M17" i="4"/>
  <c r="N17" i="4"/>
  <c r="C18" i="4"/>
  <c r="D18" i="4"/>
  <c r="E18" i="4"/>
  <c r="F18" i="4"/>
  <c r="G18" i="4"/>
  <c r="H18" i="4"/>
  <c r="I18" i="4"/>
  <c r="J18" i="4"/>
  <c r="K18" i="4"/>
  <c r="L18" i="4"/>
  <c r="M18" i="4"/>
  <c r="N18" i="4"/>
  <c r="D11" i="4"/>
  <c r="E11" i="4"/>
  <c r="F11" i="4"/>
  <c r="G11" i="4"/>
  <c r="H11" i="4"/>
  <c r="I11" i="4"/>
  <c r="J11" i="4"/>
  <c r="K11" i="4"/>
  <c r="L11" i="4"/>
  <c r="M11" i="4"/>
  <c r="N11" i="4"/>
  <c r="C11" i="4"/>
  <c r="D19" i="3"/>
  <c r="E19" i="3"/>
  <c r="F19" i="3"/>
  <c r="G19" i="3"/>
  <c r="H19" i="3"/>
  <c r="I19" i="3"/>
  <c r="J19" i="3"/>
  <c r="K19" i="3"/>
  <c r="L19" i="3"/>
  <c r="M19" i="3"/>
  <c r="N19" i="3"/>
  <c r="D28" i="3"/>
  <c r="E28" i="3"/>
  <c r="F28" i="3"/>
  <c r="G28" i="3"/>
  <c r="H28" i="3"/>
  <c r="I28" i="3"/>
  <c r="J28" i="3"/>
  <c r="K28" i="3"/>
  <c r="L28" i="3"/>
  <c r="M28" i="3"/>
  <c r="N28" i="3"/>
  <c r="D33" i="3"/>
  <c r="E33" i="3"/>
  <c r="F33" i="3"/>
  <c r="G33" i="3"/>
  <c r="H33" i="3"/>
  <c r="I33" i="3"/>
  <c r="J33" i="3"/>
  <c r="K33" i="3"/>
  <c r="L33" i="3"/>
  <c r="M33" i="3"/>
  <c r="N33" i="3"/>
  <c r="C33" i="3"/>
  <c r="C28" i="3"/>
  <c r="C19" i="3"/>
  <c r="D33" i="2"/>
  <c r="E33" i="2"/>
  <c r="F33" i="2"/>
  <c r="G33" i="2"/>
  <c r="H33" i="2"/>
  <c r="I33" i="2"/>
  <c r="J33" i="2"/>
  <c r="K33" i="2"/>
  <c r="L33" i="2"/>
  <c r="M33" i="2"/>
  <c r="N33" i="2"/>
  <c r="C33" i="2"/>
  <c r="D28" i="2"/>
  <c r="E28" i="2"/>
  <c r="F28" i="2"/>
  <c r="G28" i="2"/>
  <c r="H28" i="2"/>
  <c r="I28" i="2"/>
  <c r="J28" i="2"/>
  <c r="K28" i="2"/>
  <c r="L28" i="2"/>
  <c r="M28" i="2"/>
  <c r="N28" i="2"/>
  <c r="C28" i="2"/>
  <c r="D19" i="2"/>
  <c r="E19" i="2"/>
  <c r="F19" i="2"/>
  <c r="G19" i="2"/>
  <c r="H19" i="2"/>
  <c r="I19" i="2"/>
  <c r="J19" i="2"/>
  <c r="K19" i="2"/>
  <c r="L19" i="2"/>
  <c r="M19" i="2"/>
  <c r="N19" i="2"/>
  <c r="C19" i="2"/>
  <c r="O22" i="4" l="1"/>
  <c r="O24" i="4"/>
  <c r="O6" i="4"/>
  <c r="O23" i="4"/>
  <c r="O32" i="4"/>
  <c r="O27" i="4"/>
  <c r="O26" i="4"/>
  <c r="O25" i="4"/>
  <c r="O31" i="4"/>
  <c r="O17" i="4"/>
  <c r="O16" i="4"/>
  <c r="O15" i="4"/>
  <c r="O14" i="4"/>
  <c r="O12" i="4"/>
  <c r="O18" i="4"/>
  <c r="O13" i="4"/>
  <c r="O11" i="4"/>
  <c r="B10" i="5"/>
  <c r="B9" i="5"/>
  <c r="B8" i="5"/>
  <c r="B7" i="5"/>
  <c r="N33" i="4"/>
  <c r="M33" i="4"/>
  <c r="L33" i="4"/>
  <c r="K33" i="4"/>
  <c r="J33" i="4"/>
  <c r="I33" i="4"/>
  <c r="H33" i="4"/>
  <c r="G33" i="4"/>
  <c r="F33" i="4"/>
  <c r="E33" i="4"/>
  <c r="D33" i="4"/>
  <c r="C33" i="4"/>
  <c r="N28" i="4"/>
  <c r="M28" i="4"/>
  <c r="L28" i="4"/>
  <c r="K28" i="4"/>
  <c r="J28" i="4"/>
  <c r="I28" i="4"/>
  <c r="H28" i="4"/>
  <c r="G28" i="4"/>
  <c r="F28" i="4"/>
  <c r="E28" i="4"/>
  <c r="D28" i="4"/>
  <c r="C28" i="4"/>
  <c r="N19" i="4"/>
  <c r="M19" i="4"/>
  <c r="L19" i="4"/>
  <c r="K19" i="4"/>
  <c r="J19" i="4"/>
  <c r="I19" i="4"/>
  <c r="H19" i="4"/>
  <c r="G19" i="4"/>
  <c r="F19" i="4"/>
  <c r="E19" i="4"/>
  <c r="D19" i="4"/>
  <c r="C19" i="4"/>
  <c r="O32" i="3"/>
  <c r="O31" i="3"/>
  <c r="O27" i="3"/>
  <c r="O26" i="3"/>
  <c r="O25" i="3"/>
  <c r="O24" i="3"/>
  <c r="O23" i="3"/>
  <c r="O22" i="3"/>
  <c r="O18" i="3"/>
  <c r="O17" i="3"/>
  <c r="O16" i="3"/>
  <c r="O15" i="3"/>
  <c r="O14" i="3"/>
  <c r="O13" i="3"/>
  <c r="O12" i="3"/>
  <c r="O11" i="3"/>
  <c r="N8" i="3"/>
  <c r="N36" i="3" s="1"/>
  <c r="M8" i="3"/>
  <c r="M36" i="3" s="1"/>
  <c r="L8" i="3"/>
  <c r="L36" i="3" s="1"/>
  <c r="K8" i="3"/>
  <c r="K36" i="3" s="1"/>
  <c r="J8" i="3"/>
  <c r="J36" i="3" s="1"/>
  <c r="I8" i="3"/>
  <c r="I36" i="3" s="1"/>
  <c r="H7" i="3"/>
  <c r="H8" i="3" s="1"/>
  <c r="H36" i="3" s="1"/>
  <c r="G7" i="3"/>
  <c r="G8" i="3" s="1"/>
  <c r="G36" i="3" s="1"/>
  <c r="F7" i="3"/>
  <c r="F8" i="3" s="1"/>
  <c r="F36" i="3" s="1"/>
  <c r="E7" i="3"/>
  <c r="E8" i="3" s="1"/>
  <c r="E36" i="3" s="1"/>
  <c r="D7" i="3"/>
  <c r="D8" i="3" s="1"/>
  <c r="D36" i="3" s="1"/>
  <c r="C7" i="3"/>
  <c r="C8" i="3" s="1"/>
  <c r="C36" i="3" s="1"/>
  <c r="O6" i="3"/>
  <c r="O32" i="2"/>
  <c r="O31" i="2"/>
  <c r="O33" i="2" s="1"/>
  <c r="O27" i="2"/>
  <c r="O26" i="2"/>
  <c r="O25" i="2"/>
  <c r="O24" i="2"/>
  <c r="O23" i="2"/>
  <c r="O22" i="2"/>
  <c r="O18" i="2"/>
  <c r="O17" i="2"/>
  <c r="O16" i="2"/>
  <c r="O15" i="2"/>
  <c r="O14" i="2"/>
  <c r="O13" i="2"/>
  <c r="O12" i="2"/>
  <c r="O11" i="2"/>
  <c r="N7" i="2"/>
  <c r="M7" i="2"/>
  <c r="L7" i="2"/>
  <c r="K7" i="2"/>
  <c r="J7" i="2"/>
  <c r="I7" i="2"/>
  <c r="H7" i="2"/>
  <c r="G7" i="2"/>
  <c r="F7" i="2"/>
  <c r="E7" i="2"/>
  <c r="D7" i="2"/>
  <c r="C7" i="2"/>
  <c r="O6" i="2"/>
  <c r="J8" i="2" l="1"/>
  <c r="J36" i="2" s="1"/>
  <c r="J7" i="4"/>
  <c r="J8" i="4" s="1"/>
  <c r="J36" i="4" s="1"/>
  <c r="L8" i="2"/>
  <c r="L36" i="2" s="1"/>
  <c r="L7" i="4"/>
  <c r="L8" i="4" s="1"/>
  <c r="L36" i="4" s="1"/>
  <c r="G8" i="2"/>
  <c r="G36" i="2" s="1"/>
  <c r="G7" i="4"/>
  <c r="G8" i="4" s="1"/>
  <c r="G36" i="4" s="1"/>
  <c r="H8" i="2"/>
  <c r="H36" i="2" s="1"/>
  <c r="H7" i="4"/>
  <c r="H8" i="4" s="1"/>
  <c r="H36" i="4" s="1"/>
  <c r="N8" i="2"/>
  <c r="N36" i="2" s="1"/>
  <c r="N7" i="4"/>
  <c r="N8" i="4" s="1"/>
  <c r="N36" i="4" s="1"/>
  <c r="D8" i="2"/>
  <c r="D36" i="2" s="1"/>
  <c r="D7" i="4"/>
  <c r="D8" i="4" s="1"/>
  <c r="D36" i="4" s="1"/>
  <c r="E7" i="4"/>
  <c r="E8" i="4" s="1"/>
  <c r="E36" i="4" s="1"/>
  <c r="E8" i="2"/>
  <c r="E36" i="2" s="1"/>
  <c r="K8" i="2"/>
  <c r="K36" i="2" s="1"/>
  <c r="K7" i="4"/>
  <c r="K8" i="4" s="1"/>
  <c r="K36" i="4" s="1"/>
  <c r="F7" i="4"/>
  <c r="F8" i="4" s="1"/>
  <c r="F36" i="4" s="1"/>
  <c r="F8" i="2"/>
  <c r="F36" i="2" s="1"/>
  <c r="M8" i="2"/>
  <c r="M36" i="2" s="1"/>
  <c r="M7" i="4"/>
  <c r="M8" i="4" s="1"/>
  <c r="M36" i="4" s="1"/>
  <c r="C7" i="4"/>
  <c r="C8" i="4" s="1"/>
  <c r="C36" i="4" s="1"/>
  <c r="C8" i="2"/>
  <c r="C36" i="2" s="1"/>
  <c r="I7" i="4"/>
  <c r="I8" i="4" s="1"/>
  <c r="I36" i="4" s="1"/>
  <c r="I8" i="2"/>
  <c r="I36" i="2" s="1"/>
  <c r="O33" i="3"/>
  <c r="O28" i="3"/>
  <c r="D8" i="5" s="1"/>
  <c r="O19" i="3"/>
  <c r="D7" i="5" s="1"/>
  <c r="C9" i="5"/>
  <c r="O28" i="2"/>
  <c r="C8" i="5" s="1"/>
  <c r="O19" i="2"/>
  <c r="C7" i="5" s="1"/>
  <c r="O7" i="3"/>
  <c r="O8" i="3" s="1"/>
  <c r="D6" i="5" s="1"/>
  <c r="O33" i="4"/>
  <c r="O7" i="2"/>
  <c r="O8" i="2" s="1"/>
  <c r="C6" i="5" s="1"/>
  <c r="E37" i="2" l="1"/>
  <c r="D37" i="2"/>
  <c r="J37" i="2"/>
  <c r="O7" i="4"/>
  <c r="O8" i="4" s="1"/>
  <c r="O36" i="2"/>
  <c r="I37" i="2"/>
  <c r="C37" i="2"/>
  <c r="F37" i="2"/>
  <c r="E8" i="5"/>
  <c r="F8" i="5" s="1"/>
  <c r="D37" i="4"/>
  <c r="J37" i="4"/>
  <c r="M37" i="4"/>
  <c r="H37" i="4"/>
  <c r="N37" i="4"/>
  <c r="C37" i="4"/>
  <c r="E37" i="4"/>
  <c r="K37" i="4"/>
  <c r="F37" i="4"/>
  <c r="L37" i="4"/>
  <c r="G37" i="4"/>
  <c r="I37" i="4"/>
  <c r="O19" i="4"/>
  <c r="O28" i="4"/>
  <c r="D9" i="5"/>
  <c r="E9" i="5" s="1"/>
  <c r="F9" i="5" s="1"/>
  <c r="O36" i="3"/>
  <c r="K37" i="2"/>
  <c r="G37" i="3"/>
  <c r="M37" i="3"/>
  <c r="J37" i="3"/>
  <c r="F37" i="3"/>
  <c r="H37" i="3"/>
  <c r="N37" i="3"/>
  <c r="I37" i="3"/>
  <c r="C37" i="3"/>
  <c r="D37" i="3"/>
  <c r="E37" i="3"/>
  <c r="K37" i="3"/>
  <c r="L37" i="3"/>
  <c r="E7" i="5"/>
  <c r="F7" i="5" s="1"/>
  <c r="N37" i="2"/>
  <c r="H37" i="2"/>
  <c r="M37" i="2"/>
  <c r="L37" i="2"/>
  <c r="G37" i="2"/>
  <c r="E6" i="5"/>
  <c r="F6" i="5" s="1"/>
  <c r="C10" i="5" l="1"/>
  <c r="E10" i="5" s="1"/>
  <c r="F10" i="5" s="1"/>
  <c r="D10" i="5"/>
  <c r="O36" i="4"/>
</calcChain>
</file>

<file path=xl/sharedStrings.xml><?xml version="1.0" encoding="utf-8"?>
<sst xmlns="http://schemas.openxmlformats.org/spreadsheetml/2006/main" count="388" uniqueCount="108">
  <si>
    <t>ÜBER DIESE VORLAGE</t>
  </si>
  <si>
    <t>Verwenden Sie diese Geschäftskostenbudget-Arbeitsmappe zum Nachverfolgen geplanter und tatsächlicher Kosten und Abweichungen.</t>
  </si>
  <si>
    <t>Geben Sie Details auf dem Arbeitsblatt "Geplante Kosten" und dem Arbeitsblatt "Tatsächliche Kosten" ein.</t>
  </si>
  <si>
    <t>Anmerkung: </t>
  </si>
  <si>
    <t>Um mehr über Tabellen zu erfahren, drücken Sie die UMSCHALTTASTE und dann F10 innerhalb einer Tabelle, und wählen Sie die Option TABELLE und dann ALTERNATIVTEXT aus.</t>
  </si>
  <si>
    <t>Geben Sie geplante Mitarbeiterkosten, Bürokosten, Marketingkosten, und Schulungs- oder Reisekosten in den entsprechenden Tabellen auf diesem Arbeitsblatt ein. Summen werden automatisch berechnet. Nützliche Anweisungen zum Verwenden dieses Arbeitsblatts befinden sich in Zellen in dieser Spalte. Drücken Sie die NACH-UNTEN-TASTE, um anzufangen.</t>
  </si>
  <si>
    <t>Die Bezeichnung "Geplante Kosten" befindet sich in der Zelle rechts, die Monate stehen in den Zellen C4 bis N4, die Bezeichnung "Jahr" ist in Zelle O4, und die Anweisungen zum Verwenden dieser Vorlage stehen in Zelle R4.</t>
  </si>
  <si>
    <t>Geben Sie die Mitarbeiterkosten in der Mitarbeiterplantabelle ein, die in der Zelle rechts beginnt. Die nächste Anweisung finden Sie in Zelle A10.</t>
  </si>
  <si>
    <t>Geben Sie die Bürokosten in der Büroplantabelle ein, die in der Zelle rechts beginnt. Die nächste Anweisung finden Sie in Zelle A21.</t>
  </si>
  <si>
    <t>Geben Sie die Marketingkosten in der Marketingplantabelle ein, die in der Zelle rechts beginnt. Die nächste Anweisung finden Sie in Zelle A30.</t>
  </si>
  <si>
    <t>Geben Sie Schulungs- und Reisekosten in der Schulungs- und Reiseplantabelle ein, die in der Zelle rechts beginnt. Die nächste Anweisung finden Sie in Zelle A35.</t>
  </si>
  <si>
    <t>Summen werden in der Tabelle "Geplante Summe", die in der Zelle rechts beginnt, automatisch berechnet.</t>
  </si>
  <si>
    <t>Firmenname</t>
  </si>
  <si>
    <t>GEPLANTE KOSTEN</t>
  </si>
  <si>
    <t>Mitarbeiterkosten</t>
  </si>
  <si>
    <t>Gehälter</t>
  </si>
  <si>
    <t>Vorteile</t>
  </si>
  <si>
    <t>Zwischensumme</t>
  </si>
  <si>
    <t>Bürokosten</t>
  </si>
  <si>
    <t>Büromiete</t>
  </si>
  <si>
    <t>Gas</t>
  </si>
  <si>
    <t>Strom</t>
  </si>
  <si>
    <t>Wasser</t>
  </si>
  <si>
    <t>Telefon</t>
  </si>
  <si>
    <t>Internetzugang</t>
  </si>
  <si>
    <t>Büromaterial</t>
  </si>
  <si>
    <t>Sicherheit</t>
  </si>
  <si>
    <t>Marketingkosten</t>
  </si>
  <si>
    <t>Websitehosting</t>
  </si>
  <si>
    <t>Websiteaktualisierungen</t>
  </si>
  <si>
    <t>Vorbereitung von Begleitmaterialien</t>
  </si>
  <si>
    <t>Druck von Begleitmaterialien</t>
  </si>
  <si>
    <t>Marketingveranstaltungen</t>
  </si>
  <si>
    <t>Sonstige Ausgaben</t>
  </si>
  <si>
    <t>Schulung/Reisen</t>
  </si>
  <si>
    <t>Schulungskurse</t>
  </si>
  <si>
    <t>Schulungsbezogene Reisekosten</t>
  </si>
  <si>
    <t>SUMMEN</t>
  </si>
  <si>
    <t>Geplante monatliche Kosten</t>
  </si>
  <si>
    <t>Summe der geplanten Kosten</t>
  </si>
  <si>
    <t>JAN</t>
  </si>
  <si>
    <t>Jan</t>
  </si>
  <si>
    <t>FEB</t>
  </si>
  <si>
    <t>Feb</t>
  </si>
  <si>
    <t>MRZ</t>
  </si>
  <si>
    <t>Mrz</t>
  </si>
  <si>
    <t>APR</t>
  </si>
  <si>
    <t>Apr</t>
  </si>
  <si>
    <t>MAI</t>
  </si>
  <si>
    <t>Mai</t>
  </si>
  <si>
    <t>JUN</t>
  </si>
  <si>
    <t>Jun</t>
  </si>
  <si>
    <t>JUL</t>
  </si>
  <si>
    <t>Jul</t>
  </si>
  <si>
    <t>AUG</t>
  </si>
  <si>
    <t>Aug</t>
  </si>
  <si>
    <t>Detaillierte Kostenschätzungen</t>
  </si>
  <si>
    <t>Schattierte Zellen stellen Berechnungen dar.</t>
  </si>
  <si>
    <t>SEP</t>
  </si>
  <si>
    <t>Sep</t>
  </si>
  <si>
    <t>OKT</t>
  </si>
  <si>
    <t>Okt</t>
  </si>
  <si>
    <t>NOV</t>
  </si>
  <si>
    <t>Nov</t>
  </si>
  <si>
    <t>Der Logoplatzhalter ist in dieser Zelle.</t>
  </si>
  <si>
    <t>DEZ</t>
  </si>
  <si>
    <t>Dez</t>
  </si>
  <si>
    <t>JAHR</t>
  </si>
  <si>
    <t>Jahr</t>
  </si>
  <si>
    <t xml:space="preserve"> </t>
  </si>
  <si>
    <t>Geben Sie tatsächliche Mitarbeiterkosten, Bürokosten, Marketingkosten, und Schulungs- oder Reisekosten in den entsprechenden Tabellen auf diesem Arbeitsblatt ein. Summen werden automatisch berechnet. Nützliche Anweisungen zum Verwenden dieses Arbeitsblatts befinden sich in Zellen in dieser Spalte. Drücken Sie die NACH-UNTEN-TASTE, um anzufangen.</t>
  </si>
  <si>
    <t>Die Bezeichnung "Tatsächliche Kosten" steht in der Zelle rechts, die Monate sind in den Zellen C4 bis N4 und die Jahresbeschriftung ist in Zelle O4.</t>
  </si>
  <si>
    <t>TATSÄCHLICHE KOSTEN</t>
  </si>
  <si>
    <t>Tatsächliche monatliche Kosten</t>
  </si>
  <si>
    <t>SUMME der tatsächlichen Kosten</t>
  </si>
  <si>
    <t>Kostenabweichungen werden auf diesem Arbeitsblatt für Mitarbeiterkosten, Bürokosten, Marketingkosten, und Schulungs- oder Reisekosten in den entsprechenden Tabellen auf diesem Arbeitsblatt automatisch berechnet. Nützliche Anweisungen zum Verwenden dieses Arbeitsblatts befinden sich in Zellen in dieser Spalte. Drücken Sie die NACH-UNTEN-TASTE, um anzufangen.</t>
  </si>
  <si>
    <t>Die Bezeichnung "Kostenabweichungen" steht in der Zelle rechts, die Monate sind in den Zellen C4 bis N4 und die Jahresbeschriftung ist in Zelle O4.</t>
  </si>
  <si>
    <t>KOSTENABWEICHUNGEN</t>
  </si>
  <si>
    <t>Der Firmenname in der Zelle rechts wird automatisch aktualisiert. Setzen Sie Ihr Logo in Zelle F2 ein.</t>
  </si>
  <si>
    <t>Der Titel dieses Arbeitsblatts befindet sich in Zelle E3. Die nächste Anweisung finden Sie in Zelle A5.</t>
  </si>
  <si>
    <t>Geplante Kosten, tatsächliche Kosten, die Kostenabweichung und der Prozentsatz der Abweichung werden in der Analysetabelle, die in der Zelle rechts beginnt, automatisch berechnet. Die nächste Anweisung finden Sie in Zelle A12.</t>
  </si>
  <si>
    <t>Das Kreisdiagramm für geplante Kosten befindet sich in der Zelle rechts und das Kreisdiagramm für tatsächliche Kosten in Zelle D12. Die nächste Anweisung finden Sie in Zelle A14.</t>
  </si>
  <si>
    <t>Kostenkategorie</t>
  </si>
  <si>
    <t>Ein Kreisdiagramm mit geplanten Kosten in verschiedenen Kategorien befindet sich in dieser Zelle.</t>
  </si>
  <si>
    <t>Geplante Kosten</t>
  </si>
  <si>
    <t>Tatsächliche Kosten</t>
  </si>
  <si>
    <t>Ein Kreisdiagramm mit tatsächlichen Kosten, die in verschiedenen Kategorien angefallen sind, befindet sich in dieser Zelle.</t>
  </si>
  <si>
    <t>Kostenabweichungen</t>
  </si>
  <si>
    <t>Prozentsatz der Abweichung</t>
  </si>
  <si>
    <t>Weitere Anweisungen wurden in Spalte A auf jedem Arbeitsblatt bereitgestellt. Diese Texte wurden absichtlich ausgeblendet. Um die Texte zu entfernen, wählen Sie Spalte A und dann ZELLEN LÖSCHEN aus. Um die Texte einzublenden, wählen Sie Spalte A aus, und ändern Sie die Schriftfarbe.</t>
  </si>
  <si>
    <t>Der Tipp steht in Zelle J3.</t>
  </si>
  <si>
    <t>Der Firmenname in der Zelle rechts wird automatisch aktualisiert. Der Titel dieses Arbeitsblatts befindet sich in Zelle J2. Setzen Sie in Zelle N2 Ihr Logo ein.</t>
  </si>
  <si>
    <t>Die Tabellen auf dem Arbeitsblatt "Kostenabweichungen" und die Diagramme auf dem Arbeitsblatt "Ausgabenanalyse" werden automatisch aktualisiert.</t>
  </si>
  <si>
    <t>Setzen Sie den Firmenname ein, und fügen Sie Ihr Logo hinzu.</t>
  </si>
  <si>
    <t>Geben Sie den Firmenname in der Zelle rechts und das Logo in Zelle N2 ein. Der Titel dieses Arbeitsblatts befindet sich in Zelle J2.</t>
  </si>
  <si>
    <t>Geben Sie die Mitarbeiterkosten in der MitarbeiterTatsächlichtabelle ein, die in der Zelle rechts beginnt. Die nächste Anweisung finden Sie in Zelle A10.</t>
  </si>
  <si>
    <t>Geben Sie die Bürokosten in der BüroTatsächlichtabelle ein, die in der Zelle rechts beginnt. Die nächste Anweisung finden Sie in Zelle A21.</t>
  </si>
  <si>
    <t>Geben Sie die Marketingkosten in der MarketingTatsächlichtabelle ein, die in der Zelle rechts beginnt. Die nächste Anweisung finden Sie in Zelle A30.</t>
  </si>
  <si>
    <t>Geben Sie Schulungs- oder Reisekosten in der SchulungUndReiseTatsächlichtabelle ein, die in der Zelle rechts beginnt. Die nächste Anweisung finden Sie in Zelle A35.</t>
  </si>
  <si>
    <t>Die Summen der tatsächlichen Kosten werden in der Tabelle "SummeTatsächlich", die in der Zelle rechts beginnt, automatisch berechnet.</t>
  </si>
  <si>
    <t>Die Abweichung bei den Mitarbeiterkosten wird in der Tabelle "MitarbeiterAbweichungen", die in der Zelle rechts beginnt, automatisch berechnet. Die nächste Anweisung finden Sie in Zelle A10.</t>
  </si>
  <si>
    <t>Die Abweichung bei den Bürokosten wird in der Tabelle "BüroAbweichungen", die in der Zelle rechts beginnt, automatisch berechnet. Die nächste Anweisung finden Sie in Zelle A21.</t>
  </si>
  <si>
    <t>Die Abweichung bei den Marketingkosten wird in der Tabelle "MarketingAbweichungen", die in der Zelle rechts beginnt, automatisch berechnet. Die nächste Anweisung finden Sie in Zelle A30.</t>
  </si>
  <si>
    <t>Die Abweichung bei den Schulungs- oder Reisekosten wird in der Tabelle "SchulungsUndReiseAbweichungen", die in der Zelle rechts beginnt, automatisch berechnet. Die nächste Anweisung finden Sie in Zelle A35.</t>
  </si>
  <si>
    <t>Die Kostenabweichungen werden in der Tabelle "AbweichungenGesamt", die in der Zelle rechts beginnt, automatisch berechnet.</t>
  </si>
  <si>
    <t xml:space="preserve">Die geplanten und tatsächliche kosten, die Kostenabweichungen und der Prozentsatz der Abweichung werden auf diesem Arbeitsblatt für jede Kostenkategorie automatisch aktualisiert. Nützliche Anweisungen zum Verwenden dieses Arbeitsblatts befinden sich in Zellen in dieser Spalte. Drücken Sie die NACH-UNTEN-TASTE, um anzufangen. </t>
  </si>
  <si>
    <t>Ein Diagramm, das die geplant, die tatsächlich und die Abweichung in den monatliche Kosten darstellt, befindet sich in der Zelle rechts.</t>
  </si>
  <si>
    <t>Tipp: SO VERWENDEN SIE DIESE VORLAGE
Geben Sie auf den Arbeitsblättern GEPLANTE KOSTEN und TATSÄCHLICHE KOSTEN Daten ein, dann werden die KOSTENABWEICHUNGEN und die AUSGABENANALYSE für Sie berechnet. Wenn Sie auf einem Blatt eine Zeile hinzufügen, müssen die anderen Blätter übereinstimmen.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</si>
</sst>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Red]#,##0.00\ &quot;€&quot;"/>
    <numFmt numFmtId="168" formatCode="#,##0_ ;\-#,##0\ "/>
  </numFmts>
  <fonts count="54" x14ac:knownFonts="1">
    <font>
      <sz val="9"/>
      <color theme="1" tint="0.24994659260841701"/>
      <name val="Microsoft Sans Serif"/>
      <family val="2"/>
      <scheme val="minor"/>
    </font>
    <font>
      <sz val="11"/>
      <color theme="1"/>
      <name val="Microsoft Sans Serif"/>
      <family val="2"/>
      <scheme val="minor"/>
    </font>
    <font>
      <sz val="14"/>
      <color theme="1"/>
      <name val="Microsoft Sans Serif"/>
      <family val="2"/>
      <scheme val="minor"/>
    </font>
    <font>
      <b/>
      <sz val="14"/>
      <color theme="1"/>
      <name val="Microsoft Sans Serif"/>
      <family val="2"/>
      <scheme val="minor"/>
    </font>
    <font>
      <sz val="10"/>
      <color theme="1"/>
      <name val="Microsoft Sans Serif"/>
      <family val="2"/>
      <scheme val="minor"/>
    </font>
    <font>
      <b/>
      <u/>
      <sz val="10"/>
      <color theme="1"/>
      <name val="Microsoft Sans Serif"/>
      <family val="2"/>
      <scheme val="minor"/>
    </font>
    <font>
      <b/>
      <sz val="10"/>
      <color theme="1"/>
      <name val="Microsoft Sans Serif"/>
      <family val="2"/>
      <scheme val="minor"/>
    </font>
    <font>
      <b/>
      <i/>
      <sz val="10"/>
      <color theme="1"/>
      <name val="Microsoft Sans Serif"/>
      <family val="2"/>
      <scheme val="minor"/>
    </font>
    <font>
      <b/>
      <sz val="22"/>
      <color theme="1" tint="0.24994659260841701"/>
      <name val="Franklin Gothic Book"/>
      <family val="2"/>
      <scheme val="major"/>
    </font>
    <font>
      <sz val="11"/>
      <color theme="1" tint="0.24994659260841701"/>
      <name val="Franklin Gothic Book"/>
      <family val="2"/>
      <scheme val="major"/>
    </font>
    <font>
      <b/>
      <sz val="10"/>
      <color theme="2"/>
      <name val="Franklin Gothic Book"/>
      <family val="2"/>
      <scheme val="major"/>
    </font>
    <font>
      <b/>
      <sz val="14"/>
      <color theme="0"/>
      <name val="Franklin Gothic Book"/>
      <family val="2"/>
      <scheme val="major"/>
    </font>
    <font>
      <i/>
      <sz val="11"/>
      <color theme="3" tint="0.79998168889431442"/>
      <name val="Microsoft Sans Serif"/>
      <family val="2"/>
      <scheme val="minor"/>
    </font>
    <font>
      <b/>
      <sz val="36"/>
      <color theme="0"/>
      <name val="Franklin Gothic Book"/>
      <family val="2"/>
      <scheme val="major"/>
    </font>
    <font>
      <sz val="9"/>
      <color theme="1"/>
      <name val="Microsoft Sans Serif"/>
      <family val="2"/>
      <scheme val="minor"/>
    </font>
    <font>
      <b/>
      <sz val="9"/>
      <color theme="1"/>
      <name val="Microsoft Sans Serif"/>
      <family val="2"/>
      <scheme val="minor"/>
    </font>
    <font>
      <b/>
      <sz val="10"/>
      <color theme="0"/>
      <name val="Microsoft Sans Serif"/>
      <family val="2"/>
      <scheme val="minor"/>
    </font>
    <font>
      <b/>
      <sz val="16"/>
      <color theme="0"/>
      <name val="Franklin Gothic Book"/>
      <family val="2"/>
      <scheme val="major"/>
    </font>
    <font>
      <sz val="10"/>
      <color theme="1" tint="0.24994659260841701"/>
      <name val="Microsoft Sans Serif"/>
      <family val="2"/>
      <scheme val="minor"/>
    </font>
    <font>
      <b/>
      <sz val="10"/>
      <color theme="1" tint="0.24994659260841701"/>
      <name val="Microsoft Sans Serif"/>
      <family val="2"/>
      <scheme val="minor"/>
    </font>
    <font>
      <sz val="9"/>
      <color theme="6" tint="0.39997558519241921"/>
      <name val="Microsoft Sans Serif"/>
      <family val="2"/>
      <scheme val="minor"/>
    </font>
    <font>
      <b/>
      <sz val="14"/>
      <color theme="2"/>
      <name val="Franklin Gothic Book"/>
      <family val="2"/>
      <scheme val="major"/>
    </font>
    <font>
      <sz val="14"/>
      <color theme="3"/>
      <name val="Microsoft Sans Serif"/>
      <family val="2"/>
      <scheme val="minor"/>
    </font>
    <font>
      <b/>
      <sz val="13"/>
      <color theme="3"/>
      <name val="Franklin Gothic Book"/>
      <family val="2"/>
      <scheme val="major"/>
    </font>
    <font>
      <b/>
      <sz val="14"/>
      <color theme="0"/>
      <name val="Microsoft Sans Serif"/>
      <family val="2"/>
      <scheme val="minor"/>
    </font>
    <font>
      <sz val="9"/>
      <name val="Microsoft Sans Serif"/>
      <family val="2"/>
      <scheme val="minor"/>
    </font>
    <font>
      <b/>
      <sz val="9"/>
      <name val="Microsoft Sans Serif"/>
      <family val="2"/>
      <scheme val="minor"/>
    </font>
    <font>
      <b/>
      <sz val="10"/>
      <name val="Microsoft Sans Serif"/>
      <family val="2"/>
      <scheme val="minor"/>
    </font>
    <font>
      <b/>
      <sz val="10"/>
      <color theme="3" tint="-0.499984740745262"/>
      <name val="Franklin Gothic Book"/>
      <family val="2"/>
      <scheme val="major"/>
    </font>
    <font>
      <b/>
      <sz val="14"/>
      <color theme="3"/>
      <name val="Microsoft Sans Serif"/>
      <family val="2"/>
      <scheme val="minor"/>
    </font>
    <font>
      <b/>
      <sz val="14"/>
      <color theme="3" tint="-0.499984740745262"/>
      <name val="Franklin Gothic Book"/>
      <family val="2"/>
      <scheme val="major"/>
    </font>
    <font>
      <sz val="10"/>
      <color theme="5" tint="0.79998168889431442"/>
      <name val="Microsoft Sans Serif"/>
      <family val="2"/>
      <scheme val="minor"/>
    </font>
    <font>
      <b/>
      <sz val="16"/>
      <color theme="0"/>
      <name val="Arial"/>
      <family val="2"/>
    </font>
    <font>
      <sz val="14"/>
      <color theme="3" tint="-0.249977111117893"/>
      <name val="Microsoft Sans Serif"/>
      <family val="2"/>
      <scheme val="minor"/>
    </font>
    <font>
      <sz val="14"/>
      <color theme="6" tint="0.39997558519241921"/>
      <name val="Microsoft Sans Serif"/>
      <family val="2"/>
      <scheme val="minor"/>
    </font>
    <font>
      <sz val="11"/>
      <color theme="6" tint="0.39997558519241921"/>
      <name val="Calibri"/>
      <family val="2"/>
    </font>
    <font>
      <sz val="11"/>
      <color theme="1" tint="4.9989318521683403E-2"/>
      <name val="Calibri"/>
      <family val="2"/>
    </font>
    <font>
      <b/>
      <sz val="11"/>
      <color theme="1" tint="4.9989318521683403E-2"/>
      <name val="Calibri"/>
      <family val="2"/>
    </font>
    <font>
      <i/>
      <sz val="11"/>
      <color theme="0"/>
      <name val="Microsoft Sans Serif"/>
      <family val="2"/>
      <scheme val="minor"/>
    </font>
    <font>
      <b/>
      <sz val="16"/>
      <color theme="3"/>
      <name val="Franklin Gothic Book"/>
      <family val="2"/>
      <scheme val="major"/>
    </font>
    <font>
      <sz val="14"/>
      <color theme="0"/>
      <name val="Microsoft Sans Serif"/>
      <family val="2"/>
      <scheme val="minor"/>
    </font>
    <font>
      <sz val="9"/>
      <color theme="1" tint="0.24994659260841701"/>
      <name val="Microsoft Sans Serif"/>
      <family val="2"/>
      <scheme val="minor"/>
    </font>
    <font>
      <sz val="18"/>
      <color theme="3"/>
      <name val="Franklin Gothic Book"/>
      <family val="2"/>
      <scheme val="major"/>
    </font>
    <font>
      <sz val="11"/>
      <color rgb="FF006100"/>
      <name val="Microsoft Sans Serif"/>
      <family val="2"/>
      <scheme val="minor"/>
    </font>
    <font>
      <sz val="11"/>
      <color rgb="FF9C0006"/>
      <name val="Microsoft Sans Serif"/>
      <family val="2"/>
      <scheme val="minor"/>
    </font>
    <font>
      <sz val="11"/>
      <color rgb="FF9C5700"/>
      <name val="Microsoft Sans Serif"/>
      <family val="2"/>
      <scheme val="minor"/>
    </font>
    <font>
      <sz val="11"/>
      <color rgb="FF3F3F76"/>
      <name val="Microsoft Sans Serif"/>
      <family val="2"/>
      <scheme val="minor"/>
    </font>
    <font>
      <b/>
      <sz val="11"/>
      <color rgb="FF3F3F3F"/>
      <name val="Microsoft Sans Serif"/>
      <family val="2"/>
      <scheme val="minor"/>
    </font>
    <font>
      <b/>
      <sz val="11"/>
      <color rgb="FFFA7D00"/>
      <name val="Microsoft Sans Serif"/>
      <family val="2"/>
      <scheme val="minor"/>
    </font>
    <font>
      <sz val="11"/>
      <color rgb="FFFA7D00"/>
      <name val="Microsoft Sans Serif"/>
      <family val="2"/>
      <scheme val="minor"/>
    </font>
    <font>
      <b/>
      <sz val="11"/>
      <color theme="0"/>
      <name val="Microsoft Sans Serif"/>
      <family val="2"/>
      <scheme val="minor"/>
    </font>
    <font>
      <sz val="11"/>
      <color rgb="FFFF0000"/>
      <name val="Microsoft Sans Serif"/>
      <family val="2"/>
      <scheme val="minor"/>
    </font>
    <font>
      <b/>
      <sz val="11"/>
      <color theme="1"/>
      <name val="Microsoft Sans Serif"/>
      <family val="2"/>
      <scheme val="minor"/>
    </font>
    <font>
      <sz val="11"/>
      <color theme="0"/>
      <name val="Microsoft Sans Serif"/>
      <family val="2"/>
      <scheme val="minor"/>
    </font>
  </fonts>
  <fills count="45">
    <fill>
      <patternFill patternType="none"/>
    </fill>
    <fill>
      <patternFill patternType="gray125"/>
    </fill>
    <fill>
      <patternFill patternType="solid">
        <fgColor theme="5" tint="-0.499984740745262"/>
        <bgColor indexed="64"/>
      </patternFill>
    </fill>
    <fill>
      <patternFill patternType="solid">
        <fgColor theme="3" tint="0.89996032593768116"/>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right/>
      <top/>
      <bottom style="medium">
        <color theme="6" tint="0.39997558519241921"/>
      </bottom>
      <diagonal/>
    </border>
    <border>
      <left/>
      <right/>
      <top style="medium">
        <color theme="6" tint="0.39997558519241921"/>
      </top>
      <bottom/>
      <diagonal/>
    </border>
    <border>
      <left style="medium">
        <color theme="6" tint="0.39997558519241921"/>
      </left>
      <right style="medium">
        <color theme="6" tint="0.39997558519241921"/>
      </right>
      <top style="medium">
        <color theme="6" tint="0.39997558519241921"/>
      </top>
      <bottom/>
      <diagonal/>
    </border>
    <border>
      <left/>
      <right style="medium">
        <color theme="6" tint="0.39997558519241921"/>
      </right>
      <top/>
      <bottom/>
      <diagonal/>
    </border>
    <border>
      <left/>
      <right style="medium">
        <color theme="6" tint="0.39997558519241921"/>
      </right>
      <top style="medium">
        <color theme="6" tint="0.39997558519241921"/>
      </top>
      <bottom/>
      <diagonal/>
    </border>
    <border>
      <left style="medium">
        <color theme="6" tint="0.39997558519241921"/>
      </left>
      <right style="medium">
        <color theme="6" tint="0.39997558519241921"/>
      </right>
      <top/>
      <bottom/>
      <diagonal/>
    </border>
    <border>
      <left/>
      <right/>
      <top/>
      <bottom style="medium">
        <color theme="6" tint="0.39994506668294322"/>
      </bottom>
      <diagonal/>
    </border>
    <border>
      <left/>
      <right/>
      <top style="medium">
        <color theme="6" tint="0.39994506668294322"/>
      </top>
      <bottom style="medium">
        <color theme="6" tint="0.39994506668294322"/>
      </bottom>
      <diagonal/>
    </border>
    <border>
      <left/>
      <right/>
      <top style="medium">
        <color theme="6" tint="0.39994506668294322"/>
      </top>
      <bottom/>
      <diagonal/>
    </border>
    <border>
      <left/>
      <right style="medium">
        <color theme="6" tint="0.39991454817346722"/>
      </right>
      <top style="medium">
        <color theme="6" tint="0.39994506668294322"/>
      </top>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right style="medium">
        <color theme="6" tint="0.39994506668294322"/>
      </right>
      <top/>
      <bottom style="medium">
        <color theme="6" tint="0.39994506668294322"/>
      </bottom>
      <diagonal/>
    </border>
    <border>
      <left style="medium">
        <color theme="6" tint="0.39994506668294322"/>
      </left>
      <right style="medium">
        <color theme="6" tint="0.39994506668294322"/>
      </right>
      <top/>
      <bottom style="medium">
        <color theme="6" tint="0.39994506668294322"/>
      </bottom>
      <diagonal/>
    </border>
    <border>
      <left style="medium">
        <color theme="6" tint="0.39994506668294322"/>
      </left>
      <right/>
      <top/>
      <bottom style="medium">
        <color theme="6" tint="0.39994506668294322"/>
      </bottom>
      <diagonal/>
    </border>
    <border>
      <left/>
      <right style="medium">
        <color theme="6" tint="0.39994506668294322"/>
      </right>
      <top style="medium">
        <color theme="6" tint="0.39994506668294322"/>
      </top>
      <bottom style="medium">
        <color theme="6" tint="0.39994506668294322"/>
      </bottom>
      <diagonal/>
    </border>
    <border>
      <left style="medium">
        <color theme="6" tint="0.39994506668294322"/>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diagonal/>
    </border>
    <border>
      <left style="medium">
        <color theme="6" tint="0.39994506668294322"/>
      </left>
      <right style="medium">
        <color theme="6" tint="0.39994506668294322"/>
      </right>
      <top style="medium">
        <color theme="6" tint="0.39994506668294322"/>
      </top>
      <bottom/>
      <diagonal/>
    </border>
    <border>
      <left style="medium">
        <color theme="6" tint="0.39994506668294322"/>
      </left>
      <right/>
      <top style="medium">
        <color theme="6" tint="0.39994506668294322"/>
      </top>
      <bottom/>
      <diagonal/>
    </border>
    <border>
      <left/>
      <right style="medium">
        <color theme="6" tint="0.39994506668294322"/>
      </right>
      <top style="medium">
        <color theme="6" tint="0.39991454817346722"/>
      </top>
      <bottom style="medium">
        <color theme="6" tint="0.39994506668294322"/>
      </bottom>
      <diagonal/>
    </border>
    <border>
      <left style="medium">
        <color theme="6" tint="0.39994506668294322"/>
      </left>
      <right style="medium">
        <color theme="6" tint="0.39994506668294322"/>
      </right>
      <top style="medium">
        <color theme="6" tint="0.39991454817346722"/>
      </top>
      <bottom style="medium">
        <color theme="6" tint="0.39994506668294322"/>
      </bottom>
      <diagonal/>
    </border>
    <border>
      <left style="medium">
        <color theme="6" tint="0.39994506668294322"/>
      </left>
      <right/>
      <top style="medium">
        <color theme="6" tint="0.39991454817346722"/>
      </top>
      <bottom style="medium">
        <color theme="6" tint="0.39994506668294322"/>
      </bottom>
      <diagonal/>
    </border>
    <border>
      <left style="medium">
        <color theme="6" tint="0.39988402966399123"/>
      </left>
      <right/>
      <top style="medium">
        <color theme="6" tint="0.39991454817346722"/>
      </top>
      <bottom style="medium">
        <color theme="6" tint="0.39994506668294322"/>
      </bottom>
      <diagonal/>
    </border>
    <border>
      <left style="medium">
        <color theme="6" tint="0.39988402966399123"/>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style="medium">
        <color theme="6" tint="0.39985351115451523"/>
      </bottom>
      <diagonal/>
    </border>
    <border>
      <left style="medium">
        <color theme="6" tint="0.39994506668294322"/>
      </left>
      <right style="medium">
        <color theme="6" tint="0.39994506668294322"/>
      </right>
      <top style="medium">
        <color theme="6" tint="0.39994506668294322"/>
      </top>
      <bottom style="medium">
        <color theme="6" tint="0.39985351115451523"/>
      </bottom>
      <diagonal/>
    </border>
    <border>
      <left style="medium">
        <color theme="6" tint="0.39994506668294322"/>
      </left>
      <right/>
      <top style="medium">
        <color theme="6" tint="0.39994506668294322"/>
      </top>
      <bottom style="medium">
        <color theme="6" tint="0.39985351115451523"/>
      </bottom>
      <diagonal/>
    </border>
    <border>
      <left style="medium">
        <color theme="6" tint="0.39988402966399123"/>
      </left>
      <right style="medium">
        <color theme="6" tint="0.39985351115451523"/>
      </right>
      <top style="medium">
        <color theme="6" tint="0.39994506668294322"/>
      </top>
      <bottom style="medium">
        <color theme="6" tint="0.39985351115451523"/>
      </bottom>
      <diagonal/>
    </border>
    <border>
      <left/>
      <right style="medium">
        <color theme="6" tint="0.39997558519241921"/>
      </right>
      <top style="medium">
        <color theme="6" tint="0.39997558519241921"/>
      </top>
      <bottom style="medium">
        <color theme="6" tint="0.39997558519241921"/>
      </bottom>
      <diagonal/>
    </border>
    <border>
      <left/>
      <right style="medium">
        <color theme="6" tint="0.39994506668294322"/>
      </right>
      <top/>
      <bottom style="medium">
        <color theme="6"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10" borderId="0"/>
    <xf numFmtId="0" fontId="8" fillId="0" borderId="0" applyNumberFormat="0" applyFill="0" applyProtection="0">
      <alignment vertical="center"/>
    </xf>
    <xf numFmtId="0" fontId="17" fillId="4" borderId="0" applyNumberFormat="0" applyProtection="0">
      <alignment vertical="center"/>
    </xf>
    <xf numFmtId="0" fontId="10" fillId="2" borderId="0" applyNumberFormat="0" applyProtection="0">
      <alignment vertical="center"/>
    </xf>
    <xf numFmtId="0" fontId="9" fillId="3" borderId="1" applyNumberFormat="0" applyProtection="0">
      <alignment horizontal="left" vertical="center" indent="1"/>
    </xf>
    <xf numFmtId="0" fontId="12" fillId="0" borderId="0" applyNumberFormat="0" applyFill="0" applyBorder="0" applyAlignment="0" applyProtection="0"/>
    <xf numFmtId="165" fontId="41" fillId="0" borderId="0" applyFont="0" applyFill="0" applyBorder="0" applyAlignment="0" applyProtection="0"/>
    <xf numFmtId="164" fontId="41" fillId="0" borderId="0" applyFont="0" applyFill="0" applyBorder="0" applyAlignment="0" applyProtection="0"/>
    <xf numFmtId="44" fontId="41" fillId="0" borderId="0" applyFont="0" applyFill="0" applyBorder="0" applyAlignment="0" applyProtection="0"/>
    <xf numFmtId="42" fontId="41" fillId="0" borderId="0" applyFont="0" applyFill="0" applyBorder="0" applyAlignment="0" applyProtection="0"/>
    <xf numFmtId="9" fontId="41" fillId="0" borderId="0" applyFont="0" applyFill="0" applyBorder="0" applyAlignment="0" applyProtection="0"/>
    <xf numFmtId="0" fontId="42" fillId="0" borderId="0" applyNumberFormat="0" applyFill="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0" applyNumberFormat="0" applyBorder="0" applyAlignment="0" applyProtection="0"/>
    <xf numFmtId="0" fontId="46" fillId="17" borderId="33" applyNumberFormat="0" applyAlignment="0" applyProtection="0"/>
    <xf numFmtId="0" fontId="47" fillId="18" borderId="34" applyNumberFormat="0" applyAlignment="0" applyProtection="0"/>
    <xf numFmtId="0" fontId="48" fillId="18" borderId="33" applyNumberFormat="0" applyAlignment="0" applyProtection="0"/>
    <xf numFmtId="0" fontId="49" fillId="0" borderId="35" applyNumberFormat="0" applyFill="0" applyAlignment="0" applyProtection="0"/>
    <xf numFmtId="0" fontId="50" fillId="19" borderId="36" applyNumberFormat="0" applyAlignment="0" applyProtection="0"/>
    <xf numFmtId="0" fontId="51" fillId="0" borderId="0" applyNumberFormat="0" applyFill="0" applyBorder="0" applyAlignment="0" applyProtection="0"/>
    <xf numFmtId="0" fontId="41" fillId="20" borderId="37" applyNumberFormat="0" applyFont="0" applyAlignment="0" applyProtection="0"/>
    <xf numFmtId="0" fontId="52" fillId="0" borderId="38" applyNumberFormat="0" applyFill="0" applyAlignment="0" applyProtection="0"/>
    <xf numFmtId="0" fontId="5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3"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cellStyleXfs>
  <cellXfs count="148">
    <xf numFmtId="0" fontId="0" fillId="10" borderId="0" xfId="0"/>
    <xf numFmtId="0" fontId="2" fillId="10" borderId="0" xfId="0" applyFont="1"/>
    <xf numFmtId="0" fontId="4" fillId="10" borderId="0" xfId="0" applyNumberFormat="1" applyFont="1" applyAlignment="1"/>
    <xf numFmtId="0" fontId="2" fillId="10" borderId="0" xfId="0" applyFont="1" applyBorder="1"/>
    <xf numFmtId="0" fontId="4" fillId="10" borderId="0" xfId="0" applyFont="1"/>
    <xf numFmtId="0" fontId="4" fillId="10" borderId="0" xfId="0" applyFont="1" applyBorder="1"/>
    <xf numFmtId="9" fontId="0" fillId="10" borderId="0" xfId="0" applyNumberFormat="1" applyFont="1" applyBorder="1" applyAlignment="1">
      <alignment horizontal="right"/>
    </xf>
    <xf numFmtId="0" fontId="2" fillId="4" borderId="0" xfId="0" applyFont="1" applyFill="1" applyAlignment="1">
      <alignment horizontal="left" vertical="top" indent="1"/>
    </xf>
    <xf numFmtId="0" fontId="3" fillId="4" borderId="0" xfId="0" applyNumberFormat="1" applyFont="1" applyFill="1" applyAlignment="1">
      <alignment horizontal="left" vertical="top" indent="1"/>
    </xf>
    <xf numFmtId="0" fontId="5" fillId="4" borderId="0" xfId="0" applyNumberFormat="1" applyFont="1" applyFill="1" applyAlignment="1">
      <alignment horizontal="left" vertical="top" indent="1"/>
    </xf>
    <xf numFmtId="0" fontId="2" fillId="8" borderId="0" xfId="0" applyFont="1" applyFill="1" applyAlignment="1">
      <alignment horizontal="left" vertical="top" indent="1"/>
    </xf>
    <xf numFmtId="0" fontId="22" fillId="10" borderId="0" xfId="0" applyFont="1"/>
    <xf numFmtId="0" fontId="21" fillId="9" borderId="0" xfId="3" applyNumberFormat="1" applyFont="1" applyFill="1" applyAlignment="1">
      <alignment horizontal="left" vertical="center" indent="1"/>
    </xf>
    <xf numFmtId="0" fontId="16" fillId="4" borderId="5" xfId="0" applyNumberFormat="1" applyFont="1" applyFill="1" applyBorder="1" applyAlignment="1">
      <alignment horizontal="left" vertical="center" indent="1"/>
    </xf>
    <xf numFmtId="0" fontId="4" fillId="10" borderId="4" xfId="0" applyNumberFormat="1" applyFont="1" applyBorder="1" applyAlignment="1"/>
    <xf numFmtId="0" fontId="17" fillId="4" borderId="0" xfId="2" applyNumberFormat="1" applyFont="1" applyFill="1" applyAlignment="1"/>
    <xf numFmtId="0" fontId="10" fillId="6" borderId="0" xfId="3" applyNumberFormat="1" applyFill="1" applyAlignment="1">
      <alignment horizontal="left" vertical="center" indent="2"/>
    </xf>
    <xf numFmtId="0" fontId="10" fillId="5" borderId="0" xfId="3" applyNumberFormat="1" applyFill="1" applyAlignment="1">
      <alignment horizontal="left" vertical="center" indent="2"/>
    </xf>
    <xf numFmtId="0" fontId="10" fillId="7" borderId="0" xfId="3" applyNumberFormat="1" applyFill="1" applyAlignment="1">
      <alignment horizontal="left" vertical="center" indent="2"/>
    </xf>
    <xf numFmtId="0" fontId="10" fillId="4" borderId="0" xfId="3" applyNumberFormat="1" applyFill="1" applyAlignment="1">
      <alignment horizontal="left" vertical="center" indent="2"/>
    </xf>
    <xf numFmtId="0" fontId="0" fillId="11" borderId="2" xfId="0" applyNumberFormat="1" applyFont="1" applyFill="1" applyBorder="1" applyAlignment="1">
      <alignment horizontal="left" vertical="center" indent="2"/>
    </xf>
    <xf numFmtId="9" fontId="0" fillId="11" borderId="2" xfId="0" applyNumberFormat="1" applyFont="1" applyFill="1" applyBorder="1" applyAlignment="1">
      <alignment horizontal="right" vertical="center" indent="2"/>
    </xf>
    <xf numFmtId="0" fontId="22" fillId="10" borderId="0" xfId="0" applyFont="1" applyAlignment="1"/>
    <xf numFmtId="0" fontId="23" fillId="12" borderId="0" xfId="3" applyNumberFormat="1" applyFont="1" applyFill="1" applyAlignment="1">
      <alignment horizontal="left"/>
    </xf>
    <xf numFmtId="0" fontId="23" fillId="12" borderId="0" xfId="3" applyNumberFormat="1" applyFont="1" applyFill="1" applyAlignment="1">
      <alignment horizontal="center"/>
    </xf>
    <xf numFmtId="0" fontId="11" fillId="9" borderId="3" xfId="3" applyNumberFormat="1" applyFont="1" applyFill="1" applyBorder="1" applyAlignment="1">
      <alignment horizontal="left" vertical="center" indent="1"/>
    </xf>
    <xf numFmtId="0" fontId="16" fillId="4" borderId="7" xfId="0" applyNumberFormat="1" applyFont="1" applyFill="1" applyBorder="1" applyAlignment="1">
      <alignment horizontal="left" vertical="center" indent="1"/>
    </xf>
    <xf numFmtId="0" fontId="28" fillId="9" borderId="3" xfId="3" applyNumberFormat="1" applyFont="1" applyFill="1" applyBorder="1" applyAlignment="1">
      <alignment vertical="center"/>
    </xf>
    <xf numFmtId="0" fontId="20" fillId="10" borderId="0" xfId="0" applyFont="1" applyAlignment="1">
      <alignment wrapText="1"/>
    </xf>
    <xf numFmtId="0" fontId="21" fillId="9" borderId="3" xfId="3" applyNumberFormat="1" applyFont="1" applyFill="1" applyBorder="1" applyAlignment="1">
      <alignment horizontal="left" vertical="center" indent="1"/>
    </xf>
    <xf numFmtId="0" fontId="30" fillId="9" borderId="0" xfId="3" applyNumberFormat="1" applyFont="1" applyFill="1" applyAlignment="1">
      <alignment vertical="center"/>
    </xf>
    <xf numFmtId="0" fontId="0" fillId="10" borderId="0" xfId="0" applyAlignment="1">
      <alignment vertical="center"/>
    </xf>
    <xf numFmtId="0" fontId="32" fillId="8" borderId="0" xfId="2" applyFont="1" applyFill="1" applyBorder="1" applyAlignment="1">
      <alignment horizontal="center" vertical="center"/>
    </xf>
    <xf numFmtId="0" fontId="33" fillId="8" borderId="0" xfId="0" applyFont="1" applyFill="1" applyAlignment="1">
      <alignment horizontal="left" vertical="top" indent="1"/>
    </xf>
    <xf numFmtId="0" fontId="34" fillId="10" borderId="0" xfId="0" applyFont="1"/>
    <xf numFmtId="0" fontId="33" fillId="8" borderId="0" xfId="0" applyFont="1" applyFill="1" applyAlignment="1">
      <alignment horizontal="left" vertical="top" wrapText="1" indent="1"/>
    </xf>
    <xf numFmtId="0" fontId="34" fillId="10" borderId="0" xfId="0" applyFont="1" applyAlignment="1"/>
    <xf numFmtId="0" fontId="33" fillId="8" borderId="0" xfId="0" applyFont="1" applyFill="1" applyAlignment="1">
      <alignment horizontal="left" vertical="top" wrapText="1"/>
    </xf>
    <xf numFmtId="0" fontId="34" fillId="10" borderId="0" xfId="0" applyFont="1" applyAlignment="1">
      <alignment wrapText="1"/>
    </xf>
    <xf numFmtId="0" fontId="35" fillId="10" borderId="0" xfId="0" applyFont="1" applyAlignment="1">
      <alignment vertical="center" wrapText="1"/>
    </xf>
    <xf numFmtId="0" fontId="2" fillId="10" borderId="0" xfId="0" applyFont="1" applyAlignment="1">
      <alignment wrapText="1"/>
    </xf>
    <xf numFmtId="0" fontId="0" fillId="11" borderId="5" xfId="0" applyNumberFormat="1" applyFont="1" applyFill="1" applyBorder="1" applyAlignment="1">
      <alignment horizontal="left" vertical="center" indent="2"/>
    </xf>
    <xf numFmtId="9" fontId="0" fillId="11" borderId="5" xfId="0" applyNumberFormat="1" applyFont="1" applyFill="1" applyBorder="1" applyAlignment="1">
      <alignment horizontal="right" vertical="center" indent="2"/>
    </xf>
    <xf numFmtId="0" fontId="34" fillId="10" borderId="0" xfId="0" applyFont="1" applyBorder="1"/>
    <xf numFmtId="0" fontId="34" fillId="10" borderId="6" xfId="0" applyFont="1" applyBorder="1"/>
    <xf numFmtId="0" fontId="36" fillId="10" borderId="0" xfId="0" applyFont="1" applyAlignment="1">
      <alignment vertical="center" wrapText="1"/>
    </xf>
    <xf numFmtId="0" fontId="36" fillId="10" borderId="0" xfId="0" applyFont="1" applyAlignment="1">
      <alignment wrapText="1"/>
    </xf>
    <xf numFmtId="0" fontId="37" fillId="10" borderId="0" xfId="0" applyFont="1" applyAlignment="1">
      <alignment vertical="center" wrapText="1"/>
    </xf>
    <xf numFmtId="0" fontId="24" fillId="6" borderId="9" xfId="4" applyNumberFormat="1" applyFont="1" applyFill="1" applyBorder="1" applyAlignment="1">
      <alignment horizontal="left" vertical="center" indent="1"/>
    </xf>
    <xf numFmtId="0" fontId="16" fillId="4" borderId="10" xfId="0" applyNumberFormat="1" applyFont="1" applyFill="1" applyBorder="1" applyAlignment="1">
      <alignment horizontal="left" vertical="center" indent="1"/>
    </xf>
    <xf numFmtId="0" fontId="6" fillId="11" borderId="12" xfId="0" applyFont="1" applyFill="1" applyBorder="1" applyAlignment="1">
      <alignment horizontal="left" vertical="center" indent="1"/>
    </xf>
    <xf numFmtId="0" fontId="6" fillId="11" borderId="12" xfId="0" applyFont="1" applyFill="1" applyBorder="1" applyAlignment="1">
      <alignment horizontal="left" vertical="center" indent="2"/>
    </xf>
    <xf numFmtId="0" fontId="24" fillId="5" borderId="14" xfId="4" applyNumberFormat="1" applyFont="1" applyFill="1" applyBorder="1">
      <alignment horizontal="left" vertical="center" indent="1"/>
    </xf>
    <xf numFmtId="0" fontId="20" fillId="12" borderId="15" xfId="4" applyNumberFormat="1" applyFont="1" applyFill="1" applyBorder="1">
      <alignment horizontal="left" vertical="center" indent="1"/>
    </xf>
    <xf numFmtId="0" fontId="20" fillId="12" borderId="16" xfId="4" applyNumberFormat="1" applyFont="1" applyFill="1" applyBorder="1">
      <alignment horizontal="left" vertical="center" indent="1"/>
    </xf>
    <xf numFmtId="0" fontId="24" fillId="5" borderId="9" xfId="4" applyNumberFormat="1" applyFont="1" applyFill="1" applyBorder="1">
      <alignment horizontal="left" vertical="center" indent="1"/>
    </xf>
    <xf numFmtId="0" fontId="20" fillId="12" borderId="22" xfId="4" applyNumberFormat="1" applyFont="1" applyFill="1" applyBorder="1">
      <alignment horizontal="left" vertical="center" indent="1"/>
    </xf>
    <xf numFmtId="0" fontId="20" fillId="12" borderId="23" xfId="4" applyNumberFormat="1" applyFont="1" applyFill="1" applyBorder="1">
      <alignment horizontal="left" vertical="center" indent="1"/>
    </xf>
    <xf numFmtId="0" fontId="20" fillId="12" borderId="24" xfId="4" applyNumberFormat="1" applyFont="1" applyFill="1" applyBorder="1">
      <alignment horizontal="left" vertical="center" indent="1"/>
    </xf>
    <xf numFmtId="0" fontId="24" fillId="5" borderId="25" xfId="4" applyNumberFormat="1" applyFont="1" applyFill="1" applyBorder="1">
      <alignment horizontal="left" vertical="center" indent="1"/>
    </xf>
    <xf numFmtId="0" fontId="24" fillId="7" borderId="14" xfId="4" applyNumberFormat="1" applyFont="1" applyFill="1" applyBorder="1">
      <alignment horizontal="left" vertical="center" indent="1"/>
    </xf>
    <xf numFmtId="0" fontId="24" fillId="6" borderId="14" xfId="4" applyNumberFormat="1" applyFont="1" applyFill="1" applyBorder="1">
      <alignment horizontal="left" vertical="center" indent="1"/>
    </xf>
    <xf numFmtId="0" fontId="24" fillId="6" borderId="14" xfId="4" applyNumberFormat="1" applyFont="1" applyFill="1" applyBorder="1" applyAlignment="1">
      <alignment horizontal="left" vertical="center" indent="1"/>
    </xf>
    <xf numFmtId="0" fontId="20" fillId="12" borderId="15" xfId="4" applyNumberFormat="1" applyFont="1" applyFill="1" applyBorder="1" applyAlignment="1">
      <alignment horizontal="center" vertical="center"/>
    </xf>
    <xf numFmtId="0" fontId="20" fillId="12" borderId="16" xfId="4" applyNumberFormat="1" applyFont="1" applyFill="1" applyBorder="1" applyAlignment="1">
      <alignment horizontal="center" vertical="center"/>
    </xf>
    <xf numFmtId="0" fontId="20" fillId="12" borderId="14" xfId="4" applyNumberFormat="1" applyFont="1" applyFill="1" applyBorder="1" applyAlignment="1">
      <alignment horizontal="center" vertical="center"/>
    </xf>
    <xf numFmtId="0" fontId="6" fillId="11" borderId="30" xfId="0" applyFont="1" applyFill="1" applyBorder="1" applyAlignment="1">
      <alignment horizontal="left" vertical="center" indent="2"/>
    </xf>
    <xf numFmtId="0" fontId="40" fillId="4" borderId="0" xfId="0" applyFont="1" applyFill="1" applyAlignment="1">
      <alignment horizontal="left" vertical="top" indent="1"/>
    </xf>
    <xf numFmtId="0" fontId="20" fillId="12" borderId="15" xfId="4" applyNumberFormat="1" applyFont="1" applyFill="1" applyBorder="1" applyAlignment="1">
      <alignment horizontal="left" vertical="center" indent="1"/>
    </xf>
    <xf numFmtId="0" fontId="20" fillId="12" borderId="16" xfId="4" applyNumberFormat="1" applyFont="1" applyFill="1" applyBorder="1" applyAlignment="1">
      <alignment horizontal="left" vertical="center" indent="1"/>
    </xf>
    <xf numFmtId="0" fontId="16" fillId="4" borderId="17" xfId="0" applyNumberFormat="1" applyFont="1" applyFill="1" applyBorder="1" applyAlignment="1">
      <alignment horizontal="left" vertical="center" indent="1"/>
    </xf>
    <xf numFmtId="0" fontId="27" fillId="11" borderId="19" xfId="0" applyFont="1" applyFill="1" applyBorder="1" applyAlignment="1">
      <alignment horizontal="left" vertical="center" indent="1"/>
    </xf>
    <xf numFmtId="0" fontId="20" fillId="12" borderId="14" xfId="4" applyNumberFormat="1" applyFont="1" applyFill="1" applyBorder="1" applyAlignment="1">
      <alignment horizontal="left" vertical="center" indent="1"/>
    </xf>
    <xf numFmtId="0" fontId="27" fillId="11" borderId="11" xfId="0" applyFont="1" applyFill="1" applyBorder="1" applyAlignment="1">
      <alignment horizontal="left" vertical="center" indent="1"/>
    </xf>
    <xf numFmtId="0" fontId="27" fillId="11" borderId="19" xfId="0" applyFont="1" applyFill="1" applyBorder="1" applyAlignment="1">
      <alignment horizontal="left" vertical="center" indent="2"/>
    </xf>
    <xf numFmtId="0" fontId="24" fillId="7" borderId="9" xfId="4" applyNumberFormat="1" applyFont="1" applyFill="1" applyBorder="1">
      <alignment horizontal="left" vertical="center" indent="1"/>
    </xf>
    <xf numFmtId="0" fontId="16" fillId="4" borderId="4" xfId="0" applyNumberFormat="1" applyFont="1" applyFill="1" applyBorder="1" applyAlignment="1">
      <alignment horizontal="left" vertical="center" indent="1"/>
    </xf>
    <xf numFmtId="0" fontId="30" fillId="9" borderId="32" xfId="3" applyNumberFormat="1" applyFont="1" applyFill="1" applyBorder="1" applyAlignment="1">
      <alignment vertical="center"/>
    </xf>
    <xf numFmtId="0" fontId="20" fillId="12" borderId="15" xfId="4" applyNumberFormat="1" applyFont="1" applyFill="1" applyBorder="1" applyAlignment="1">
      <alignment horizontal="left"/>
    </xf>
    <xf numFmtId="0" fontId="20" fillId="12" borderId="16" xfId="4" applyNumberFormat="1" applyFont="1" applyFill="1" applyBorder="1" applyAlignment="1">
      <alignment horizontal="left"/>
    </xf>
    <xf numFmtId="0" fontId="19" fillId="11" borderId="19" xfId="0" applyNumberFormat="1" applyFont="1" applyFill="1" applyBorder="1" applyAlignment="1">
      <alignment horizontal="left" vertical="center" indent="1"/>
    </xf>
    <xf numFmtId="0" fontId="18" fillId="11" borderId="19" xfId="0" applyNumberFormat="1" applyFont="1" applyFill="1" applyBorder="1" applyAlignment="1">
      <alignment horizontal="left" vertical="center" indent="2"/>
    </xf>
    <xf numFmtId="0" fontId="6" fillId="11" borderId="19" xfId="0" applyNumberFormat="1" applyFont="1" applyFill="1" applyBorder="1" applyAlignment="1">
      <alignment horizontal="left" vertical="center" indent="1"/>
    </xf>
    <xf numFmtId="0" fontId="19" fillId="11" borderId="19" xfId="0" applyNumberFormat="1" applyFont="1" applyFill="1" applyBorder="1" applyAlignment="1">
      <alignment horizontal="left" vertical="center" indent="2"/>
    </xf>
    <xf numFmtId="0" fontId="0" fillId="11" borderId="2" xfId="0" applyNumberFormat="1" applyFont="1" applyFill="1" applyBorder="1" applyAlignment="1">
      <alignment horizontal="left" vertical="center" indent="1"/>
    </xf>
    <xf numFmtId="0" fontId="16" fillId="4" borderId="26" xfId="0" applyNumberFormat="1" applyFont="1" applyFill="1" applyBorder="1" applyAlignment="1">
      <alignment horizontal="left" vertical="center" indent="1"/>
    </xf>
    <xf numFmtId="0" fontId="0" fillId="10" borderId="0" xfId="0" applyNumberFormat="1" applyFont="1" applyBorder="1" applyAlignment="1">
      <alignment horizontal="left" indent="1"/>
    </xf>
    <xf numFmtId="0" fontId="4" fillId="10" borderId="0" xfId="0" applyFont="1" applyAlignment="1">
      <alignment horizontal="left"/>
    </xf>
    <xf numFmtId="42" fontId="20" fillId="12" borderId="15" xfId="4" applyNumberFormat="1" applyFont="1" applyFill="1" applyBorder="1" applyAlignment="1">
      <alignment horizontal="center" vertical="center"/>
    </xf>
    <xf numFmtId="42" fontId="20" fillId="12" borderId="23" xfId="4" applyNumberFormat="1" applyFont="1" applyFill="1" applyBorder="1">
      <alignment horizontal="left" vertical="center" indent="1"/>
    </xf>
    <xf numFmtId="42" fontId="20" fillId="12" borderId="15" xfId="4" applyNumberFormat="1" applyFont="1" applyFill="1" applyBorder="1">
      <alignment horizontal="left" vertical="center" indent="1"/>
    </xf>
    <xf numFmtId="42" fontId="20" fillId="12" borderId="15" xfId="4" applyNumberFormat="1" applyFont="1" applyFill="1" applyBorder="1" applyAlignment="1">
      <alignment horizontal="left" vertical="center" indent="1"/>
    </xf>
    <xf numFmtId="42" fontId="20" fillId="12" borderId="15" xfId="4" applyNumberFormat="1" applyFont="1" applyFill="1" applyBorder="1" applyAlignment="1">
      <alignment horizontal="left"/>
    </xf>
    <xf numFmtId="166" fontId="0" fillId="10" borderId="0" xfId="0" applyNumberFormat="1" applyFont="1" applyBorder="1" applyAlignment="1">
      <alignment horizontal="right"/>
    </xf>
    <xf numFmtId="8" fontId="14" fillId="13" borderId="17" xfId="0" applyNumberFormat="1" applyFont="1" applyFill="1" applyBorder="1" applyAlignment="1">
      <alignment horizontal="right" vertical="center"/>
    </xf>
    <xf numFmtId="8" fontId="14" fillId="13" borderId="13" xfId="0" applyNumberFormat="1" applyFont="1" applyFill="1" applyBorder="1" applyAlignment="1">
      <alignment horizontal="right" vertical="center"/>
    </xf>
    <xf numFmtId="8" fontId="14" fillId="11" borderId="18" xfId="0" applyNumberFormat="1" applyFont="1" applyFill="1" applyBorder="1" applyAlignment="1">
      <alignment horizontal="right" vertical="center"/>
    </xf>
    <xf numFmtId="8" fontId="14" fillId="11" borderId="19" xfId="0" applyNumberFormat="1" applyFont="1" applyFill="1" applyBorder="1" applyAlignment="1">
      <alignment horizontal="right" vertical="center"/>
    </xf>
    <xf numFmtId="8" fontId="14" fillId="11" borderId="20" xfId="0" applyNumberFormat="1" applyFont="1" applyFill="1" applyBorder="1" applyAlignment="1">
      <alignment horizontal="right" vertical="center"/>
    </xf>
    <xf numFmtId="8" fontId="14" fillId="11" borderId="21" xfId="0" applyNumberFormat="1" applyFont="1" applyFill="1" applyBorder="1" applyAlignment="1">
      <alignment horizontal="right" vertical="center"/>
    </xf>
    <xf numFmtId="8" fontId="14" fillId="11" borderId="27" xfId="0" applyNumberFormat="1" applyFont="1" applyFill="1" applyBorder="1" applyAlignment="1">
      <alignment horizontal="right" vertical="center"/>
    </xf>
    <xf numFmtId="8" fontId="14" fillId="11" borderId="28" xfId="0" applyNumberFormat="1" applyFont="1" applyFill="1" applyBorder="1" applyAlignment="1">
      <alignment horizontal="right" vertical="center"/>
    </xf>
    <xf numFmtId="8" fontId="14" fillId="11" borderId="29" xfId="0" applyNumberFormat="1" applyFont="1" applyFill="1" applyBorder="1" applyAlignment="1">
      <alignment horizontal="right" vertical="center"/>
    </xf>
    <xf numFmtId="8" fontId="0" fillId="13" borderId="17" xfId="0" applyNumberFormat="1" applyFont="1" applyFill="1" applyBorder="1" applyAlignment="1">
      <alignment horizontal="right" vertical="center"/>
    </xf>
    <xf numFmtId="8" fontId="0" fillId="13" borderId="13" xfId="0" applyNumberFormat="1" applyFont="1" applyFill="1" applyBorder="1" applyAlignment="1">
      <alignment horizontal="right" vertical="center"/>
    </xf>
    <xf numFmtId="8" fontId="0" fillId="11" borderId="18" xfId="0" applyNumberFormat="1" applyFont="1" applyFill="1" applyBorder="1" applyAlignment="1">
      <alignment horizontal="right" vertical="center"/>
    </xf>
    <xf numFmtId="8" fontId="0" fillId="11" borderId="19" xfId="0" applyNumberFormat="1" applyFont="1" applyFill="1" applyBorder="1" applyAlignment="1">
      <alignment horizontal="right" vertical="center"/>
    </xf>
    <xf numFmtId="8" fontId="0" fillId="11" borderId="20" xfId="0" applyNumberFormat="1" applyFont="1" applyFill="1" applyBorder="1" applyAlignment="1">
      <alignment horizontal="right" vertical="center"/>
    </xf>
    <xf numFmtId="8" fontId="0" fillId="11" borderId="21" xfId="0" applyNumberFormat="1" applyFont="1" applyFill="1" applyBorder="1" applyAlignment="1">
      <alignment horizontal="right" vertical="center"/>
    </xf>
    <xf numFmtId="8" fontId="15" fillId="11" borderId="5" xfId="0" applyNumberFormat="1" applyFont="1" applyFill="1" applyBorder="1" applyAlignment="1">
      <alignment horizontal="right" vertical="center"/>
    </xf>
    <xf numFmtId="8" fontId="15" fillId="11" borderId="2" xfId="0" applyNumberFormat="1" applyFont="1" applyFill="1" applyBorder="1" applyAlignment="1">
      <alignment horizontal="right" vertical="center"/>
    </xf>
    <xf numFmtId="8" fontId="0" fillId="11" borderId="19" xfId="0" applyNumberFormat="1" applyFont="1" applyFill="1" applyBorder="1" applyAlignment="1">
      <alignment vertical="center"/>
    </xf>
    <xf numFmtId="8" fontId="0" fillId="11" borderId="20" xfId="0" applyNumberFormat="1" applyFont="1" applyFill="1" applyBorder="1" applyAlignment="1">
      <alignment vertical="center"/>
    </xf>
    <xf numFmtId="8" fontId="0" fillId="11" borderId="21" xfId="0" applyNumberFormat="1" applyFont="1" applyFill="1" applyBorder="1" applyAlignment="1">
      <alignment vertical="center"/>
    </xf>
    <xf numFmtId="8" fontId="25" fillId="11" borderId="20" xfId="0" applyNumberFormat="1" applyFont="1" applyFill="1" applyBorder="1" applyAlignment="1">
      <alignment horizontal="right" vertical="center"/>
    </xf>
    <xf numFmtId="8" fontId="15" fillId="11" borderId="31" xfId="0" applyNumberFormat="1" applyFont="1" applyFill="1" applyBorder="1" applyAlignment="1">
      <alignment horizontal="right"/>
    </xf>
    <xf numFmtId="8" fontId="15" fillId="11" borderId="2" xfId="0" applyNumberFormat="1" applyFont="1" applyFill="1" applyBorder="1" applyAlignment="1">
      <alignment horizontal="right"/>
    </xf>
    <xf numFmtId="8" fontId="15" fillId="11" borderId="6" xfId="0" applyNumberFormat="1" applyFont="1" applyFill="1" applyBorder="1" applyAlignment="1">
      <alignment horizontal="right"/>
    </xf>
    <xf numFmtId="8" fontId="15" fillId="11" borderId="8" xfId="0" applyNumberFormat="1" applyFont="1" applyFill="1" applyBorder="1" applyAlignment="1">
      <alignment horizontal="right"/>
    </xf>
    <xf numFmtId="8" fontId="15" fillId="11" borderId="5" xfId="0" applyNumberFormat="1" applyFont="1" applyFill="1" applyBorder="1" applyAlignment="1">
      <alignment horizontal="right"/>
    </xf>
    <xf numFmtId="8" fontId="26" fillId="11" borderId="2" xfId="0" applyNumberFormat="1" applyFont="1" applyFill="1" applyBorder="1" applyAlignment="1">
      <alignment horizontal="right"/>
    </xf>
    <xf numFmtId="8" fontId="26" fillId="11" borderId="8" xfId="0" applyNumberFormat="1" applyFont="1" applyFill="1" applyBorder="1" applyAlignment="1">
      <alignment horizontal="right"/>
    </xf>
    <xf numFmtId="8" fontId="14" fillId="11" borderId="20" xfId="0" applyNumberFormat="1" applyFont="1" applyFill="1" applyBorder="1" applyAlignment="1">
      <alignment vertical="center"/>
    </xf>
    <xf numFmtId="8" fontId="0" fillId="11" borderId="2" xfId="0" applyNumberFormat="1" applyFont="1" applyFill="1" applyBorder="1" applyAlignment="1">
      <alignment horizontal="right" vertical="center" indent="2"/>
    </xf>
    <xf numFmtId="8" fontId="0" fillId="11" borderId="5" xfId="0" applyNumberFormat="1" applyFont="1" applyFill="1" applyBorder="1" applyAlignment="1">
      <alignment horizontal="right" vertical="center" indent="2"/>
    </xf>
    <xf numFmtId="0" fontId="20" fillId="10" borderId="0" xfId="0" applyFont="1" applyAlignment="1">
      <alignment wrapText="1"/>
    </xf>
    <xf numFmtId="0" fontId="20" fillId="10" borderId="0" xfId="0" applyFont="1"/>
    <xf numFmtId="0" fontId="29" fillId="4" borderId="0" xfId="0" applyNumberFormat="1" applyFont="1" applyFill="1" applyAlignment="1">
      <alignment horizontal="center" vertical="top"/>
    </xf>
    <xf numFmtId="0" fontId="6" fillId="10" borderId="0" xfId="0" applyNumberFormat="1" applyFont="1" applyBorder="1" applyAlignment="1">
      <alignment horizontal="center"/>
    </xf>
    <xf numFmtId="0" fontId="4" fillId="10" borderId="0" xfId="0" applyNumberFormat="1" applyFont="1" applyBorder="1" applyAlignment="1">
      <alignment horizontal="center"/>
    </xf>
    <xf numFmtId="0" fontId="13" fillId="8" borderId="0" xfId="1" applyNumberFormat="1" applyFont="1" applyFill="1" applyAlignment="1">
      <alignment horizontal="left" vertical="top" indent="1"/>
    </xf>
    <xf numFmtId="0" fontId="17" fillId="4" borderId="0" xfId="2" applyNumberFormat="1" applyFont="1" applyFill="1" applyAlignment="1">
      <alignment horizontal="left"/>
    </xf>
    <xf numFmtId="0" fontId="12" fillId="4" borderId="0" xfId="5" applyNumberFormat="1" applyFill="1" applyAlignment="1">
      <alignment horizontal="left" vertical="top"/>
    </xf>
    <xf numFmtId="0" fontId="38" fillId="4" borderId="0" xfId="5" applyNumberFormat="1" applyFont="1" applyFill="1" applyAlignment="1">
      <alignment horizontal="left" vertical="top"/>
    </xf>
    <xf numFmtId="0" fontId="6" fillId="10" borderId="0" xfId="0" applyNumberFormat="1" applyFont="1" applyAlignment="1">
      <alignment horizontal="center"/>
    </xf>
    <xf numFmtId="0" fontId="4" fillId="10" borderId="0" xfId="0" applyNumberFormat="1" applyFont="1" applyAlignment="1">
      <alignment horizontal="center"/>
    </xf>
    <xf numFmtId="0" fontId="31" fillId="11" borderId="0" xfId="0" applyFont="1" applyFill="1" applyAlignment="1">
      <alignment horizontal="center"/>
    </xf>
    <xf numFmtId="0" fontId="31" fillId="11" borderId="0" xfId="0" applyFont="1" applyFill="1" applyAlignment="1">
      <alignment horizontal="left"/>
    </xf>
    <xf numFmtId="0" fontId="4" fillId="10" borderId="0" xfId="0" applyFont="1" applyAlignment="1">
      <alignment horizontal="left"/>
    </xf>
    <xf numFmtId="0" fontId="4" fillId="10" borderId="0" xfId="0" applyFont="1" applyAlignment="1">
      <alignment horizontal="center"/>
    </xf>
    <xf numFmtId="0" fontId="4" fillId="10" borderId="0" xfId="0" applyFont="1" applyAlignment="1">
      <alignment horizontal="left" indent="1"/>
    </xf>
    <xf numFmtId="0" fontId="17" fillId="4" borderId="0" xfId="2" applyNumberFormat="1" applyFont="1" applyFill="1" applyAlignment="1">
      <alignment horizontal="right" vertical="center" indent="3"/>
    </xf>
    <xf numFmtId="0" fontId="39" fillId="4" borderId="0" xfId="2" applyNumberFormat="1" applyFont="1" applyFill="1" applyAlignment="1">
      <alignment horizontal="center" wrapText="1"/>
    </xf>
    <xf numFmtId="0" fontId="3" fillId="8" borderId="0" xfId="0" applyNumberFormat="1" applyFont="1" applyFill="1" applyAlignment="1">
      <alignment horizontal="left" vertical="top" indent="1"/>
    </xf>
    <xf numFmtId="0" fontId="5" fillId="8" borderId="0" xfId="0" applyNumberFormat="1" applyFont="1" applyFill="1" applyAlignment="1">
      <alignment horizontal="left" vertical="top" indent="1"/>
    </xf>
    <xf numFmtId="168" fontId="4" fillId="10" borderId="0" xfId="0" applyNumberFormat="1" applyFont="1" applyAlignment="1">
      <alignment horizontal="right"/>
    </xf>
    <xf numFmtId="168" fontId="6" fillId="10" borderId="0" xfId="0" applyNumberFormat="1" applyFont="1" applyAlignment="1">
      <alignment horizontal="right"/>
    </xf>
    <xf numFmtId="168" fontId="7" fillId="10" borderId="0" xfId="0" applyNumberFormat="1" applyFont="1" applyAlignment="1">
      <alignment horizontal="right"/>
    </xf>
  </cellXfs>
  <cellStyles count="47">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6" builtinId="21" customBuiltin="1"/>
    <cellStyle name="Berechnung" xfId="17" builtinId="22" customBuiltin="1"/>
    <cellStyle name="Dezimal [0]" xfId="7" builtinId="6" customBuiltin="1"/>
    <cellStyle name="Eingabe" xfId="15" builtinId="20" customBuiltin="1"/>
    <cellStyle name="Ergebnis" xfId="22" builtinId="25" customBuiltin="1"/>
    <cellStyle name="Erklärender Text" xfId="5" builtinId="53" customBuiltin="1"/>
    <cellStyle name="Gut" xfId="12" builtinId="26" customBuiltin="1"/>
    <cellStyle name="Komma" xfId="6" builtinId="3" customBuiltin="1"/>
    <cellStyle name="Neutral" xfId="14" builtinId="28" customBuiltin="1"/>
    <cellStyle name="Notiz" xfId="21" builtinId="10" customBuiltin="1"/>
    <cellStyle name="Prozent" xfId="10" builtinId="5" customBuiltin="1"/>
    <cellStyle name="Schlecht" xfId="13" builtinId="27" customBuiltin="1"/>
    <cellStyle name="Standard" xfId="0" builtinId="0" customBuiltin="1"/>
    <cellStyle name="Überschrift" xfId="11" builtinId="15" customBuiltin="1"/>
    <cellStyle name="Überschrift 1" xfId="1" builtinId="16" customBuiltin="1"/>
    <cellStyle name="Überschrift 2" xfId="2" builtinId="17" customBuiltin="1"/>
    <cellStyle name="Überschrift 3" xfId="3" builtinId="18" customBuiltin="1"/>
    <cellStyle name="Überschrift 4" xfId="4" builtinId="19" customBuiltin="1"/>
    <cellStyle name="Verknüpfte Zelle" xfId="18" builtinId="24" customBuiltin="1"/>
    <cellStyle name="Währung" xfId="8" builtinId="4" customBuiltin="1"/>
    <cellStyle name="Währung [0]" xfId="9" builtinId="7" customBuiltin="1"/>
    <cellStyle name="Warnender Text" xfId="20" builtinId="11" customBuiltin="1"/>
    <cellStyle name="Zelle überprüfen" xfId="19" builtinId="23" customBuiltin="1"/>
  </cellStyles>
  <dxfs count="505">
    <dxf>
      <font>
        <b/>
        <i val="0"/>
        <strike val="0"/>
        <condense val="0"/>
        <extend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indent="1" justifyLastLine="0" shrinkToFit="0" readingOrder="0"/>
      <border diagonalUp="0" diagonalDown="0" outline="0">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indent="1"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numFmt numFmtId="12"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val="0"/>
      </font>
      <numFmt numFmtId="12" formatCode="#,##0.00\ &quot;€&quot;;[Red]\-#,##0.00\ &quot;€&quot;"/>
      <fill>
        <patternFill patternType="solid">
          <fgColor indexed="64"/>
          <bgColor theme="6" tint="0.79998168889431442"/>
        </patternFill>
      </fill>
      <border diagonalUp="0" diagonalDown="0">
        <left style="medium">
          <color theme="6" tint="0.39994506668294322"/>
        </left>
        <right/>
        <top style="medium">
          <color theme="6" tint="0.39994506668294322"/>
        </top>
        <bottom style="medium">
          <color theme="6" tint="0.39994506668294322"/>
        </bottom>
      </border>
    </dxf>
    <dxf>
      <numFmt numFmtId="12" formatCode="#,##0.00\ &quot;€&quot;;[Red]\-#,##0.00\ &quot;€&quot;"/>
    </dxf>
    <dxf>
      <numFmt numFmtId="12" formatCode="#,##0.00\ &quot;€&quot;;[Red]\-#,##0.00\ &quot;€&quot;"/>
    </dxf>
    <dxf>
      <numFmt numFmtId="12" formatCode="#,##0.00\ &quot;€&quot;;[Red]\-#,##0.00\ &quot;€&quot;"/>
    </dxf>
    <dxf>
      <numFmt numFmtId="12" formatCode="#,##0.00\ &quot;€&quot;;[Red]\-#,##0.00\ &quot;€&quot;"/>
    </dxf>
    <dxf>
      <numFmt numFmtId="12" formatCode="#,##0.00\ &quot;€&quot;;[Red]\-#,##0.00\ &quot;€&quot;"/>
    </dxf>
    <dxf>
      <numFmt numFmtId="12" formatCode="#,##0.00\ &quot;€&quot;;[Red]\-#,##0.00\ &quot;€&quot;"/>
    </dxf>
    <dxf>
      <numFmt numFmtId="12" formatCode="#,##0.00\ &quot;€&quot;;[Red]\-#,##0.00\ &quot;€&quot;"/>
    </dxf>
    <dxf>
      <numFmt numFmtId="12" formatCode="#,##0.00\ &quot;€&quot;;[Red]\-#,##0.00\ &quot;€&quot;"/>
    </dxf>
    <dxf>
      <numFmt numFmtId="12" formatCode="#,##0.00\ &quot;€&quot;;[Red]\-#,##0.00\ &quot;€&quot;"/>
    </dxf>
    <dxf>
      <numFmt numFmtId="12" formatCode="#,##0.00\ &quot;€&quot;;[Red]\-#,##0.00\ &quot;€&quot;"/>
    </dxf>
    <dxf>
      <numFmt numFmtId="12" formatCode="#,##0.00\ &quot;€&quot;;[Red]\-#,##0.00\ &quot;€&quot;"/>
    </dxf>
    <dxf>
      <numFmt numFmtId="12" formatCode="#,##0.00\ &quot;€&quot;;[Red]\-#,##0.00\ &quot;€&quot;"/>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numFmt numFmtId="12" formatCode="#,##0.00\ &quot;€&quot;;[Red]\-#,##0.00\ &quot;€&quot;"/>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numFmt numFmtId="12" formatCode="#,##0.00\ &quot;€&quot;;[Red]\-#,##0.00\ &quot;€&quot;"/>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tint="0.2499465926084170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3" formatCode="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0" formatCode="General"/>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border outline="0">
        <bottom style="medium">
          <color theme="6" tint="0.39997558519241921"/>
        </bottom>
      </border>
    </dxf>
    <dxf>
      <font>
        <b val="0"/>
        <i val="0"/>
        <strike val="0"/>
        <condense val="0"/>
        <extend val="0"/>
        <outline val="0"/>
        <shadow val="0"/>
        <u val="none"/>
        <vertAlign val="baseline"/>
        <sz val="9"/>
        <color theme="1" tint="0.24994659260841701"/>
        <name val="Microsoft Sans Serif"/>
        <family val="2"/>
        <scheme val="minor"/>
      </font>
      <fill>
        <patternFill patternType="solid">
          <fgColor indexed="64"/>
          <bgColor theme="6" tint="0.79998168889431442"/>
        </patternFill>
      </fill>
      <alignment horizontal="right" vertical="center" textRotation="0" wrapText="0" indent="2" justifyLastLine="0" shrinkToFit="0" readingOrder="0"/>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border outline="0">
        <bottom style="medium">
          <color theme="6" tint="0.39997558519241921"/>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theme="1"/>
        <name val="Microsoft Sans Serif"/>
        <family val="2"/>
        <scheme val="minor"/>
      </font>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theme="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numFmt numFmtId="166" formatCode="#,##0.00\ &quot;€&quot;;[Red]#,##0.00\ &quot;€&quot;"/>
    </dxf>
    <dxf>
      <fill>
        <patternFill patternType="solid">
          <fgColor indexed="64"/>
          <bgColor theme="6" tint="0.79998168889431442"/>
        </patternFill>
      </fill>
      <alignment horizontal="left" vertical="center" textRotation="0" wrapTex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dxf>
    <dxf>
      <border>
        <top style="medium">
          <color theme="6" tint="0.39994506668294322"/>
        </top>
      </border>
    </dxf>
    <dxf>
      <fill>
        <patternFill patternType="solid">
          <fgColor indexed="64"/>
          <bgColor theme="6" tint="0.79998168889431442"/>
        </patternFill>
      </fill>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7558519241921"/>
        </top>
        <bottom/>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medium">
          <color theme="6" tint="0.39994506668294322"/>
        </top>
        <bottom style="medium">
          <color theme="6" tint="0.39994506668294322"/>
        </bottom>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auto="1"/>
        <name val="Microsoft Sans Serif"/>
        <family val="2"/>
        <scheme val="minor"/>
      </font>
      <numFmt numFmtId="166"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10"/>
        <color auto="1"/>
        <name val="Microsoft Sans Serif"/>
        <family val="2"/>
        <scheme val="minor"/>
      </font>
      <fill>
        <patternFill patternType="solid">
          <fgColor indexed="64"/>
          <bgColor theme="6" tint="0.79998168889431442"/>
        </patternFill>
      </fill>
      <border diagonalUp="0" diagonalDown="0">
        <left/>
        <right style="medium">
          <color theme="6" tint="0.39994506668294322"/>
        </right>
        <top/>
        <bottom/>
        <vertical style="medium">
          <color theme="6" tint="0.39994506668294322"/>
        </vertical>
        <horizontal style="medium">
          <color theme="6" tint="0.39994506668294322"/>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right style="medium">
          <color theme="6" tint="0.39997558519241921"/>
        </right>
        <top style="medium">
          <color theme="6" tint="0.39997558519241921"/>
        </top>
        <bottom/>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7558519241921"/>
        </right>
        <top style="medium">
          <color theme="6" tint="0.39997558519241921"/>
        </top>
        <bottom/>
      </border>
    </dxf>
    <dxf>
      <border outline="0">
        <top style="medium">
          <color theme="6" tint="0.39997558519241921"/>
        </top>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dxf>
    <dxf>
      <border outline="0">
        <bottom style="medium">
          <color theme="6" tint="0.39997558519241921"/>
        </bottom>
      </border>
    </dxf>
    <dxf>
      <font>
        <b/>
        <i val="0"/>
        <strike val="0"/>
        <condense val="0"/>
        <extend val="0"/>
        <outline val="0"/>
        <shadow val="0"/>
        <u val="none"/>
        <vertAlign val="baseline"/>
        <sz val="10"/>
        <color theme="0"/>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2" formatCode="#,##0.00\ &quot;€&quot;;[Red]\-#,##0.00\ &quot;€&quot;"/>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2" formatCode="#,##0.00\ &quot;€&quot;;[Red]\-#,##0.00\ &quot;€&quot;"/>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quot;;[Red]#,##0.00\ &quot;€&quot;"/>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right style="medium">
          <color theme="6" tint="0.39994506668294322"/>
        </right>
        <top/>
        <bottom/>
      </border>
    </dxf>
    <dxf>
      <font>
        <strike val="0"/>
        <outline val="0"/>
        <shadow val="0"/>
        <u val="none"/>
        <vertAlign val="baseline"/>
        <sz val="9"/>
        <color theme="1"/>
        <name val="Microsoft Sans Serif"/>
        <family val="2"/>
        <scheme val="minor"/>
      </font>
      <numFmt numFmtId="12" formatCode="#,##0.00\ &quot;€&quot;;[Red]\-#,##0.00\ &quot;€&quot;"/>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i val="0"/>
        <strike val="0"/>
        <condense val="0"/>
        <extend val="0"/>
        <outline val="0"/>
        <shadow val="0"/>
        <u val="none"/>
        <vertAlign val="baseline"/>
        <sz val="10"/>
        <color theme="1"/>
        <name val="Microsoft Sans Serif"/>
        <family val="2"/>
        <scheme val="minor"/>
      </font>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88402966399123"/>
        </left>
        <right style="medium">
          <color theme="6" tint="0.39985351115451523"/>
        </right>
        <top style="medium">
          <color theme="6" tint="0.39994506668294322"/>
        </top>
        <bottom style="medium">
          <color theme="6" tint="0.39985351115451523"/>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88402966399123"/>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right style="medium">
          <color theme="6" tint="0.39994506668294322"/>
        </right>
        <top/>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color auto="1"/>
      </font>
      <fill>
        <patternFill patternType="none">
          <bgColor auto="1"/>
        </patternFill>
      </fill>
      <border diagonalUp="0" diagonalDown="0">
        <left/>
        <right/>
        <top/>
        <bottom/>
        <vertical/>
        <horizontal style="medium">
          <color theme="6" tint="0.39994506668294322"/>
        </horizontal>
      </border>
    </dxf>
    <dxf>
      <font>
        <color theme="1"/>
      </font>
      <fill>
        <patternFill patternType="solid">
          <fgColor theme="0" tint="-0.14993743705557422"/>
          <bgColor theme="0"/>
        </patternFill>
      </fill>
      <border diagonalUp="0" diagonalDown="0">
        <left/>
        <right/>
        <top/>
        <bottom/>
        <vertical/>
        <horizontal style="medium">
          <color theme="6" tint="0.39994506668294322"/>
        </horizontal>
      </border>
    </dxf>
    <dxf>
      <font>
        <b val="0"/>
        <i val="0"/>
        <color theme="1"/>
      </font>
      <fill>
        <patternFill>
          <bgColor theme="6" tint="0.79998168889431442"/>
        </patternFill>
      </fill>
      <border diagonalUp="0" diagonalDown="0">
        <left/>
        <right/>
        <top/>
        <bottom/>
        <vertical/>
        <horizontal style="medium">
          <color theme="6" tint="0.39994506668294322"/>
        </horizontal>
      </border>
    </dxf>
    <dxf>
      <font>
        <color theme="0"/>
      </font>
      <fill>
        <patternFill>
          <fgColor theme="3"/>
          <bgColor theme="3"/>
        </patternFill>
      </fill>
      <border diagonalUp="0" diagonalDown="0">
        <left/>
        <right/>
        <top/>
        <bottom/>
        <vertical/>
        <horizontal style="medium">
          <color theme="6" tint="0.39994506668294322"/>
        </horizontal>
      </border>
    </dxf>
    <dxf>
      <font>
        <b/>
        <i val="0"/>
        <color theme="1"/>
      </font>
      <fill>
        <patternFill>
          <bgColor theme="6" tint="0.79998168889431442"/>
        </patternFill>
      </fill>
      <border diagonalUp="0" diagonalDown="0">
        <left/>
        <right/>
        <top style="medium">
          <color theme="6" tint="0.39994506668294322"/>
        </top>
        <bottom/>
        <vertical style="medium">
          <color theme="6" tint="0.39991454817346722"/>
        </vertical>
        <horizontal/>
      </border>
    </dxf>
    <dxf>
      <font>
        <color theme="6" tint="0.39994506668294322"/>
      </font>
      <fill>
        <patternFill>
          <bgColor theme="6" tint="0.39994506668294322"/>
        </patternFill>
      </fill>
      <border diagonalUp="0" diagonalDown="0">
        <left/>
        <right/>
        <top/>
        <bottom style="medium">
          <color theme="6" tint="0.39994506668294322"/>
        </bottom>
        <vertical/>
        <horizontal/>
      </border>
    </dxf>
    <dxf>
      <font>
        <b val="0"/>
        <i val="0"/>
        <color theme="1"/>
      </font>
      <fill>
        <patternFill>
          <bgColor theme="0"/>
        </patternFill>
      </fill>
      <border diagonalUp="0" diagonalDown="0">
        <left/>
        <right/>
        <top style="medium">
          <color theme="6" tint="0.39994506668294322"/>
        </top>
        <bottom style="medium">
          <color theme="6" tint="0.39994506668294322"/>
        </bottom>
        <vertical style="medium">
          <color theme="6" tint="0.39994506668294322"/>
        </vertical>
        <horizontal style="medium">
          <color theme="6" tint="0.39994506668294322"/>
        </horizontal>
      </border>
    </dxf>
  </dxfs>
  <tableStyles count="1" defaultTableStyle="Detailed expense estimates Table 2" defaultPivotStyle="PivotStyleLight16">
    <tableStyle name="Detailed expense estimates Table 2" pivot="0" count="7" xr9:uid="{00000000-0011-0000-FFFF-FFFF00000000}">
      <tableStyleElement type="wholeTable" dxfId="504"/>
      <tableStyleElement type="headerRow" dxfId="503"/>
      <tableStyleElement type="totalRow" dxfId="502"/>
      <tableStyleElement type="firstColumn" dxfId="501"/>
      <tableStyleElement type="lastColumn" dxfId="500"/>
      <tableStyleElement type="firstRowStripe" size="9" dxfId="499"/>
      <tableStyleElement type="firstColumnStripe" dxfId="498"/>
    </tableStyle>
  </tableStyles>
  <colors>
    <mruColors>
      <color rgb="FF3B893D"/>
      <color rgb="FF99CCFF"/>
      <color rgb="FFFFCC99"/>
      <color rgb="FF8000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icrosoft Sans Serif"/>
                <a:ea typeface="Microsoft Sans Serif"/>
                <a:cs typeface="Microsoft Sans Serif"/>
              </a:defRPr>
            </a:pPr>
            <a:r>
              <a:rPr lang="en-US"/>
              <a:t>Tatsächliche Kosten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icrosoft Sans Serif"/>
              <a:ea typeface="Microsoft Sans Serif"/>
              <a:cs typeface="Microsoft Sans Serif"/>
            </a:defRPr>
          </a:pPr>
          <a:endParaRPr lang="de-DE"/>
        </a:p>
      </c:txPr>
    </c:title>
    <c:autoTitleDeleted val="0"/>
    <c:plotArea>
      <c:layout/>
      <c:pieChart>
        <c:varyColors val="1"/>
        <c:ser>
          <c:idx val="0"/>
          <c:order val="0"/>
          <c:spPr>
            <a:ln>
              <a:noFill/>
            </a:ln>
          </c:spPr>
          <c:explosion val="15"/>
          <c:dPt>
            <c:idx val="0"/>
            <c:bubble3D val="0"/>
            <c:spPr>
              <a:solidFill>
                <a:schemeClr val="accent4">
                  <a:shade val="58000"/>
                </a:schemeClr>
              </a:solidFill>
              <a:ln w="19050">
                <a:noFill/>
              </a:ln>
              <a:effectLst/>
            </c:spPr>
            <c:extLst>
              <c:ext xmlns:c16="http://schemas.microsoft.com/office/drawing/2014/chart" uri="{C3380CC4-5D6E-409C-BE32-E72D297353CC}">
                <c16:uniqueId val="{00000001-4DF3-409A-87D3-91392B248616}"/>
              </c:ext>
            </c:extLst>
          </c:dPt>
          <c:dPt>
            <c:idx val="1"/>
            <c:bubble3D val="0"/>
            <c:spPr>
              <a:solidFill>
                <a:schemeClr val="accent4">
                  <a:shade val="86000"/>
                </a:schemeClr>
              </a:solidFill>
              <a:ln w="19050">
                <a:noFill/>
              </a:ln>
              <a:effectLst/>
            </c:spPr>
            <c:extLst>
              <c:ext xmlns:c16="http://schemas.microsoft.com/office/drawing/2014/chart" uri="{C3380CC4-5D6E-409C-BE32-E72D297353CC}">
                <c16:uniqueId val="{00000003-4DF3-409A-87D3-91392B248616}"/>
              </c:ext>
            </c:extLst>
          </c:dPt>
          <c:dPt>
            <c:idx val="2"/>
            <c:bubble3D val="0"/>
            <c:spPr>
              <a:solidFill>
                <a:schemeClr val="accent4">
                  <a:tint val="86000"/>
                </a:schemeClr>
              </a:solidFill>
              <a:ln w="19050">
                <a:noFill/>
              </a:ln>
              <a:effectLst/>
            </c:spPr>
            <c:extLst>
              <c:ext xmlns:c16="http://schemas.microsoft.com/office/drawing/2014/chart" uri="{C3380CC4-5D6E-409C-BE32-E72D297353CC}">
                <c16:uniqueId val="{00000005-4DF3-409A-87D3-91392B248616}"/>
              </c:ext>
            </c:extLst>
          </c:dPt>
          <c:dPt>
            <c:idx val="3"/>
            <c:bubble3D val="0"/>
            <c:spPr>
              <a:solidFill>
                <a:schemeClr val="accent4">
                  <a:tint val="58000"/>
                </a:schemeClr>
              </a:solidFill>
              <a:ln w="19050">
                <a:noFill/>
              </a:ln>
              <a:effectLst/>
            </c:spPr>
            <c:extLst>
              <c:ext xmlns:c16="http://schemas.microsoft.com/office/drawing/2014/chart" uri="{C3380CC4-5D6E-409C-BE32-E72D297353CC}">
                <c16:uniqueId val="{00000007-4DF3-409A-87D3-91392B248616}"/>
              </c:ext>
            </c:extLst>
          </c:dPt>
          <c:dLbls>
            <c:dLbl>
              <c:idx val="0"/>
              <c:layout>
                <c:manualLayout>
                  <c:x val="0.16903582257697239"/>
                  <c:y val="-3.670602670985715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de-DE"/>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DF3-409A-87D3-91392B248616}"/>
                </c:ext>
              </c:extLst>
            </c:dLbl>
            <c:dLbl>
              <c:idx val="1"/>
              <c:layout>
                <c:manualLayout>
                  <c:x val="9.0726906999872875E-2"/>
                  <c:y val="-1.1052498177170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DF3-409A-87D3-91392B248616}"/>
                </c:ext>
              </c:extLst>
            </c:dLbl>
            <c:dLbl>
              <c:idx val="2"/>
              <c:layout>
                <c:manualLayout>
                  <c:x val="6.6360388648343496E-2"/>
                  <c:y val="-2.1544176087003476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DF3-409A-87D3-91392B248616}"/>
                </c:ext>
              </c:extLst>
            </c:dLbl>
            <c:dLbl>
              <c:idx val="3"/>
              <c:layout>
                <c:manualLayout>
                  <c:x val="3.9133483346486281E-2"/>
                  <c:y val="0.10124833189842194"/>
                </c:manualLayout>
              </c:layout>
              <c:tx>
                <c:rich>
                  <a:bodyPr/>
                  <a:lstStyle/>
                  <a:p>
                    <a:fld id="{85393D00-C9C3-4663-9298-B68A2E4DD25E}" type="CATEGORYNAME">
                      <a:rPr lang="en-US"/>
                      <a:pPr/>
                      <a:t>[RUBRIKENNAME]</a:t>
                    </a:fld>
                    <a:r>
                      <a:rPr lang="en-US" baseline="0"/>
                      <a:t>
</a:t>
                    </a:r>
                    <a:fld id="{160EA1B7-9427-4DB0-9F67-F50C13BC5BD8}" type="PERCENTAGE">
                      <a:rPr lang="en-US" baseline="0"/>
                      <a:pPr/>
                      <a:t>[PROZENTSATZ]</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4DF3-409A-87D3-91392B24861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de-DE"/>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AUSGABENANALYSE!$B$6:$B$9</c:f>
              <c:strCache>
                <c:ptCount val="4"/>
                <c:pt idx="0">
                  <c:v>Mitarbeiterkosten</c:v>
                </c:pt>
                <c:pt idx="1">
                  <c:v>Bürokosten</c:v>
                </c:pt>
                <c:pt idx="2">
                  <c:v>Marketingkosten</c:v>
                </c:pt>
                <c:pt idx="3">
                  <c:v>Schulung/Reisen</c:v>
                </c:pt>
              </c:strCache>
            </c:strRef>
          </c:cat>
          <c:val>
            <c:numRef>
              <c:f>AUSGABENANALYSE!$D$6:$D$9</c:f>
              <c:numCache>
                <c:formatCode>"€"#,##0.00_);[Red]\("€"#,##0.00\)</c:formatCode>
                <c:ptCount val="4"/>
                <c:pt idx="0">
                  <c:v>659130</c:v>
                </c:pt>
                <c:pt idx="1">
                  <c:v>69350</c:v>
                </c:pt>
                <c:pt idx="2">
                  <c:v>33159</c:v>
                </c:pt>
                <c:pt idx="3">
                  <c:v>21300</c:v>
                </c:pt>
              </c:numCache>
            </c:numRef>
          </c:val>
          <c:extLst>
            <c:ext xmlns:c16="http://schemas.microsoft.com/office/drawing/2014/chart" uri="{C3380CC4-5D6E-409C-BE32-E72D297353CC}">
              <c16:uniqueId val="{00000008-4DF3-409A-87D3-91392B24861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23723410124887445"/>
          <c:y val="0.85735021397905353"/>
          <c:w val="0.51702116110545349"/>
          <c:h val="0.114872015837703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de-DE"/>
        </a:p>
      </c:txPr>
    </c:legend>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r>
              <a:rPr lang="en-US"/>
              <a:t>Monatliche Kosten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endParaRPr lang="de-DE"/>
        </a:p>
      </c:txPr>
    </c:title>
    <c:autoTitleDeleted val="0"/>
    <c:plotArea>
      <c:layout/>
      <c:barChart>
        <c:barDir val="col"/>
        <c:grouping val="clustered"/>
        <c:varyColors val="0"/>
        <c:ser>
          <c:idx val="1"/>
          <c:order val="1"/>
          <c:tx>
            <c:v>Geplant</c:v>
          </c:tx>
          <c:spPr>
            <a:solidFill>
              <a:schemeClr val="accent3"/>
            </a:solidFill>
            <a:ln>
              <a:noFill/>
            </a:ln>
            <a:effectLst/>
          </c:spPr>
          <c:invertIfNegative val="0"/>
          <c:val>
            <c:numRef>
              <c:f>'GEPLANTE KOSTEN'!$C$36:$N$36</c:f>
              <c:numCache>
                <c:formatCode>"€"#,##0.00_);[Red]\("€"#,##0.00\)</c:formatCode>
                <c:ptCount val="12"/>
                <c:pt idx="0">
                  <c:v>131420</c:v>
                </c:pt>
                <c:pt idx="1">
                  <c:v>126820</c:v>
                </c:pt>
                <c:pt idx="2">
                  <c:v>126820</c:v>
                </c:pt>
                <c:pt idx="3">
                  <c:v>137695</c:v>
                </c:pt>
                <c:pt idx="4">
                  <c:v>129695</c:v>
                </c:pt>
                <c:pt idx="5">
                  <c:v>130495</c:v>
                </c:pt>
                <c:pt idx="6">
                  <c:v>134695</c:v>
                </c:pt>
                <c:pt idx="7">
                  <c:v>138918</c:v>
                </c:pt>
                <c:pt idx="8">
                  <c:v>135918</c:v>
                </c:pt>
                <c:pt idx="9">
                  <c:v>140918</c:v>
                </c:pt>
                <c:pt idx="10">
                  <c:v>136218</c:v>
                </c:pt>
                <c:pt idx="11">
                  <c:v>140018</c:v>
                </c:pt>
              </c:numCache>
            </c:numRef>
          </c:val>
          <c:extLst>
            <c:ext xmlns:c16="http://schemas.microsoft.com/office/drawing/2014/chart" uri="{C3380CC4-5D6E-409C-BE32-E72D297353CC}">
              <c16:uniqueId val="{00000000-135D-4DB7-A511-401DE3785DC9}"/>
            </c:ext>
          </c:extLst>
        </c:ser>
        <c:ser>
          <c:idx val="2"/>
          <c:order val="2"/>
          <c:tx>
            <c:v>Tatsächlich</c:v>
          </c:tx>
          <c:spPr>
            <a:solidFill>
              <a:schemeClr val="accent3">
                <a:tint val="65000"/>
              </a:schemeClr>
            </a:solidFill>
            <a:ln>
              <a:noFill/>
            </a:ln>
            <a:effectLst/>
          </c:spPr>
          <c:invertIfNegative val="0"/>
          <c:val>
            <c:numRef>
              <c:f>'TATSÄCHLICHE KOSTEN'!$C$36:$N$36</c:f>
              <c:numCache>
                <c:formatCode>"€"#,##0.00_);[Red]\("€"#,##0.00\)</c:formatCode>
                <c:ptCount val="12"/>
                <c:pt idx="0">
                  <c:v>129682</c:v>
                </c:pt>
                <c:pt idx="1">
                  <c:v>127804</c:v>
                </c:pt>
                <c:pt idx="2">
                  <c:v>125565</c:v>
                </c:pt>
                <c:pt idx="3">
                  <c:v>137394</c:v>
                </c:pt>
                <c:pt idx="4">
                  <c:v>128255</c:v>
                </c:pt>
                <c:pt idx="5">
                  <c:v>134239</c:v>
                </c:pt>
                <c:pt idx="6">
                  <c:v>0</c:v>
                </c:pt>
                <c:pt idx="7">
                  <c:v>0</c:v>
                </c:pt>
                <c:pt idx="8">
                  <c:v>0</c:v>
                </c:pt>
                <c:pt idx="9">
                  <c:v>0</c:v>
                </c:pt>
                <c:pt idx="10">
                  <c:v>0</c:v>
                </c:pt>
                <c:pt idx="11">
                  <c:v>0</c:v>
                </c:pt>
              </c:numCache>
            </c:numRef>
          </c:val>
          <c:extLst>
            <c:ext xmlns:c16="http://schemas.microsoft.com/office/drawing/2014/chart" uri="{C3380CC4-5D6E-409C-BE32-E72D297353CC}">
              <c16:uniqueId val="{00000001-135D-4DB7-A511-401DE3785DC9}"/>
            </c:ext>
          </c:extLst>
        </c:ser>
        <c:dLbls>
          <c:showLegendKey val="0"/>
          <c:showVal val="0"/>
          <c:showCatName val="0"/>
          <c:showSerName val="0"/>
          <c:showPercent val="0"/>
          <c:showBubbleSize val="0"/>
        </c:dLbls>
        <c:gapWidth val="100"/>
        <c:axId val="362146616"/>
        <c:axId val="362147008"/>
      </c:barChart>
      <c:lineChart>
        <c:grouping val="standard"/>
        <c:varyColors val="0"/>
        <c:ser>
          <c:idx val="0"/>
          <c:order val="0"/>
          <c:tx>
            <c:v>Abweichung</c:v>
          </c:tx>
          <c:spPr>
            <a:ln w="28575" cap="rnd">
              <a:solidFill>
                <a:schemeClr val="accent3">
                  <a:shade val="65000"/>
                </a:schemeClr>
              </a:solidFill>
              <a:round/>
            </a:ln>
            <a:effectLst/>
          </c:spPr>
          <c:marker>
            <c:symbol val="none"/>
          </c:marker>
          <c:val>
            <c:numRef>
              <c:f>KOSTENABWEICHUNGEN!$C$36:$N$36</c:f>
              <c:numCache>
                <c:formatCode>"€"#,##0.00_);[Red]\("€"#,##0.00\)</c:formatCode>
                <c:ptCount val="12"/>
                <c:pt idx="0">
                  <c:v>1738</c:v>
                </c:pt>
                <c:pt idx="1">
                  <c:v>-984</c:v>
                </c:pt>
                <c:pt idx="2">
                  <c:v>1255</c:v>
                </c:pt>
                <c:pt idx="3">
                  <c:v>301</c:v>
                </c:pt>
                <c:pt idx="4">
                  <c:v>1440</c:v>
                </c:pt>
                <c:pt idx="5">
                  <c:v>-3744</c:v>
                </c:pt>
                <c:pt idx="6">
                  <c:v>134695</c:v>
                </c:pt>
                <c:pt idx="7">
                  <c:v>138918</c:v>
                </c:pt>
                <c:pt idx="8">
                  <c:v>135918</c:v>
                </c:pt>
                <c:pt idx="9">
                  <c:v>140918</c:v>
                </c:pt>
                <c:pt idx="10">
                  <c:v>136218</c:v>
                </c:pt>
                <c:pt idx="11">
                  <c:v>140018</c:v>
                </c:pt>
              </c:numCache>
            </c:numRef>
          </c:val>
          <c:smooth val="0"/>
          <c:extLst>
            <c:ext xmlns:c16="http://schemas.microsoft.com/office/drawing/2014/chart" uri="{C3380CC4-5D6E-409C-BE32-E72D297353CC}">
              <c16:uniqueId val="{00000002-135D-4DB7-A511-401DE3785DC9}"/>
            </c:ext>
          </c:extLst>
        </c:ser>
        <c:dLbls>
          <c:showLegendKey val="0"/>
          <c:showVal val="0"/>
          <c:showCatName val="0"/>
          <c:showSerName val="0"/>
          <c:showPercent val="0"/>
          <c:showBubbleSize val="0"/>
        </c:dLbls>
        <c:marker val="1"/>
        <c:smooth val="0"/>
        <c:axId val="362146616"/>
        <c:axId val="362147008"/>
      </c:lineChart>
      <c:catAx>
        <c:axId val="362146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Monat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62147008"/>
        <c:crosses val="autoZero"/>
        <c:auto val="1"/>
        <c:lblAlgn val="ctr"/>
        <c:lblOffset val="100"/>
        <c:noMultiLvlLbl val="0"/>
      </c:catAx>
      <c:valAx>
        <c:axId val="362147008"/>
        <c:scaling>
          <c:orientation val="minMax"/>
        </c:scaling>
        <c:delete val="0"/>
        <c:axPos val="l"/>
        <c:majorGridlines>
          <c:spPr>
            <a:ln w="9525" cap="flat" cmpd="sng" algn="ctr">
              <a:solidFill>
                <a:schemeClr val="bg2">
                  <a:lumMod val="50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Kosten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title>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62146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de-DE"/>
        </a:p>
      </c:txPr>
    </c:legend>
    <c:plotVisOnly val="1"/>
    <c:dispBlanksAs val="gap"/>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solidFill>
            <a:schemeClr val="tx1"/>
          </a:solidFill>
        </a:defRPr>
      </a:pPr>
      <a:endParaRPr lang="de-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r>
              <a:rPr lang="en-US"/>
              <a:t>Geplante Kosten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endParaRPr lang="de-DE"/>
        </a:p>
      </c:txPr>
    </c:title>
    <c:autoTitleDeleted val="0"/>
    <c:plotArea>
      <c:layout/>
      <c:pieChart>
        <c:varyColors val="1"/>
        <c:ser>
          <c:idx val="0"/>
          <c:order val="0"/>
          <c:spPr>
            <a:ln>
              <a:noFill/>
            </a:ln>
          </c:spPr>
          <c:explosion val="14"/>
          <c:dPt>
            <c:idx val="0"/>
            <c:bubble3D val="0"/>
            <c:spPr>
              <a:solidFill>
                <a:schemeClr val="accent3">
                  <a:shade val="58000"/>
                </a:schemeClr>
              </a:solidFill>
              <a:ln w="19050">
                <a:noFill/>
              </a:ln>
              <a:effectLst/>
            </c:spPr>
            <c:extLst>
              <c:ext xmlns:c16="http://schemas.microsoft.com/office/drawing/2014/chart" uri="{C3380CC4-5D6E-409C-BE32-E72D297353CC}">
                <c16:uniqueId val="{00000001-575C-4225-ACC7-D51DAEA0E7C6}"/>
              </c:ext>
            </c:extLst>
          </c:dPt>
          <c:dPt>
            <c:idx val="1"/>
            <c:bubble3D val="0"/>
            <c:spPr>
              <a:solidFill>
                <a:schemeClr val="accent3">
                  <a:shade val="86000"/>
                </a:schemeClr>
              </a:solidFill>
              <a:ln w="19050">
                <a:noFill/>
              </a:ln>
              <a:effectLst/>
            </c:spPr>
            <c:extLst>
              <c:ext xmlns:c16="http://schemas.microsoft.com/office/drawing/2014/chart" uri="{C3380CC4-5D6E-409C-BE32-E72D297353CC}">
                <c16:uniqueId val="{00000003-575C-4225-ACC7-D51DAEA0E7C6}"/>
              </c:ext>
            </c:extLst>
          </c:dPt>
          <c:dPt>
            <c:idx val="2"/>
            <c:bubble3D val="0"/>
            <c:spPr>
              <a:solidFill>
                <a:schemeClr val="accent3">
                  <a:tint val="86000"/>
                </a:schemeClr>
              </a:solidFill>
              <a:ln w="19050">
                <a:noFill/>
              </a:ln>
              <a:effectLst/>
            </c:spPr>
            <c:extLst>
              <c:ext xmlns:c16="http://schemas.microsoft.com/office/drawing/2014/chart" uri="{C3380CC4-5D6E-409C-BE32-E72D297353CC}">
                <c16:uniqueId val="{00000005-575C-4225-ACC7-D51DAEA0E7C6}"/>
              </c:ext>
            </c:extLst>
          </c:dPt>
          <c:dPt>
            <c:idx val="3"/>
            <c:bubble3D val="0"/>
            <c:spPr>
              <a:solidFill>
                <a:schemeClr val="accent3">
                  <a:tint val="58000"/>
                </a:schemeClr>
              </a:solidFill>
              <a:ln w="19050">
                <a:noFill/>
              </a:ln>
              <a:effectLst/>
            </c:spPr>
            <c:extLst>
              <c:ext xmlns:c16="http://schemas.microsoft.com/office/drawing/2014/chart" uri="{C3380CC4-5D6E-409C-BE32-E72D297353CC}">
                <c16:uniqueId val="{00000007-575C-4225-ACC7-D51DAEA0E7C6}"/>
              </c:ext>
            </c:extLst>
          </c:dPt>
          <c:dLbls>
            <c:dLbl>
              <c:idx val="0"/>
              <c:layout>
                <c:manualLayout>
                  <c:x val="0.19045364340543908"/>
                  <c:y val="-8.0111275153105857E-2"/>
                </c:manualLayout>
              </c:layout>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de-DE"/>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5C-4225-ACC7-D51DAEA0E7C6}"/>
                </c:ext>
              </c:extLst>
            </c:dLbl>
            <c:dLbl>
              <c:idx val="1"/>
              <c:layout>
                <c:manualLayout>
                  <c:x val="6.6352404397343898E-2"/>
                  <c:y val="-7.29494750656168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75C-4225-ACC7-D51DAEA0E7C6}"/>
                </c:ext>
              </c:extLst>
            </c:dLbl>
            <c:dLbl>
              <c:idx val="2"/>
              <c:layout>
                <c:manualLayout>
                  <c:x val="3.6636462570781757E-2"/>
                  <c:y val="-6.7317366579177605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75C-4225-ACC7-D51DAEA0E7C6}"/>
                </c:ext>
              </c:extLst>
            </c:dLbl>
            <c:dLbl>
              <c:idx val="3"/>
              <c:layout>
                <c:manualLayout>
                  <c:x val="7.4682682403057737E-3"/>
                  <c:y val="9.174568022747156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75C-4225-ACC7-D51DAEA0E7C6}"/>
                </c:ext>
              </c:extLst>
            </c:dLbl>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de-DE"/>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AUSGABENANALYSE!$B$6:$B$9</c:f>
              <c:strCache>
                <c:ptCount val="4"/>
                <c:pt idx="0">
                  <c:v>Mitarbeiterkosten</c:v>
                </c:pt>
                <c:pt idx="1">
                  <c:v>Bürokosten</c:v>
                </c:pt>
                <c:pt idx="2">
                  <c:v>Marketingkosten</c:v>
                </c:pt>
                <c:pt idx="3">
                  <c:v>Schulung/Reisen</c:v>
                </c:pt>
              </c:strCache>
            </c:strRef>
          </c:cat>
          <c:val>
            <c:numRef>
              <c:f>AUSGABENANALYSE!$C$6:$C$9</c:f>
              <c:numCache>
                <c:formatCode>"€"#,##0.00_);[Red]\("€"#,##0.00\)</c:formatCode>
                <c:ptCount val="4"/>
                <c:pt idx="0">
                  <c:v>1355090</c:v>
                </c:pt>
                <c:pt idx="1">
                  <c:v>138740</c:v>
                </c:pt>
                <c:pt idx="2">
                  <c:v>67800</c:v>
                </c:pt>
                <c:pt idx="3">
                  <c:v>48000</c:v>
                </c:pt>
              </c:numCache>
            </c:numRef>
          </c:val>
          <c:extLst>
            <c:ext xmlns:c16="http://schemas.microsoft.com/office/drawing/2014/chart" uri="{C3380CC4-5D6E-409C-BE32-E72D297353CC}">
              <c16:uniqueId val="{00000008-575C-4225-ACC7-D51DAEA0E7C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21555807741327232"/>
          <c:y val="0.86776684164479445"/>
          <c:w val="0.57184023837375098"/>
          <c:h val="0.107927602799650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de-DE"/>
        </a:p>
      </c:txPr>
    </c:legend>
    <c:plotVisOnly val="1"/>
    <c:dispBlanksAs val="gap"/>
    <c:showDLblsOverMax val="0"/>
  </c:chart>
  <c:spPr>
    <a:noFill/>
    <a:ln w="9525" cap="flat" cmpd="sng" algn="ctr">
      <a:noFill/>
      <a:round/>
    </a:ln>
    <a:effectLst/>
  </c:spPr>
  <c:txPr>
    <a:bodyPr/>
    <a:lstStyle/>
    <a:p>
      <a:pPr>
        <a:defRPr>
          <a:solidFill>
            <a:schemeClr val="tx1"/>
          </a:solidFill>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17</xdr:col>
      <xdr:colOff>27504</xdr:colOff>
      <xdr:row>3</xdr:row>
      <xdr:rowOff>0</xdr:rowOff>
    </xdr:from>
    <xdr:to>
      <xdr:col>20</xdr:col>
      <xdr:colOff>962</xdr:colOff>
      <xdr:row>12</xdr:row>
      <xdr:rowOff>192640</xdr:rowOff>
    </xdr:to>
    <xdr:sp macro="" textlink="">
      <xdr:nvSpPr>
        <xdr:cNvPr id="3" name="Sprechblase: Rechteck 2" descr="Tip: HOW TO USE THIS TEMPLATE&#10;Input data in the white cells on the PLANNED EXPENSES and ACTUAL EXPENSES worksheets, and the EXPENSE VARIANCES and EXPENSE ANALYSIS will be calculated for you.  If you add a row on one sheet, the other sheets need to match&#10;">
          <a:extLst>
            <a:ext uri="{FF2B5EF4-FFF2-40B4-BE49-F238E27FC236}">
              <a16:creationId xmlns:a16="http://schemas.microsoft.com/office/drawing/2014/main" id="{26EBCE28-31AF-4664-B39F-77F2857D060F}"/>
            </a:ext>
          </a:extLst>
        </xdr:cNvPr>
        <xdr:cNvSpPr/>
      </xdr:nvSpPr>
      <xdr:spPr>
        <a:xfrm>
          <a:off x="15629454" y="1257300"/>
          <a:ext cx="1935608" cy="3288265"/>
        </a:xfrm>
        <a:prstGeom prst="wedgeRectCallout">
          <a:avLst>
            <a:gd name="adj1" fmla="val -65157"/>
            <a:gd name="adj2" fmla="val -20833"/>
          </a:avLst>
        </a:prstGeom>
        <a:solidFill>
          <a:schemeClr val="accent3">
            <a:lumMod val="20000"/>
            <a:lumOff val="80000"/>
            <a:alpha val="6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bIns="182880" rtlCol="0" anchor="t"/>
        <a:lstStyle/>
        <a:p>
          <a:pPr rtl="0"/>
          <a:r>
            <a:rPr lang="de" sz="1100" b="1">
              <a:solidFill>
                <a:schemeClr val="tx2"/>
              </a:solidFill>
              <a:effectLst/>
              <a:latin typeface="Microsoft Sans Serif" panose="020B0604020202020204" pitchFamily="34" charset="0"/>
              <a:ea typeface="+mn-ea"/>
              <a:cs typeface="+mn-cs"/>
            </a:rPr>
            <a:t>SO VERWENDEN SIE DIESE VORLAGE</a:t>
          </a:r>
        </a:p>
        <a:p>
          <a:pPr rtl="0"/>
          <a:endParaRPr lang="en-US">
            <a:solidFill>
              <a:schemeClr val="tx2"/>
            </a:solidFill>
            <a:effectLst/>
            <a:latin typeface="Microsoft Sans Serif" panose="020B0604020202020204" pitchFamily="34" charset="0"/>
          </a:endParaRPr>
        </a:p>
        <a:p>
          <a:pPr rtl="0"/>
          <a:r>
            <a:rPr lang="de" sz="1100">
              <a:solidFill>
                <a:schemeClr val="tx2"/>
              </a:solidFill>
              <a:effectLst/>
              <a:latin typeface="Microsoft Sans Serif" panose="020B0604020202020204" pitchFamily="34" charset="0"/>
              <a:ea typeface="+mn-ea"/>
              <a:cs typeface="+mn-cs"/>
            </a:rPr>
            <a:t>Geben Sie auf den Arbeitsblättern GEPLANTE KOSTEN und TATSÄCHLICHE KOSTEN Daten ein, dann werden die KOSTENABWEICHUNGEN und die </a:t>
          </a:r>
          <a:r>
            <a:rPr lang="de-DE" sz="1100">
              <a:solidFill>
                <a:schemeClr val="tx2"/>
              </a:solidFill>
              <a:effectLst/>
              <a:latin typeface="Microsoft Sans Serif" panose="020B0604020202020204" pitchFamily="34" charset="0"/>
              <a:ea typeface="+mn-ea"/>
              <a:cs typeface="+mn-cs"/>
            </a:rPr>
            <a:t>AUSGABENANALYSE</a:t>
          </a:r>
          <a:r>
            <a:rPr lang="de" sz="1100">
              <a:solidFill>
                <a:schemeClr val="tx2"/>
              </a:solidFill>
              <a:effectLst/>
              <a:latin typeface="Microsoft Sans Serif" panose="020B0604020202020204" pitchFamily="34" charset="0"/>
              <a:ea typeface="+mn-ea"/>
              <a:cs typeface="+mn-cs"/>
            </a:rPr>
            <a:t> für Sie berechnet. Wenn Sie auf einem Blatt eine Zeile hinzufügen, müssen</a:t>
          </a:r>
          <a:r>
            <a:rPr lang="de" sz="1100" baseline="0">
              <a:solidFill>
                <a:schemeClr val="tx2"/>
              </a:solidFill>
              <a:effectLst/>
              <a:latin typeface="Microsoft Sans Serif" panose="020B0604020202020204" pitchFamily="34" charset="0"/>
              <a:ea typeface="+mn-ea"/>
              <a:cs typeface="+mn-cs"/>
            </a:rPr>
            <a:t> die anderen Blätter übereinstimmen.</a:t>
          </a:r>
          <a:endParaRPr lang="en-US" sz="1100">
            <a:solidFill>
              <a:schemeClr val="tx2"/>
            </a:solidFill>
            <a:latin typeface="Microsoft Sans Serif" panose="020B0604020202020204" pitchFamily="34" charset="0"/>
          </a:endParaRPr>
        </a:p>
      </xdr:txBody>
    </xdr:sp>
    <xdr:clientData fPrintsWithSheet="0"/>
  </xdr:twoCellAnchor>
  <xdr:twoCellAnchor editAs="oneCell">
    <xdr:from>
      <xdr:col>13</xdr:col>
      <xdr:colOff>267556</xdr:colOff>
      <xdr:row>1</xdr:row>
      <xdr:rowOff>2117</xdr:rowOff>
    </xdr:from>
    <xdr:to>
      <xdr:col>14</xdr:col>
      <xdr:colOff>917797</xdr:colOff>
      <xdr:row>2</xdr:row>
      <xdr:rowOff>139243</xdr:rowOff>
    </xdr:to>
    <xdr:pic>
      <xdr:nvPicPr>
        <xdr:cNvPr id="9" name="Bild 18">
          <a:extLst>
            <a:ext uri="{FF2B5EF4-FFF2-40B4-BE49-F238E27FC236}">
              <a16:creationId xmlns:a16="http://schemas.microsoft.com/office/drawing/2014/main" id="{65A40888-9F83-43E7-A699-52663041FF01}"/>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3602556" y="306917"/>
          <a:ext cx="1631316" cy="70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267556</xdr:colOff>
      <xdr:row>1</xdr:row>
      <xdr:rowOff>2117</xdr:rowOff>
    </xdr:from>
    <xdr:to>
      <xdr:col>14</xdr:col>
      <xdr:colOff>917797</xdr:colOff>
      <xdr:row>2</xdr:row>
      <xdr:rowOff>139243</xdr:rowOff>
    </xdr:to>
    <xdr:pic>
      <xdr:nvPicPr>
        <xdr:cNvPr id="6" name="Bild 18">
          <a:extLst>
            <a:ext uri="{FF2B5EF4-FFF2-40B4-BE49-F238E27FC236}">
              <a16:creationId xmlns:a16="http://schemas.microsoft.com/office/drawing/2014/main" id="{83DAF7B9-4C56-44AA-B3C3-38F1A49B5514}"/>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3602556" y="306917"/>
          <a:ext cx="1631316" cy="70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251011</xdr:colOff>
      <xdr:row>1</xdr:row>
      <xdr:rowOff>0</xdr:rowOff>
    </xdr:from>
    <xdr:to>
      <xdr:col>14</xdr:col>
      <xdr:colOff>883686</xdr:colOff>
      <xdr:row>2</xdr:row>
      <xdr:rowOff>129496</xdr:rowOff>
    </xdr:to>
    <xdr:pic>
      <xdr:nvPicPr>
        <xdr:cNvPr id="6" name="Bild 18">
          <a:extLst>
            <a:ext uri="{FF2B5EF4-FFF2-40B4-BE49-F238E27FC236}">
              <a16:creationId xmlns:a16="http://schemas.microsoft.com/office/drawing/2014/main" id="{A2E6D019-45AC-4D89-848F-C976B436C09F}"/>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3586011" y="304800"/>
          <a:ext cx="1613750" cy="700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1409698</xdr:colOff>
      <xdr:row>11</xdr:row>
      <xdr:rowOff>85725</xdr:rowOff>
    </xdr:from>
    <xdr:to>
      <xdr:col>5</xdr:col>
      <xdr:colOff>1876425</xdr:colOff>
      <xdr:row>11</xdr:row>
      <xdr:rowOff>3743326</xdr:rowOff>
    </xdr:to>
    <xdr:graphicFrame macro="">
      <xdr:nvGraphicFramePr>
        <xdr:cNvPr id="13" name="TatsächlicheKostenDiagramm" descr="Pie chart showing actual expenses incurred on various categories">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12</xdr:row>
      <xdr:rowOff>200025</xdr:rowOff>
    </xdr:from>
    <xdr:to>
      <xdr:col>6</xdr:col>
      <xdr:colOff>0</xdr:colOff>
      <xdr:row>16</xdr:row>
      <xdr:rowOff>5778</xdr:rowOff>
    </xdr:to>
    <xdr:graphicFrame macro="">
      <xdr:nvGraphicFramePr>
        <xdr:cNvPr id="8" name="MonatlicheKostenDiagramm" descr="Chart showing Planned, Actual, and Variance in Monthly Expenses">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11</xdr:row>
      <xdr:rowOff>76201</xdr:rowOff>
    </xdr:from>
    <xdr:to>
      <xdr:col>3</xdr:col>
      <xdr:colOff>1209674</xdr:colOff>
      <xdr:row>11</xdr:row>
      <xdr:rowOff>3733801</xdr:rowOff>
    </xdr:to>
    <xdr:graphicFrame macro="">
      <xdr:nvGraphicFramePr>
        <xdr:cNvPr id="12" name="GeplanteKostenDiagramm" descr="Pie chart showing planned expenses on various categories">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447675</xdr:colOff>
      <xdr:row>1</xdr:row>
      <xdr:rowOff>1635</xdr:rowOff>
    </xdr:from>
    <xdr:to>
      <xdr:col>5</xdr:col>
      <xdr:colOff>1707515</xdr:colOff>
      <xdr:row>1</xdr:row>
      <xdr:rowOff>548896</xdr:rowOff>
    </xdr:to>
    <xdr:pic>
      <xdr:nvPicPr>
        <xdr:cNvPr id="9" name="Bild 18">
          <a:extLst>
            <a:ext uri="{FF2B5EF4-FFF2-40B4-BE49-F238E27FC236}">
              <a16:creationId xmlns:a16="http://schemas.microsoft.com/office/drawing/2014/main" id="{7C6D1F32-6273-47BA-873D-2E5A8467E2E5}"/>
            </a:ext>
          </a:extLst>
        </xdr:cNvPr>
        <xdr:cNvPicPr>
          <a:picLocks noChangeAspect="1" noChangeArrowheads="1"/>
        </xdr:cNvPicPr>
      </xdr:nvPicPr>
      <xdr:blipFill>
        <a:blip xmlns:r="http://schemas.openxmlformats.org/officeDocument/2006/relationships" r:embed="rId4" cstate="print">
          <a:biLevel thresh="25000"/>
          <a:extLst>
            <a:ext uri="{28A0092B-C50C-407E-A947-70E740481C1C}">
              <a14:useLocalDpi xmlns:a14="http://schemas.microsoft.com/office/drawing/2010/main" val="0"/>
            </a:ext>
          </a:extLst>
        </a:blip>
        <a:stretch>
          <a:fillRect/>
        </a:stretch>
      </xdr:blipFill>
      <xdr:spPr bwMode="auto">
        <a:xfrm>
          <a:off x="7219950" y="306435"/>
          <a:ext cx="1259840" cy="547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üroplan" displayName="Büroplan" ref="B10:O19" totalsRowCount="1" headerRowDxfId="497" totalsRowDxfId="494" headerRowBorderDxfId="496" tableBorderDxfId="495" totalsRowBorderDxfId="493">
  <autoFilter ref="B10:O1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Bürokosten" totalsRowLabel="Zwischensumme" dataDxfId="492" totalsRowDxfId="491"/>
    <tableColumn id="2" xr3:uid="{00000000-0010-0000-0000-000002000000}" name="Jan" totalsRowFunction="sum" dataDxfId="490" totalsRowDxfId="489"/>
    <tableColumn id="3" xr3:uid="{00000000-0010-0000-0000-000003000000}" name="Feb" totalsRowFunction="sum" dataDxfId="488" totalsRowDxfId="487"/>
    <tableColumn id="4" xr3:uid="{00000000-0010-0000-0000-000004000000}" name="Mrz" totalsRowFunction="sum" dataDxfId="486" totalsRowDxfId="485"/>
    <tableColumn id="5" xr3:uid="{00000000-0010-0000-0000-000005000000}" name="Apr" totalsRowFunction="sum" dataDxfId="484" totalsRowDxfId="483"/>
    <tableColumn id="6" xr3:uid="{00000000-0010-0000-0000-000006000000}" name="Mai" totalsRowFunction="sum" dataDxfId="482" totalsRowDxfId="481"/>
    <tableColumn id="7" xr3:uid="{00000000-0010-0000-0000-000007000000}" name="Jun" totalsRowFunction="sum" dataDxfId="480" totalsRowDxfId="479"/>
    <tableColumn id="8" xr3:uid="{00000000-0010-0000-0000-000008000000}" name="Jul" totalsRowFunction="sum" dataDxfId="478" totalsRowDxfId="477"/>
    <tableColumn id="9" xr3:uid="{00000000-0010-0000-0000-000009000000}" name="Aug" totalsRowFunction="sum" dataDxfId="476" totalsRowDxfId="475"/>
    <tableColumn id="10" xr3:uid="{00000000-0010-0000-0000-00000A000000}" name="Sep" totalsRowFunction="sum" dataDxfId="474" totalsRowDxfId="473"/>
    <tableColumn id="11" xr3:uid="{00000000-0010-0000-0000-00000B000000}" name="Okt" totalsRowFunction="sum" dataDxfId="472" totalsRowDxfId="471"/>
    <tableColumn id="12" xr3:uid="{00000000-0010-0000-0000-00000C000000}" name="Nov" totalsRowFunction="sum" dataDxfId="470" totalsRowDxfId="469"/>
    <tableColumn id="13" xr3:uid="{00000000-0010-0000-0000-00000D000000}" name="Dez" totalsRowFunction="sum" dataDxfId="468" totalsRowDxfId="467"/>
    <tableColumn id="14" xr3:uid="{00000000-0010-0000-0000-00000E000000}" name="JAHR" totalsRowFunction="sum" dataDxfId="466" totalsRowDxfId="465">
      <calculatedColumnFormula>SUM(C11:N11)</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Geben Sie in dieser Tabelle die geplanten monatlichen Bürokosten ein. Die Summe wird am Ende automatisch berechne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B099C32-C8DE-492A-BEED-550CF2841A11}" name="SummeTatsächlich" displayName="SummeTatsächlich" ref="B35:O37" headerRowDxfId="266" dataDxfId="265" tableBorderDxfId="264">
  <autoFilter ref="B35:O37" xr:uid="{527B5B30-B216-4604-BE5A-D760DE033F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59818E9-FD74-4273-8957-D80FFA77ADE8}" name="Summe der geplanten Kosten" totalsRowLabel="Ergebnis" dataDxfId="263" totalsRowDxfId="14"/>
    <tableColumn id="2" xr3:uid="{ED08B701-BD0B-43EA-B6B5-8B23D583D505}" name="Jan" dataDxfId="119" totalsRowDxfId="15">
      <calculatedColumnFormula>SUM($C35:C$36)</calculatedColumnFormula>
    </tableColumn>
    <tableColumn id="3" xr3:uid="{953C450B-5235-4234-924F-53796609C439}" name="Feb" dataDxfId="118" totalsRowDxfId="16">
      <calculatedColumnFormula>SUM($C35:D$36)</calculatedColumnFormula>
    </tableColumn>
    <tableColumn id="4" xr3:uid="{A434CE91-3696-411F-8418-02228D13F12E}" name="Mrz" dataDxfId="117" totalsRowDxfId="17">
      <calculatedColumnFormula>SUM($C35:E$36)</calculatedColumnFormula>
    </tableColumn>
    <tableColumn id="5" xr3:uid="{1E74C645-B91F-4CDB-9F55-6FEC8EAB0A64}" name="Apr" dataDxfId="116" totalsRowDxfId="18">
      <calculatedColumnFormula>SUM($C35:F$36)</calculatedColumnFormula>
    </tableColumn>
    <tableColumn id="6" xr3:uid="{A3B698F1-9EF3-489A-A70E-8E760D6B713B}" name="Mai" dataDxfId="115" totalsRowDxfId="19">
      <calculatedColumnFormula>SUM($C35:G$36)</calculatedColumnFormula>
    </tableColumn>
    <tableColumn id="7" xr3:uid="{6CEDC80B-5635-47E7-AA54-EBD827095F7C}" name="Jun" dataDxfId="114" totalsRowDxfId="20">
      <calculatedColumnFormula>SUM($C35:H$36)</calculatedColumnFormula>
    </tableColumn>
    <tableColumn id="8" xr3:uid="{A73C88FE-0ABF-4134-B6B0-043ECC9295D4}" name="Jul" dataDxfId="113" totalsRowDxfId="21">
      <calculatedColumnFormula>SUM($C35:I$36)</calculatedColumnFormula>
    </tableColumn>
    <tableColumn id="9" xr3:uid="{62119987-B16F-44A1-B80E-29460A9513CD}" name="Aug" dataDxfId="112" totalsRowDxfId="22">
      <calculatedColumnFormula>SUM($C35:J$36)</calculatedColumnFormula>
    </tableColumn>
    <tableColumn id="10" xr3:uid="{C84A40CE-DC4A-442E-883F-891CA5A9A166}" name="Sep" dataDxfId="111" totalsRowDxfId="23">
      <calculatedColumnFormula>SUM($C35:K$36)</calculatedColumnFormula>
    </tableColumn>
    <tableColumn id="11" xr3:uid="{4DB975F1-C294-416D-81FB-A8070CC2C3BC}" name="Okt" dataDxfId="110" totalsRowDxfId="24">
      <calculatedColumnFormula>SUM($C35:L$36)</calculatedColumnFormula>
    </tableColumn>
    <tableColumn id="12" xr3:uid="{BC57DA11-9B5C-452D-8026-EF863D07E32E}" name="Nov" dataDxfId="109" totalsRowDxfId="25">
      <calculatedColumnFormula>SUM($C35:M$36)</calculatedColumnFormula>
    </tableColumn>
    <tableColumn id="13" xr3:uid="{904E02FB-FEA8-49B0-ABA0-9B659A7720D8}" name="Dez" dataDxfId="108" totalsRowDxfId="26">
      <calculatedColumnFormula>SUM($C35:N$36)</calculatedColumnFormula>
    </tableColumn>
    <tableColumn id="14" xr3:uid="{8C10E0BB-4735-4718-9538-C4AFB616D92A}" name="Jahr" totalsRowFunction="sum" dataDxfId="107" totalsRowDxfId="27"/>
  </tableColumns>
  <tableStyleInfo name="TableStyleMedium1" showFirstColumn="1" showLastColumn="0" showRowStripes="0" showColumnStripes="0"/>
  <extLst>
    <ext xmlns:x14="http://schemas.microsoft.com/office/spreadsheetml/2009/9/main" uri="{504A1905-F514-4f6f-8877-14C23A59335A}">
      <x14:table altTextSummary="Die tatsächlichen monatlichen und die Gesamtkosten werden in dieser Tabelle automatisch berechne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MitarbeiterAbweichungen" displayName="MitarbeiterAbweichungen" ref="B5:O8" totalsRowCount="1" headerRowDxfId="262" totalsRowDxfId="259" headerRowBorderDxfId="261" tableBorderDxfId="260" totalsRowBorderDxfId="258">
  <autoFilter ref="B5:O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Mitarbeiterkosten" totalsRowLabel="Zwischensumme" dataDxfId="257" totalsRowDxfId="256"/>
    <tableColumn id="2" xr3:uid="{00000000-0010-0000-0800-000002000000}" name="Jan" totalsRowFunction="sum" dataDxfId="106" totalsRowDxfId="255">
      <calculatedColumnFormula>INDEX(MitarbeiterPlan[],MATCH(INDEX(MitarbeiterAbweichungen[],ROW()-ROW(MitarbeiterAbweichungen[[#Headers],[Jan]]),1),INDEX(MitarbeiterPlan[],,1),0),MATCH(MitarbeiterAbweichungen[[#Headers],[Jan]],MitarbeiterPlan[#Headers],0))-INDEX(MitarbeiterTatsächlich[],MATCH(INDEX(MitarbeiterAbweichungen[],ROW()-ROW(MitarbeiterAbweichungen[[#Headers],[Jan]]),1),INDEX(MitarbeiterPlan[],,1),0),MATCH(MitarbeiterAbweichungen[[#Headers],[Jan]],MitarbeiterTatsächlich[#Headers],0))</calculatedColumnFormula>
    </tableColumn>
    <tableColumn id="3" xr3:uid="{00000000-0010-0000-0800-000003000000}" name="Feb" totalsRowFunction="sum" dataDxfId="105" totalsRowDxfId="254">
      <calculatedColumnFormula>INDEX(MitarbeiterPlan[],MATCH(INDEX(MitarbeiterAbweichungen[],ROW()-ROW(MitarbeiterAbweichungen[[#Headers],[Feb]]),1),INDEX(MitarbeiterPlan[],,1),0),MATCH(MitarbeiterAbweichungen[[#Headers],[Feb]],MitarbeiterPlan[#Headers],0))-INDEX(MitarbeiterTatsächlich[],MATCH(INDEX(MitarbeiterAbweichungen[],ROW()-ROW(MitarbeiterAbweichungen[[#Headers],[Feb]]),1),INDEX(MitarbeiterPlan[],,1),0),MATCH(MitarbeiterAbweichungen[[#Headers],[Feb]],MitarbeiterTatsächlich[#Headers],0))</calculatedColumnFormula>
    </tableColumn>
    <tableColumn id="4" xr3:uid="{00000000-0010-0000-0800-000004000000}" name="Mrz" totalsRowFunction="sum" dataDxfId="104" totalsRowDxfId="253">
      <calculatedColumnFormula>INDEX(MitarbeiterPlan[],MATCH(INDEX(MitarbeiterAbweichungen[],ROW()-ROW(MitarbeiterAbweichungen[[#Headers],[Mrz]]),1),INDEX(MitarbeiterPlan[],,1),0),MATCH(MitarbeiterAbweichungen[[#Headers],[Mrz]],MitarbeiterPlan[#Headers],0))-INDEX(MitarbeiterTatsächlich[],MATCH(INDEX(MitarbeiterAbweichungen[],ROW()-ROW(MitarbeiterAbweichungen[[#Headers],[Mrz]]),1),INDEX(MitarbeiterPlan[],,1),0),MATCH(MitarbeiterAbweichungen[[#Headers],[Mrz]],MitarbeiterTatsächlich[#Headers],0))</calculatedColumnFormula>
    </tableColumn>
    <tableColumn id="5" xr3:uid="{00000000-0010-0000-0800-000005000000}" name="Apr" totalsRowFunction="sum" dataDxfId="103" totalsRowDxfId="252">
      <calculatedColumnFormula>INDEX(MitarbeiterPlan[],MATCH(INDEX(MitarbeiterAbweichungen[],ROW()-ROW(MitarbeiterAbweichungen[[#Headers],[Apr]]),1),INDEX(MitarbeiterPlan[],,1),0),MATCH(MitarbeiterAbweichungen[[#Headers],[Apr]],MitarbeiterPlan[#Headers],0))-INDEX(MitarbeiterTatsächlich[],MATCH(INDEX(MitarbeiterAbweichungen[],ROW()-ROW(MitarbeiterAbweichungen[[#Headers],[Apr]]),1),INDEX(MitarbeiterPlan[],,1),0),MATCH(MitarbeiterAbweichungen[[#Headers],[Apr]],MitarbeiterTatsächlich[#Headers],0))</calculatedColumnFormula>
    </tableColumn>
    <tableColumn id="6" xr3:uid="{00000000-0010-0000-0800-000006000000}" name="Mai" totalsRowFunction="sum" dataDxfId="102" totalsRowDxfId="251">
      <calculatedColumnFormula>INDEX(MitarbeiterPlan[],MATCH(INDEX(MitarbeiterAbweichungen[],ROW()-ROW(MitarbeiterAbweichungen[[#Headers],[Mai]]),1),INDEX(MitarbeiterPlan[],,1),0),MATCH(MitarbeiterAbweichungen[[#Headers],[Mai]],MitarbeiterPlan[#Headers],0))-INDEX(MitarbeiterTatsächlich[],MATCH(INDEX(MitarbeiterAbweichungen[],ROW()-ROW(MitarbeiterAbweichungen[[#Headers],[Mai]]),1),INDEX(MitarbeiterPlan[],,1),0),MATCH(MitarbeiterAbweichungen[[#Headers],[Mai]],MitarbeiterTatsächlich[#Headers],0))</calculatedColumnFormula>
    </tableColumn>
    <tableColumn id="7" xr3:uid="{00000000-0010-0000-0800-000007000000}" name="Jun" totalsRowFunction="sum" dataDxfId="101" totalsRowDxfId="250">
      <calculatedColumnFormula>INDEX(MitarbeiterPlan[],MATCH(INDEX(MitarbeiterAbweichungen[],ROW()-ROW(MitarbeiterAbweichungen[[#Headers],[Jun]]),1),INDEX(MitarbeiterPlan[],,1),0),MATCH(MitarbeiterAbweichungen[[#Headers],[Jun]],MitarbeiterPlan[#Headers],0))-INDEX(MitarbeiterTatsächlich[],MATCH(INDEX(MitarbeiterAbweichungen[],ROW()-ROW(MitarbeiterAbweichungen[[#Headers],[Jun]]),1),INDEX(MitarbeiterPlan[],,1),0),MATCH(MitarbeiterAbweichungen[[#Headers],[Jun]],MitarbeiterTatsächlich[#Headers],0))</calculatedColumnFormula>
    </tableColumn>
    <tableColumn id="8" xr3:uid="{00000000-0010-0000-0800-000008000000}" name="Jul" totalsRowFunction="sum" dataDxfId="100" totalsRowDxfId="249">
      <calculatedColumnFormula>INDEX(MitarbeiterPlan[],MATCH(INDEX(MitarbeiterAbweichungen[],ROW()-ROW(MitarbeiterAbweichungen[[#Headers],[Jul]]),1),INDEX(MitarbeiterPlan[],,1),0),MATCH(MitarbeiterAbweichungen[[#Headers],[Jul]],MitarbeiterPlan[#Headers],0))-INDEX(MitarbeiterTatsächlich[],MATCH(INDEX(MitarbeiterAbweichungen[],ROW()-ROW(MitarbeiterAbweichungen[[#Headers],[Jul]]),1),INDEX(MitarbeiterPlan[],,1),0),MATCH(MitarbeiterAbweichungen[[#Headers],[Jul]],MitarbeiterTatsächlich[#Headers],0))</calculatedColumnFormula>
    </tableColumn>
    <tableColumn id="9" xr3:uid="{00000000-0010-0000-0800-000009000000}" name="Aug" totalsRowFunction="sum" dataDxfId="99" totalsRowDxfId="248">
      <calculatedColumnFormula>INDEX(MitarbeiterPlan[],MATCH(INDEX(MitarbeiterAbweichungen[],ROW()-ROW(MitarbeiterAbweichungen[[#Headers],[Aug]]),1),INDEX(MitarbeiterPlan[],,1),0),MATCH(MitarbeiterAbweichungen[[#Headers],[Aug]],MitarbeiterPlan[#Headers],0))-INDEX(MitarbeiterTatsächlich[],MATCH(INDEX(MitarbeiterAbweichungen[],ROW()-ROW(MitarbeiterAbweichungen[[#Headers],[Aug]]),1),INDEX(MitarbeiterPlan[],,1),0),MATCH(MitarbeiterAbweichungen[[#Headers],[Aug]],MitarbeiterTatsächlich[#Headers],0))</calculatedColumnFormula>
    </tableColumn>
    <tableColumn id="10" xr3:uid="{00000000-0010-0000-0800-00000A000000}" name="Sep" totalsRowFunction="sum" dataDxfId="98" totalsRowDxfId="247">
      <calculatedColumnFormula>INDEX(MitarbeiterPlan[],MATCH(INDEX(MitarbeiterAbweichungen[],ROW()-ROW(MitarbeiterAbweichungen[[#Headers],[Sep]]),1),INDEX(MitarbeiterPlan[],,1),0),MATCH(MitarbeiterAbweichungen[[#Headers],[Sep]],MitarbeiterPlan[#Headers],0))-INDEX(MitarbeiterTatsächlich[],MATCH(INDEX(MitarbeiterAbweichungen[],ROW()-ROW(MitarbeiterAbweichungen[[#Headers],[Sep]]),1),INDEX(MitarbeiterPlan[],,1),0),MATCH(MitarbeiterAbweichungen[[#Headers],[Sep]],MitarbeiterTatsächlich[#Headers],0))</calculatedColumnFormula>
    </tableColumn>
    <tableColumn id="11" xr3:uid="{00000000-0010-0000-0800-00000B000000}" name="Okt" totalsRowFunction="sum" dataDxfId="97" totalsRowDxfId="246">
      <calculatedColumnFormula>INDEX(MitarbeiterPlan[],MATCH(INDEX(MitarbeiterAbweichungen[],ROW()-ROW(MitarbeiterAbweichungen[[#Headers],[Okt]]),1),INDEX(MitarbeiterPlan[],,1),0),MATCH(MitarbeiterAbweichungen[[#Headers],[Okt]],MitarbeiterPlan[#Headers],0))-INDEX(MitarbeiterTatsächlich[],MATCH(INDEX(MitarbeiterAbweichungen[],ROW()-ROW(MitarbeiterAbweichungen[[#Headers],[Okt]]),1),INDEX(MitarbeiterPlan[],,1),0),MATCH(MitarbeiterAbweichungen[[#Headers],[Okt]],MitarbeiterTatsächlich[#Headers],0))</calculatedColumnFormula>
    </tableColumn>
    <tableColumn id="12" xr3:uid="{00000000-0010-0000-0800-00000C000000}" name="Nov" totalsRowFunction="sum" dataDxfId="96" totalsRowDxfId="245">
      <calculatedColumnFormula>INDEX(MitarbeiterPlan[],MATCH(INDEX(MitarbeiterAbweichungen[],ROW()-ROW(MitarbeiterAbweichungen[[#Headers],[Nov]]),1),INDEX(MitarbeiterPlan[],,1),0),MATCH(MitarbeiterAbweichungen[[#Headers],[Nov]],MitarbeiterPlan[#Headers],0))-INDEX(MitarbeiterTatsächlich[],MATCH(INDEX(MitarbeiterAbweichungen[],ROW()-ROW(MitarbeiterAbweichungen[[#Headers],[Nov]]),1),INDEX(MitarbeiterPlan[],,1),0),MATCH(MitarbeiterAbweichungen[[#Headers],[Nov]],MitarbeiterTatsächlich[#Headers],0))</calculatedColumnFormula>
    </tableColumn>
    <tableColumn id="13" xr3:uid="{00000000-0010-0000-0800-00000D000000}" name="Dez" totalsRowFunction="sum" dataDxfId="95" totalsRowDxfId="244">
      <calculatedColumnFormula>INDEX(MitarbeiterPlan[],MATCH(INDEX(MitarbeiterAbweichungen[],ROW()-ROW(MitarbeiterAbweichungen[[#Headers],[Dez]]),1),INDEX(MitarbeiterPlan[],,1),0),MATCH(MitarbeiterAbweichungen[[#Headers],[Dez]],MitarbeiterPlan[#Headers],0))-INDEX(MitarbeiterTatsächlich[],MATCH(INDEX(MitarbeiterAbweichungen[],ROW()-ROW(MitarbeiterAbweichungen[[#Headers],[Dez]]),1),INDEX(MitarbeiterPlan[],,1),0),MATCH(MitarbeiterAbweichungen[[#Headers],[Dez]],MitarbeiterTatsächlich[#Headers],0))</calculatedColumnFormula>
    </tableColumn>
    <tableColumn id="14" xr3:uid="{00000000-0010-0000-0800-00000E000000}" name="JAHR" totalsRowFunction="sum" dataDxfId="94" totalsRowDxfId="243">
      <calculatedColumnFormula>SUM(MitarbeiterAbweichungen[[#This Row],[Jan]:[Dez]])</calculatedColumnFormula>
    </tableColumn>
  </tableColumns>
  <tableStyleInfo name="TableStyleLight8" showFirstColumn="1" showLastColumn="0" showRowStripes="0" showColumnStripes="0"/>
  <extLst>
    <ext xmlns:x14="http://schemas.microsoft.com/office/spreadsheetml/2009/9/main" uri="{504A1905-F514-4f6f-8877-14C23A59335A}">
      <x14:table altTextSummary="Die Abweichung in den Mitarbeiterkosten pro Monat wird in dieser Tabelle automatisch berechne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BüroAbweichungen" displayName="BüroAbweichungen" ref="B10:O19" totalsRowCount="1" headerRowDxfId="242" totalsRowDxfId="239" headerRowBorderDxfId="241" tableBorderDxfId="240" totalsRowBorderDxfId="238">
  <autoFilter ref="B10:O1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Bürokosten" totalsRowLabel="Zwischensumme" dataDxfId="237" totalsRowDxfId="236"/>
    <tableColumn id="2" xr3:uid="{00000000-0010-0000-0900-000002000000}" name="Jan" totalsRowFunction="sum" dataDxfId="93" totalsRowDxfId="235">
      <calculatedColumnFormula>INDEX(Büroplan[],MATCH(INDEX(BüroAbweichungen[],ROW()-ROW(BüroAbweichungen[[#Headers],[Jan]]),1),INDEX(Büroplan[],,1),0),MATCH(BüroAbweichungen[[#Headers],[Jan]],Büroplan[#Headers],0))-INDEX(BüroTatsächlich[],MATCH(INDEX(BüroAbweichungen[],ROW()-ROW(BüroAbweichungen[[#Headers],[Jan]]),1),INDEX(Büroplan[],,1),0),MATCH(BüroAbweichungen[[#Headers],[Jan]],BüroTatsächlich[#Headers],0))</calculatedColumnFormula>
    </tableColumn>
    <tableColumn id="3" xr3:uid="{00000000-0010-0000-0900-000003000000}" name="Feb" totalsRowFunction="sum" dataDxfId="92" totalsRowDxfId="234">
      <calculatedColumnFormula>INDEX(Büroplan[],MATCH(INDEX(BüroAbweichungen[],ROW()-ROW(BüroAbweichungen[[#Headers],[Feb]]),1),INDEX(Büroplan[],,1),0),MATCH(BüroAbweichungen[[#Headers],[Feb]],Büroplan[#Headers],0))-INDEX(BüroTatsächlich[],MATCH(INDEX(BüroAbweichungen[],ROW()-ROW(BüroAbweichungen[[#Headers],[Feb]]),1),INDEX(Büroplan[],,1),0),MATCH(BüroAbweichungen[[#Headers],[Feb]],BüroTatsächlich[#Headers],0))</calculatedColumnFormula>
    </tableColumn>
    <tableColumn id="4" xr3:uid="{00000000-0010-0000-0900-000004000000}" name="Mrz" totalsRowFunction="sum" dataDxfId="91" totalsRowDxfId="233">
      <calculatedColumnFormula>INDEX(Büroplan[],MATCH(INDEX(BüroAbweichungen[],ROW()-ROW(BüroAbweichungen[[#Headers],[Mrz]]),1),INDEX(Büroplan[],,1),0),MATCH(BüroAbweichungen[[#Headers],[Mrz]],Büroplan[#Headers],0))-INDEX(BüroTatsächlich[],MATCH(INDEX(BüroAbweichungen[],ROW()-ROW(BüroAbweichungen[[#Headers],[Mrz]]),1),INDEX(Büroplan[],,1),0),MATCH(BüroAbweichungen[[#Headers],[Mrz]],BüroTatsächlich[#Headers],0))</calculatedColumnFormula>
    </tableColumn>
    <tableColumn id="5" xr3:uid="{00000000-0010-0000-0900-000005000000}" name="Apr" totalsRowFunction="sum" dataDxfId="90" totalsRowDxfId="232">
      <calculatedColumnFormula>INDEX(Büroplan[],MATCH(INDEX(BüroAbweichungen[],ROW()-ROW(BüroAbweichungen[[#Headers],[Apr]]),1),INDEX(Büroplan[],,1),0),MATCH(BüroAbweichungen[[#Headers],[Apr]],Büroplan[#Headers],0))-INDEX(BüroTatsächlich[],MATCH(INDEX(BüroAbweichungen[],ROW()-ROW(BüroAbweichungen[[#Headers],[Apr]]),1),INDEX(Büroplan[],,1),0),MATCH(BüroAbweichungen[[#Headers],[Apr]],BüroTatsächlich[#Headers],0))</calculatedColumnFormula>
    </tableColumn>
    <tableColumn id="6" xr3:uid="{00000000-0010-0000-0900-000006000000}" name="Mai" totalsRowFunction="sum" dataDxfId="89" totalsRowDxfId="231">
      <calculatedColumnFormula>INDEX(Büroplan[],MATCH(INDEX(BüroAbweichungen[],ROW()-ROW(BüroAbweichungen[[#Headers],[Mai]]),1),INDEX(Büroplan[],,1),0),MATCH(BüroAbweichungen[[#Headers],[Mai]],Büroplan[#Headers],0))-INDEX(BüroTatsächlich[],MATCH(INDEX(BüroAbweichungen[],ROW()-ROW(BüroAbweichungen[[#Headers],[Mai]]),1),INDEX(Büroplan[],,1),0),MATCH(BüroAbweichungen[[#Headers],[Mai]],BüroTatsächlich[#Headers],0))</calculatedColumnFormula>
    </tableColumn>
    <tableColumn id="7" xr3:uid="{00000000-0010-0000-0900-000007000000}" name="Jun" totalsRowFunction="sum" dataDxfId="88" totalsRowDxfId="230">
      <calculatedColumnFormula>INDEX(Büroplan[],MATCH(INDEX(BüroAbweichungen[],ROW()-ROW(BüroAbweichungen[[#Headers],[Jun]]),1),INDEX(Büroplan[],,1),0),MATCH(BüroAbweichungen[[#Headers],[Jun]],Büroplan[#Headers],0))-INDEX(BüroTatsächlich[],MATCH(INDEX(BüroAbweichungen[],ROW()-ROW(BüroAbweichungen[[#Headers],[Jun]]),1),INDEX(Büroplan[],,1),0),MATCH(BüroAbweichungen[[#Headers],[Jun]],BüroTatsächlich[#Headers],0))</calculatedColumnFormula>
    </tableColumn>
    <tableColumn id="8" xr3:uid="{00000000-0010-0000-0900-000008000000}" name="Jul" totalsRowFunction="sum" dataDxfId="87" totalsRowDxfId="229">
      <calculatedColumnFormula>INDEX(Büroplan[],MATCH(INDEX(BüroAbweichungen[],ROW()-ROW(BüroAbweichungen[[#Headers],[Jul]]),1),INDEX(Büroplan[],,1),0),MATCH(BüroAbweichungen[[#Headers],[Jul]],Büroplan[#Headers],0))-INDEX(BüroTatsächlich[],MATCH(INDEX(BüroAbweichungen[],ROW()-ROW(BüroAbweichungen[[#Headers],[Jul]]),1),INDEX(Büroplan[],,1),0),MATCH(BüroAbweichungen[[#Headers],[Jul]],BüroTatsächlich[#Headers],0))</calculatedColumnFormula>
    </tableColumn>
    <tableColumn id="9" xr3:uid="{00000000-0010-0000-0900-000009000000}" name="Aug" totalsRowFunction="sum" dataDxfId="86" totalsRowDxfId="228">
      <calculatedColumnFormula>INDEX(Büroplan[],MATCH(INDEX(BüroAbweichungen[],ROW()-ROW(BüroAbweichungen[[#Headers],[Aug]]),1),INDEX(Büroplan[],,1),0),MATCH(BüroAbweichungen[[#Headers],[Aug]],Büroplan[#Headers],0))-INDEX(BüroTatsächlich[],MATCH(INDEX(BüroAbweichungen[],ROW()-ROW(BüroAbweichungen[[#Headers],[Aug]]),1),INDEX(Büroplan[],,1),0),MATCH(BüroAbweichungen[[#Headers],[Aug]],BüroTatsächlich[#Headers],0))</calculatedColumnFormula>
    </tableColumn>
    <tableColumn id="10" xr3:uid="{00000000-0010-0000-0900-00000A000000}" name="Sep" totalsRowFunction="sum" dataDxfId="85" totalsRowDxfId="227">
      <calculatedColumnFormula>INDEX(Büroplan[],MATCH(INDEX(BüroAbweichungen[],ROW()-ROW(BüroAbweichungen[[#Headers],[Sep]]),1),INDEX(Büroplan[],,1),0),MATCH(BüroAbweichungen[[#Headers],[Sep]],Büroplan[#Headers],0))-INDEX(BüroTatsächlich[],MATCH(INDEX(BüroAbweichungen[],ROW()-ROW(BüroAbweichungen[[#Headers],[Sep]]),1),INDEX(Büroplan[],,1),0),MATCH(BüroAbweichungen[[#Headers],[Sep]],BüroTatsächlich[#Headers],0))</calculatedColumnFormula>
    </tableColumn>
    <tableColumn id="11" xr3:uid="{00000000-0010-0000-0900-00000B000000}" name="Okt" totalsRowFunction="sum" dataDxfId="84" totalsRowDxfId="226">
      <calculatedColumnFormula>INDEX(Büroplan[],MATCH(INDEX(BüroAbweichungen[],ROW()-ROW(BüroAbweichungen[[#Headers],[Okt]]),1),INDEX(Büroplan[],,1),0),MATCH(BüroAbweichungen[[#Headers],[Okt]],Büroplan[#Headers],0))-INDEX(BüroTatsächlich[],MATCH(INDEX(BüroAbweichungen[],ROW()-ROW(BüroAbweichungen[[#Headers],[Okt]]),1),INDEX(Büroplan[],,1),0),MATCH(BüroAbweichungen[[#Headers],[Okt]],BüroTatsächlich[#Headers],0))</calculatedColumnFormula>
    </tableColumn>
    <tableColumn id="12" xr3:uid="{00000000-0010-0000-0900-00000C000000}" name="Nov" totalsRowFunction="sum" dataDxfId="83" totalsRowDxfId="225">
      <calculatedColumnFormula>INDEX(Büroplan[],MATCH(INDEX(BüroAbweichungen[],ROW()-ROW(BüroAbweichungen[[#Headers],[Nov]]),1),INDEX(Büroplan[],,1),0),MATCH(BüroAbweichungen[[#Headers],[Nov]],Büroplan[#Headers],0))-INDEX(BüroTatsächlich[],MATCH(INDEX(BüroAbweichungen[],ROW()-ROW(BüroAbweichungen[[#Headers],[Nov]]),1),INDEX(Büroplan[],,1),0),MATCH(BüroAbweichungen[[#Headers],[Nov]],BüroTatsächlich[#Headers],0))</calculatedColumnFormula>
    </tableColumn>
    <tableColumn id="13" xr3:uid="{00000000-0010-0000-0900-00000D000000}" name="Dez" totalsRowFunction="sum" dataDxfId="82" totalsRowDxfId="224">
      <calculatedColumnFormula>INDEX(Büroplan[],MATCH(INDEX(BüroAbweichungen[],ROW()-ROW(BüroAbweichungen[[#Headers],[Dez]]),1),INDEX(Büroplan[],,1),0),MATCH(BüroAbweichungen[[#Headers],[Dez]],Büroplan[#Headers],0))-INDEX(BüroTatsächlich[],MATCH(INDEX(BüroAbweichungen[],ROW()-ROW(BüroAbweichungen[[#Headers],[Dez]]),1),INDEX(Büroplan[],,1),0),MATCH(BüroAbweichungen[[#Headers],[Dez]],BüroTatsächlich[#Headers],0))</calculatedColumnFormula>
    </tableColumn>
    <tableColumn id="14" xr3:uid="{00000000-0010-0000-0900-00000E000000}" name="JAHR" totalsRowFunction="sum" dataDxfId="81" totalsRowDxfId="223">
      <calculatedColumnFormula>SUM(BüroAbweichungen[[#This Row],[Jan]:[Dez]])</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Die Abweichung in den Bürokosten pro Monat wird in dieser Tabelle automatisch berechne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MarketingAbweichungen" displayName="MarketingAbweichungen" ref="B21:O28" totalsRowCount="1" headerRowDxfId="222" totalsRowDxfId="219" headerRowBorderDxfId="221" tableBorderDxfId="220" totalsRowBorderDxfId="218">
  <autoFilter ref="B21:O27"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Marketingkosten" totalsRowLabel="Zwischensumme" dataDxfId="217" totalsRowDxfId="216"/>
    <tableColumn id="2" xr3:uid="{00000000-0010-0000-0A00-000002000000}" name="Jan" totalsRowFunction="sum" dataDxfId="80" totalsRowDxfId="215">
      <calculatedColumnFormula>INDEX(MarketingPlan[],MATCH(INDEX(MarketingAbweichungen[],ROW()-ROW(MarketingAbweichungen[[#Headers],[Jan]]),1),INDEX(MarketingPlan[],,1),0),MATCH(MarketingAbweichungen[[#Headers],[Jan]],MarketingPlan[#Headers],0))-INDEX(MarketingTatsächlich[],MATCH(INDEX(MarketingAbweichungen[],ROW()-ROW(MarketingAbweichungen[[#Headers],[Jan]]),1),INDEX(MarketingPlan[],,1),0),MATCH(MarketingAbweichungen[[#Headers],[Jan]],MarketingTatsächlich[#Headers],0))</calculatedColumnFormula>
    </tableColumn>
    <tableColumn id="3" xr3:uid="{00000000-0010-0000-0A00-000003000000}" name="Feb" totalsRowFunction="sum" dataDxfId="79" totalsRowDxfId="214">
      <calculatedColumnFormula>INDEX(MarketingPlan[],MATCH(INDEX(MarketingAbweichungen[],ROW()-ROW(MarketingAbweichungen[[#Headers],[Feb]]),1),INDEX(MarketingPlan[],,1),0),MATCH(MarketingAbweichungen[[#Headers],[Feb]],MarketingPlan[#Headers],0))-INDEX(MarketingTatsächlich[],MATCH(INDEX(MarketingAbweichungen[],ROW()-ROW(MarketingAbweichungen[[#Headers],[Feb]]),1),INDEX(MarketingPlan[],,1),0),MATCH(MarketingAbweichungen[[#Headers],[Feb]],MarketingTatsächlich[#Headers],0))</calculatedColumnFormula>
    </tableColumn>
    <tableColumn id="4" xr3:uid="{00000000-0010-0000-0A00-000004000000}" name="Mrz" totalsRowFunction="sum" dataDxfId="78" totalsRowDxfId="213">
      <calculatedColumnFormula>INDEX(MarketingPlan[],MATCH(INDEX(MarketingAbweichungen[],ROW()-ROW(MarketingAbweichungen[[#Headers],[Mrz]]),1),INDEX(MarketingPlan[],,1),0),MATCH(MarketingAbweichungen[[#Headers],[Mrz]],MarketingPlan[#Headers],0))-INDEX(MarketingTatsächlich[],MATCH(INDEX(MarketingAbweichungen[],ROW()-ROW(MarketingAbweichungen[[#Headers],[Mrz]]),1),INDEX(MarketingPlan[],,1),0),MATCH(MarketingAbweichungen[[#Headers],[Mrz]],MarketingTatsächlich[#Headers],0))</calculatedColumnFormula>
    </tableColumn>
    <tableColumn id="5" xr3:uid="{00000000-0010-0000-0A00-000005000000}" name="Apr" totalsRowFunction="sum" dataDxfId="77" totalsRowDxfId="212">
      <calculatedColumnFormula>INDEX(MarketingPlan[],MATCH(INDEX(MarketingAbweichungen[],ROW()-ROW(MarketingAbweichungen[[#Headers],[Apr]]),1),INDEX(MarketingPlan[],,1),0),MATCH(MarketingAbweichungen[[#Headers],[Apr]],MarketingPlan[#Headers],0))-INDEX(MarketingTatsächlich[],MATCH(INDEX(MarketingAbweichungen[],ROW()-ROW(MarketingAbweichungen[[#Headers],[Apr]]),1),INDEX(MarketingPlan[],,1),0),MATCH(MarketingAbweichungen[[#Headers],[Apr]],MarketingTatsächlich[#Headers],0))</calculatedColumnFormula>
    </tableColumn>
    <tableColumn id="6" xr3:uid="{00000000-0010-0000-0A00-000006000000}" name="Mai" totalsRowFunction="sum" dataDxfId="76" totalsRowDxfId="211">
      <calculatedColumnFormula>INDEX(MarketingPlan[],MATCH(INDEX(MarketingAbweichungen[],ROW()-ROW(MarketingAbweichungen[[#Headers],[Mai]]),1),INDEX(MarketingPlan[],,1),0),MATCH(MarketingAbweichungen[[#Headers],[Mai]],MarketingPlan[#Headers],0))-INDEX(MarketingTatsächlich[],MATCH(INDEX(MarketingAbweichungen[],ROW()-ROW(MarketingAbweichungen[[#Headers],[Mai]]),1),INDEX(MarketingPlan[],,1),0),MATCH(MarketingAbweichungen[[#Headers],[Mai]],MarketingTatsächlich[#Headers],0))</calculatedColumnFormula>
    </tableColumn>
    <tableColumn id="7" xr3:uid="{00000000-0010-0000-0A00-000007000000}" name="Jun" totalsRowFunction="sum" dataDxfId="75" totalsRowDxfId="210">
      <calculatedColumnFormula>INDEX(MarketingPlan[],MATCH(INDEX(MarketingAbweichungen[],ROW()-ROW(MarketingAbweichungen[[#Headers],[Jun]]),1),INDEX(MarketingPlan[],,1),0),MATCH(MarketingAbweichungen[[#Headers],[Jun]],MarketingPlan[#Headers],0))-INDEX(MarketingTatsächlich[],MATCH(INDEX(MarketingAbweichungen[],ROW()-ROW(MarketingAbweichungen[[#Headers],[Jun]]),1),INDEX(MarketingPlan[],,1),0),MATCH(MarketingAbweichungen[[#Headers],[Jun]],MarketingTatsächlich[#Headers],0))</calculatedColumnFormula>
    </tableColumn>
    <tableColumn id="8" xr3:uid="{00000000-0010-0000-0A00-000008000000}" name="Jul" totalsRowFunction="sum" dataDxfId="74" totalsRowDxfId="209">
      <calculatedColumnFormula>INDEX(MarketingPlan[],MATCH(INDEX(MarketingAbweichungen[],ROW()-ROW(MarketingAbweichungen[[#Headers],[Jul]]),1),INDEX(MarketingPlan[],,1),0),MATCH(MarketingAbweichungen[[#Headers],[Jul]],MarketingPlan[#Headers],0))-INDEX(MarketingTatsächlich[],MATCH(INDEX(MarketingAbweichungen[],ROW()-ROW(MarketingAbweichungen[[#Headers],[Jul]]),1),INDEX(MarketingPlan[],,1),0),MATCH(MarketingAbweichungen[[#Headers],[Jul]],MarketingTatsächlich[#Headers],0))</calculatedColumnFormula>
    </tableColumn>
    <tableColumn id="9" xr3:uid="{00000000-0010-0000-0A00-000009000000}" name="Aug" totalsRowFunction="sum" dataDxfId="73" totalsRowDxfId="208">
      <calculatedColumnFormula>INDEX(MarketingPlan[],MATCH(INDEX(MarketingAbweichungen[],ROW()-ROW(MarketingAbweichungen[[#Headers],[Aug]]),1),INDEX(MarketingPlan[],,1),0),MATCH(MarketingAbweichungen[[#Headers],[Aug]],MarketingPlan[#Headers],0))-INDEX(MarketingTatsächlich[],MATCH(INDEX(MarketingAbweichungen[],ROW()-ROW(MarketingAbweichungen[[#Headers],[Aug]]),1),INDEX(MarketingPlan[],,1),0),MATCH(MarketingAbweichungen[[#Headers],[Aug]],MarketingTatsächlich[#Headers],0))</calculatedColumnFormula>
    </tableColumn>
    <tableColumn id="10" xr3:uid="{00000000-0010-0000-0A00-00000A000000}" name="Sep" totalsRowFunction="sum" dataDxfId="72" totalsRowDxfId="207">
      <calculatedColumnFormula>INDEX(MarketingPlan[],MATCH(INDEX(MarketingAbweichungen[],ROW()-ROW(MarketingAbweichungen[[#Headers],[Sep]]),1),INDEX(MarketingPlan[],,1),0),MATCH(MarketingAbweichungen[[#Headers],[Sep]],MarketingPlan[#Headers],0))-INDEX(MarketingTatsächlich[],MATCH(INDEX(MarketingAbweichungen[],ROW()-ROW(MarketingAbweichungen[[#Headers],[Sep]]),1),INDEX(MarketingPlan[],,1),0),MATCH(MarketingAbweichungen[[#Headers],[Sep]],MarketingTatsächlich[#Headers],0))</calculatedColumnFormula>
    </tableColumn>
    <tableColumn id="11" xr3:uid="{00000000-0010-0000-0A00-00000B000000}" name="Okt" totalsRowFunction="sum" dataDxfId="71" totalsRowDxfId="206">
      <calculatedColumnFormula>INDEX(MarketingPlan[],MATCH(INDEX(MarketingAbweichungen[],ROW()-ROW(MarketingAbweichungen[[#Headers],[Okt]]),1),INDEX(MarketingPlan[],,1),0),MATCH(MarketingAbweichungen[[#Headers],[Okt]],MarketingPlan[#Headers],0))-INDEX(MarketingTatsächlich[],MATCH(INDEX(MarketingAbweichungen[],ROW()-ROW(MarketingAbweichungen[[#Headers],[Okt]]),1),INDEX(MarketingPlan[],,1),0),MATCH(MarketingAbweichungen[[#Headers],[Okt]],MarketingTatsächlich[#Headers],0))</calculatedColumnFormula>
    </tableColumn>
    <tableColumn id="12" xr3:uid="{00000000-0010-0000-0A00-00000C000000}" name="Nov" totalsRowFunction="sum" dataDxfId="70" totalsRowDxfId="205">
      <calculatedColumnFormula>INDEX(MarketingPlan[],MATCH(INDEX(MarketingAbweichungen[],ROW()-ROW(MarketingAbweichungen[[#Headers],[Nov]]),1),INDEX(MarketingPlan[],,1),0),MATCH(MarketingAbweichungen[[#Headers],[Nov]],MarketingPlan[#Headers],0))-INDEX(MarketingTatsächlich[],MATCH(INDEX(MarketingAbweichungen[],ROW()-ROW(MarketingAbweichungen[[#Headers],[Nov]]),1),INDEX(MarketingPlan[],,1),0),MATCH(MarketingAbweichungen[[#Headers],[Nov]],MarketingTatsächlich[#Headers],0))</calculatedColumnFormula>
    </tableColumn>
    <tableColumn id="13" xr3:uid="{00000000-0010-0000-0A00-00000D000000}" name="Dez" totalsRowFunction="sum" dataDxfId="69" totalsRowDxfId="204">
      <calculatedColumnFormula>INDEX(MarketingPlan[],MATCH(INDEX(MarketingAbweichungen[],ROW()-ROW(MarketingAbweichungen[[#Headers],[Dez]]),1),INDEX(MarketingPlan[],,1),0),MATCH(MarketingAbweichungen[[#Headers],[Dez]],MarketingPlan[#Headers],0))-INDEX(MarketingTatsächlich[],MATCH(INDEX(MarketingAbweichungen[],ROW()-ROW(MarketingAbweichungen[[#Headers],[Dez]]),1),INDEX(MarketingPlan[],,1),0),MATCH(MarketingAbweichungen[[#Headers],[Dez]],MarketingTatsächlich[#Headers],0))</calculatedColumnFormula>
    </tableColumn>
    <tableColumn id="14" xr3:uid="{00000000-0010-0000-0A00-00000E000000}" name="JAHR" totalsRowFunction="sum" dataDxfId="68" totalsRowDxfId="203">
      <calculatedColumnFormula>SUM(MarketingAbweichungen[[#This Row],[Jan]:[Dez]])</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Die Abweichung in den Marketingkosten pro Monat wird in dieser Tabelle automatisch berechne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SchulungsUndReiseAbweichungen" displayName="SchulungsUndReiseAbweichungen" ref="B30:O33" totalsRowCount="1" headerRowDxfId="202" totalsRowDxfId="199" headerRowBorderDxfId="201" tableBorderDxfId="200" totalsRowBorderDxfId="198">
  <autoFilter ref="B30:O3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Schulung/Reisen" totalsRowLabel="Zwischensumme" dataDxfId="197" totalsRowDxfId="196"/>
    <tableColumn id="2" xr3:uid="{00000000-0010-0000-0B00-000002000000}" name="Jan" totalsRowFunction="sum" dataDxfId="67" totalsRowDxfId="195">
      <calculatedColumnFormula>INDEX(SchulungsUndReisePlan[],MATCH(INDEX(SchulungsUndReiseAbweichungen[],ROW()-ROW(SchulungsUndReiseAbweichungen[[#Headers],[Jan]]),1),INDEX(SchulungsUndReisePlan[],,1),0),MATCH(SchulungsUndReiseAbweichungen[[#Headers],[Jan]],SchulungsUndReisePlan[#Headers],0))-INDEX(SchulungUndReiseTatsächlich[],MATCH(INDEX(SchulungsUndReiseAbweichungen[],ROW()-ROW(SchulungsUndReiseAbweichungen[[#Headers],[Jan]]),1),INDEX(SchulungsUndReisePlan[],,1),0),MATCH(SchulungsUndReiseAbweichungen[[#Headers],[Jan]],SchulungUndReiseTatsächlich[#Headers],0))</calculatedColumnFormula>
    </tableColumn>
    <tableColumn id="3" xr3:uid="{00000000-0010-0000-0B00-000003000000}" name="Feb" totalsRowFunction="sum" dataDxfId="66" totalsRowDxfId="194">
      <calculatedColumnFormula>INDEX(SchulungsUndReisePlan[],MATCH(INDEX(SchulungsUndReiseAbweichungen[],ROW()-ROW(SchulungsUndReiseAbweichungen[[#Headers],[Feb]]),1),INDEX(SchulungsUndReisePlan[],,1),0),MATCH(SchulungsUndReiseAbweichungen[[#Headers],[Feb]],SchulungsUndReisePlan[#Headers],0))-INDEX(SchulungUndReiseTatsächlich[],MATCH(INDEX(SchulungsUndReiseAbweichungen[],ROW()-ROW(SchulungsUndReiseAbweichungen[[#Headers],[Feb]]),1),INDEX(SchulungsUndReisePlan[],,1),0),MATCH(SchulungsUndReiseAbweichungen[[#Headers],[Feb]],SchulungUndReiseTatsächlich[#Headers],0))</calculatedColumnFormula>
    </tableColumn>
    <tableColumn id="4" xr3:uid="{00000000-0010-0000-0B00-000004000000}" name="Mrz" totalsRowFunction="sum" dataDxfId="65" totalsRowDxfId="193">
      <calculatedColumnFormula>INDEX(SchulungsUndReisePlan[],MATCH(INDEX(SchulungsUndReiseAbweichungen[],ROW()-ROW(SchulungsUndReiseAbweichungen[[#Headers],[Mrz]]),1),INDEX(SchulungsUndReisePlan[],,1),0),MATCH(SchulungsUndReiseAbweichungen[[#Headers],[Mrz]],SchulungsUndReisePlan[#Headers],0))-INDEX(SchulungUndReiseTatsächlich[],MATCH(INDEX(SchulungsUndReiseAbweichungen[],ROW()-ROW(SchulungsUndReiseAbweichungen[[#Headers],[Mrz]]),1),INDEX(SchulungsUndReisePlan[],,1),0),MATCH(SchulungsUndReiseAbweichungen[[#Headers],[Mrz]],SchulungUndReiseTatsächlich[#Headers],0))</calculatedColumnFormula>
    </tableColumn>
    <tableColumn id="5" xr3:uid="{00000000-0010-0000-0B00-000005000000}" name="Apr" totalsRowFunction="sum" dataDxfId="64" totalsRowDxfId="192">
      <calculatedColumnFormula>INDEX(SchulungsUndReisePlan[],MATCH(INDEX(SchulungsUndReiseAbweichungen[],ROW()-ROW(SchulungsUndReiseAbweichungen[[#Headers],[Apr]]),1),INDEX(SchulungsUndReisePlan[],,1),0),MATCH(SchulungsUndReiseAbweichungen[[#Headers],[Apr]],SchulungsUndReisePlan[#Headers],0))-INDEX(SchulungUndReiseTatsächlich[],MATCH(INDEX(SchulungsUndReiseAbweichungen[],ROW()-ROW(SchulungsUndReiseAbweichungen[[#Headers],[Apr]]),1),INDEX(SchulungsUndReisePlan[],,1),0),MATCH(SchulungsUndReiseAbweichungen[[#Headers],[Apr]],SchulungUndReiseTatsächlich[#Headers],0))</calculatedColumnFormula>
    </tableColumn>
    <tableColumn id="6" xr3:uid="{00000000-0010-0000-0B00-000006000000}" name="Mai" totalsRowFunction="sum" dataDxfId="63" totalsRowDxfId="191">
      <calculatedColumnFormula>INDEX(SchulungsUndReisePlan[],MATCH(INDEX(SchulungsUndReiseAbweichungen[],ROW()-ROW(SchulungsUndReiseAbweichungen[[#Headers],[Mai]]),1),INDEX(SchulungsUndReisePlan[],,1),0),MATCH(SchulungsUndReiseAbweichungen[[#Headers],[Mai]],SchulungsUndReisePlan[#Headers],0))-INDEX(SchulungUndReiseTatsächlich[],MATCH(INDEX(SchulungsUndReiseAbweichungen[],ROW()-ROW(SchulungsUndReiseAbweichungen[[#Headers],[Mai]]),1),INDEX(SchulungsUndReisePlan[],,1),0),MATCH(SchulungsUndReiseAbweichungen[[#Headers],[Mai]],SchulungUndReiseTatsächlich[#Headers],0))</calculatedColumnFormula>
    </tableColumn>
    <tableColumn id="7" xr3:uid="{00000000-0010-0000-0B00-000007000000}" name="Jun" totalsRowFunction="sum" dataDxfId="62" totalsRowDxfId="190">
      <calculatedColumnFormula>INDEX(SchulungsUndReisePlan[],MATCH(INDEX(SchulungsUndReiseAbweichungen[],ROW()-ROW(SchulungsUndReiseAbweichungen[[#Headers],[Jun]]),1),INDEX(SchulungsUndReisePlan[],,1),0),MATCH(SchulungsUndReiseAbweichungen[[#Headers],[Jun]],SchulungsUndReisePlan[#Headers],0))-INDEX(SchulungUndReiseTatsächlich[],MATCH(INDEX(SchulungsUndReiseAbweichungen[],ROW()-ROW(SchulungsUndReiseAbweichungen[[#Headers],[Jun]]),1),INDEX(SchulungsUndReisePlan[],,1),0),MATCH(SchulungsUndReiseAbweichungen[[#Headers],[Jun]],SchulungUndReiseTatsächlich[#Headers],0))</calculatedColumnFormula>
    </tableColumn>
    <tableColumn id="8" xr3:uid="{00000000-0010-0000-0B00-000008000000}" name="Jul" totalsRowFunction="sum" dataDxfId="61" totalsRowDxfId="189">
      <calculatedColumnFormula>INDEX(SchulungsUndReisePlan[],MATCH(INDEX(SchulungsUndReiseAbweichungen[],ROW()-ROW(SchulungsUndReiseAbweichungen[[#Headers],[Jul]]),1),INDEX(SchulungsUndReisePlan[],,1),0),MATCH(SchulungsUndReiseAbweichungen[[#Headers],[Jul]],SchulungsUndReisePlan[#Headers],0))-INDEX(SchulungUndReiseTatsächlich[],MATCH(INDEX(SchulungsUndReiseAbweichungen[],ROW()-ROW(SchulungsUndReiseAbweichungen[[#Headers],[Jul]]),1),INDEX(SchulungsUndReisePlan[],,1),0),MATCH(SchulungsUndReiseAbweichungen[[#Headers],[Jul]],SchulungUndReiseTatsächlich[#Headers],0))</calculatedColumnFormula>
    </tableColumn>
    <tableColumn id="9" xr3:uid="{00000000-0010-0000-0B00-000009000000}" name="Aug" totalsRowFunction="sum" dataDxfId="60" totalsRowDxfId="188">
      <calculatedColumnFormula>INDEX(SchulungsUndReisePlan[],MATCH(INDEX(SchulungsUndReiseAbweichungen[],ROW()-ROW(SchulungsUndReiseAbweichungen[[#Headers],[Aug]]),1),INDEX(SchulungsUndReisePlan[],,1),0),MATCH(SchulungsUndReiseAbweichungen[[#Headers],[Aug]],SchulungsUndReisePlan[#Headers],0))-INDEX(SchulungUndReiseTatsächlich[],MATCH(INDEX(SchulungsUndReiseAbweichungen[],ROW()-ROW(SchulungsUndReiseAbweichungen[[#Headers],[Aug]]),1),INDEX(SchulungsUndReisePlan[],,1),0),MATCH(SchulungsUndReiseAbweichungen[[#Headers],[Aug]],SchulungUndReiseTatsächlich[#Headers],0))</calculatedColumnFormula>
    </tableColumn>
    <tableColumn id="10" xr3:uid="{00000000-0010-0000-0B00-00000A000000}" name="Sep" totalsRowFunction="sum" dataDxfId="59" totalsRowDxfId="187">
      <calculatedColumnFormula>INDEX(SchulungsUndReisePlan[],MATCH(INDEX(SchulungsUndReiseAbweichungen[],ROW()-ROW(SchulungsUndReiseAbweichungen[[#Headers],[Sep]]),1),INDEX(SchulungsUndReisePlan[],,1),0),MATCH(SchulungsUndReiseAbweichungen[[#Headers],[Sep]],SchulungsUndReisePlan[#Headers],0))-INDEX(SchulungUndReiseTatsächlich[],MATCH(INDEX(SchulungsUndReiseAbweichungen[],ROW()-ROW(SchulungsUndReiseAbweichungen[[#Headers],[Sep]]),1),INDEX(SchulungsUndReisePlan[],,1),0),MATCH(SchulungsUndReiseAbweichungen[[#Headers],[Sep]],SchulungUndReiseTatsächlich[#Headers],0))</calculatedColumnFormula>
    </tableColumn>
    <tableColumn id="11" xr3:uid="{00000000-0010-0000-0B00-00000B000000}" name="Okt" totalsRowFunction="sum" dataDxfId="58" totalsRowDxfId="186">
      <calculatedColumnFormula>INDEX(SchulungsUndReisePlan[],MATCH(INDEX(SchulungsUndReiseAbweichungen[],ROW()-ROW(SchulungsUndReiseAbweichungen[[#Headers],[Okt]]),1),INDEX(SchulungsUndReisePlan[],,1),0),MATCH(SchulungsUndReiseAbweichungen[[#Headers],[Okt]],SchulungsUndReisePlan[#Headers],0))-INDEX(SchulungUndReiseTatsächlich[],MATCH(INDEX(SchulungsUndReiseAbweichungen[],ROW()-ROW(SchulungsUndReiseAbweichungen[[#Headers],[Okt]]),1),INDEX(SchulungsUndReisePlan[],,1),0),MATCH(SchulungsUndReiseAbweichungen[[#Headers],[Okt]],SchulungUndReiseTatsächlich[#Headers],0))</calculatedColumnFormula>
    </tableColumn>
    <tableColumn id="12" xr3:uid="{00000000-0010-0000-0B00-00000C000000}" name="Nov" totalsRowFunction="sum" dataDxfId="57" totalsRowDxfId="185">
      <calculatedColumnFormula>INDEX(SchulungsUndReisePlan[],MATCH(INDEX(SchulungsUndReiseAbweichungen[],ROW()-ROW(SchulungsUndReiseAbweichungen[[#Headers],[Nov]]),1),INDEX(SchulungsUndReisePlan[],,1),0),MATCH(SchulungsUndReiseAbweichungen[[#Headers],[Nov]],SchulungsUndReisePlan[#Headers],0))-INDEX(SchulungUndReiseTatsächlich[],MATCH(INDEX(SchulungsUndReiseAbweichungen[],ROW()-ROW(SchulungsUndReiseAbweichungen[[#Headers],[Nov]]),1),INDEX(SchulungsUndReisePlan[],,1),0),MATCH(SchulungsUndReiseAbweichungen[[#Headers],[Nov]],SchulungUndReiseTatsächlich[#Headers],0))</calculatedColumnFormula>
    </tableColumn>
    <tableColumn id="13" xr3:uid="{00000000-0010-0000-0B00-00000D000000}" name="Dez" totalsRowFunction="sum" dataDxfId="56" totalsRowDxfId="184">
      <calculatedColumnFormula>INDEX(SchulungsUndReisePlan[],MATCH(INDEX(SchulungsUndReiseAbweichungen[],ROW()-ROW(SchulungsUndReiseAbweichungen[[#Headers],[Dez]]),1),INDEX(SchulungsUndReisePlan[],,1),0),MATCH(SchulungsUndReiseAbweichungen[[#Headers],[Dez]],SchulungsUndReisePlan[#Headers],0))-INDEX(SchulungUndReiseTatsächlich[],MATCH(INDEX(SchulungsUndReiseAbweichungen[],ROW()-ROW(SchulungsUndReiseAbweichungen[[#Headers],[Dez]]),1),INDEX(SchulungsUndReisePlan[],,1),0),MATCH(SchulungsUndReiseAbweichungen[[#Headers],[Dez]],SchulungUndReiseTatsächlich[#Headers],0))</calculatedColumnFormula>
    </tableColumn>
    <tableColumn id="14" xr3:uid="{00000000-0010-0000-0B00-00000E000000}" name="JAHR" totalsRowFunction="sum" dataDxfId="55" totalsRowDxfId="183">
      <calculatedColumnFormula>SUM(SchulungsUndReiseAbweichungen[[#This Row],[Jan]:[Dez]])</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Die Abweichung in den Schulungs- und Reisekosten pro Monat wird in dieser Tabelle automatisch berechnet."/>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450248-DB77-46F5-B207-E715DE10D029}" name="AbweichungenGesamt" displayName="AbweichungenGesamt" ref="B35:O37" headerRowDxfId="182" dataDxfId="181" tableBorderDxfId="180">
  <autoFilter ref="B35:O37" xr:uid="{B407F9FC-1AB0-4A37-B2B1-EDE36CD997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A1B301-8171-4BDA-9269-D51F18A1CE72}" name="SUMMEN" totalsRowLabel="Ergebnis" dataDxfId="179" totalsRowDxfId="28"/>
    <tableColumn id="2" xr3:uid="{AE0C21A5-398B-42DE-950D-8AE4AD1A8551}" name="Jan" dataDxfId="54" totalsRowDxfId="29">
      <calculatedColumnFormula>SUM($C35:C$36)</calculatedColumnFormula>
    </tableColumn>
    <tableColumn id="3" xr3:uid="{A43B0B0E-F35F-4E04-8A0D-11BB7356D5F1}" name="Feb" dataDxfId="53" totalsRowDxfId="30">
      <calculatedColumnFormula>SUM($C35:D$36)</calculatedColumnFormula>
    </tableColumn>
    <tableColumn id="4" xr3:uid="{F14459A4-8E61-4E04-9A53-A7DA16CE366A}" name="Mrz" dataDxfId="52" totalsRowDxfId="31">
      <calculatedColumnFormula>SUM($C35:E$36)</calculatedColumnFormula>
    </tableColumn>
    <tableColumn id="5" xr3:uid="{1C90C974-8801-4A11-B3AF-1DC144BB0C14}" name="Apr" dataDxfId="51" totalsRowDxfId="32">
      <calculatedColumnFormula>SUM($C35:F$36)</calculatedColumnFormula>
    </tableColumn>
    <tableColumn id="6" xr3:uid="{C8E3F4F6-5F27-4CC7-9916-6D86833782C1}" name="Mai" dataDxfId="50" totalsRowDxfId="33">
      <calculatedColumnFormula>SUM($C35:G$36)</calculatedColumnFormula>
    </tableColumn>
    <tableColumn id="7" xr3:uid="{AF75D92B-7578-4087-BB78-DD5AD8165117}" name="Jun" dataDxfId="49" totalsRowDxfId="34">
      <calculatedColumnFormula>SUM($C35:H$36)</calculatedColumnFormula>
    </tableColumn>
    <tableColumn id="8" xr3:uid="{35F61ABA-09FB-4695-B0F5-A2C6B6580A2E}" name="Jul" dataDxfId="48" totalsRowDxfId="35">
      <calculatedColumnFormula>SUM($C35:I$36)</calculatedColumnFormula>
    </tableColumn>
    <tableColumn id="9" xr3:uid="{59F62437-45DC-439F-945A-D0E79C444E8E}" name="Aug" dataDxfId="47" totalsRowDxfId="36">
      <calculatedColumnFormula>SUM($C35:J$36)</calculatedColumnFormula>
    </tableColumn>
    <tableColumn id="10" xr3:uid="{2BF9DCC5-B211-44A6-BD40-E91602CDA85C}" name="Sep" dataDxfId="46" totalsRowDxfId="37">
      <calculatedColumnFormula>SUM($C35:K$36)</calculatedColumnFormula>
    </tableColumn>
    <tableColumn id="11" xr3:uid="{4280684A-CD23-4103-8664-029757D0A2A2}" name="Okt" dataDxfId="45" totalsRowDxfId="38">
      <calculatedColumnFormula>SUM($C35:L$36)</calculatedColumnFormula>
    </tableColumn>
    <tableColumn id="12" xr3:uid="{07DED434-EC8F-4DAF-83E3-E350A33F2EAE}" name="Nov" dataDxfId="44" totalsRowDxfId="39">
      <calculatedColumnFormula>SUM($C35:M$36)</calculatedColumnFormula>
    </tableColumn>
    <tableColumn id="13" xr3:uid="{32BA0102-0F05-43CF-91BA-724F1FE01DAA}" name="Dez" dataDxfId="43" totalsRowDxfId="40">
      <calculatedColumnFormula>SUM($C35:N$36)</calculatedColumnFormula>
    </tableColumn>
    <tableColumn id="14" xr3:uid="{57A0D710-AEB8-4057-928D-010058E02081}" name="Jahr" totalsRowFunction="sum" dataDxfId="42" totalsRowDxfId="41"/>
  </tableColumns>
  <tableStyleInfo showFirstColumn="1" showLastColumn="0" showRowStripes="0" showColumnStripes="0"/>
  <extLst>
    <ext xmlns:x14="http://schemas.microsoft.com/office/spreadsheetml/2009/9/main" uri="{504A1905-F514-4f6f-8877-14C23A59335A}">
      <x14:table altTextSummary="Die Abweichung der monatlichen und der Gesamtkosten wird in dieser Tabelle automatisch berechne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029F34C-CC7A-4C9E-8687-3CBA6E03BB7D}" name="Analyse" displayName="Analyse" ref="B5:F10" totalsRowShown="0" dataDxfId="178" tableBorderDxfId="177">
  <autoFilter ref="B5:F10" xr:uid="{FF30FBEE-D7F5-45FA-A994-455B735EFD11}">
    <filterColumn colId="0" hiddenButton="1"/>
    <filterColumn colId="1" hiddenButton="1"/>
    <filterColumn colId="2" hiddenButton="1"/>
    <filterColumn colId="3" hiddenButton="1"/>
    <filterColumn colId="4" hiddenButton="1"/>
  </autoFilter>
  <tableColumns count="5">
    <tableColumn id="1" xr3:uid="{85D5DD3A-2DA8-4CC6-8C75-2348A5B1DCE5}" name="Kostenkategorie" dataDxfId="176"/>
    <tableColumn id="2" xr3:uid="{71038352-BC76-49DD-9F6C-B394E5F033ED}" name="Geplante Kosten" dataDxfId="174"/>
    <tableColumn id="3" xr3:uid="{19ED3EBC-BC10-47F6-9800-62129A32BC8E}" name="Tatsächliche Kosten" dataDxfId="173"/>
    <tableColumn id="4" xr3:uid="{E8D5E1DD-7CB1-4A1A-8F42-EFBF70790FE7}" name="Kostenabweichungen" dataDxfId="172">
      <calculatedColumnFormula>C6-D6</calculatedColumnFormula>
    </tableColumn>
    <tableColumn id="5" xr3:uid="{47E1881E-12A2-4F0E-8364-B79F2DC5D0B1}" name="Prozentsatz der Abweichung" dataDxfId="175">
      <calculatedColumnFormula>E6/C6</calculatedColumnFormula>
    </tableColumn>
  </tableColumns>
  <tableStyleInfo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arketingPlan" displayName="MarketingPlan" ref="B21:O28" totalsRowCount="1" headerRowDxfId="464" totalsRowDxfId="461" headerRowBorderDxfId="463" tableBorderDxfId="462" totalsRowBorderDxfId="460">
  <autoFilter ref="B21:O2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Marketingkosten" totalsRowLabel="Zwischensumme" dataDxfId="459" totalsRowDxfId="458"/>
    <tableColumn id="2" xr3:uid="{00000000-0010-0000-0100-000002000000}" name="Jan" totalsRowFunction="sum" dataDxfId="457" totalsRowDxfId="456"/>
    <tableColumn id="3" xr3:uid="{00000000-0010-0000-0100-000003000000}" name="Feb" totalsRowFunction="sum" dataDxfId="455" totalsRowDxfId="454"/>
    <tableColumn id="4" xr3:uid="{00000000-0010-0000-0100-000004000000}" name="Mrz" totalsRowFunction="sum" dataDxfId="453" totalsRowDxfId="452"/>
    <tableColumn id="5" xr3:uid="{00000000-0010-0000-0100-000005000000}" name="Apr" totalsRowFunction="sum" dataDxfId="451" totalsRowDxfId="450"/>
    <tableColumn id="6" xr3:uid="{00000000-0010-0000-0100-000006000000}" name="Mai" totalsRowFunction="sum" dataDxfId="449" totalsRowDxfId="448"/>
    <tableColumn id="7" xr3:uid="{00000000-0010-0000-0100-000007000000}" name="Jun" totalsRowFunction="sum" dataDxfId="447" totalsRowDxfId="446"/>
    <tableColumn id="8" xr3:uid="{00000000-0010-0000-0100-000008000000}" name="Jul" totalsRowFunction="sum" dataDxfId="445" totalsRowDxfId="444"/>
    <tableColumn id="9" xr3:uid="{00000000-0010-0000-0100-000009000000}" name="Aug" totalsRowFunction="sum" dataDxfId="443" totalsRowDxfId="442"/>
    <tableColumn id="10" xr3:uid="{00000000-0010-0000-0100-00000A000000}" name="Sep" totalsRowFunction="sum" dataDxfId="441" totalsRowDxfId="440"/>
    <tableColumn id="11" xr3:uid="{00000000-0010-0000-0100-00000B000000}" name="Okt" totalsRowFunction="sum" dataDxfId="439" totalsRowDxfId="438"/>
    <tableColumn id="12" xr3:uid="{00000000-0010-0000-0100-00000C000000}" name="Nov" totalsRowFunction="sum" dataDxfId="437" totalsRowDxfId="436"/>
    <tableColumn id="13" xr3:uid="{00000000-0010-0000-0100-00000D000000}" name="Dez" totalsRowFunction="sum" dataDxfId="435" totalsRowDxfId="434"/>
    <tableColumn id="14" xr3:uid="{00000000-0010-0000-0100-00000E000000}" name="JAHR" totalsRowFunction="sum" dataDxfId="433" totalsRowDxfId="432">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Geben Sie in dieser Tabelle die geplanten monatlichen Marketingkosten ein. Die Summe wird am Ende automatisch berechn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chulungsUndReisePlan" displayName="SchulungsUndReisePlan" ref="B30:O33" totalsRowCount="1" headerRowDxfId="431" totalsRowDxfId="428" headerRowBorderDxfId="430" tableBorderDxfId="429" totalsRowBorderDxfId="427">
  <autoFilter ref="B30:O3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Schulung/Reisen" totalsRowLabel="Zwischensumme" dataDxfId="426" totalsRowDxfId="425"/>
    <tableColumn id="2" xr3:uid="{00000000-0010-0000-0200-000002000000}" name="Jan" totalsRowFunction="sum" dataDxfId="424" totalsRowDxfId="423"/>
    <tableColumn id="3" xr3:uid="{00000000-0010-0000-0200-000003000000}" name="Feb" totalsRowFunction="sum" dataDxfId="422" totalsRowDxfId="421"/>
    <tableColumn id="4" xr3:uid="{00000000-0010-0000-0200-000004000000}" name="Mrz" totalsRowFunction="sum" dataDxfId="420" totalsRowDxfId="419"/>
    <tableColumn id="5" xr3:uid="{00000000-0010-0000-0200-000005000000}" name="Apr" totalsRowFunction="sum" dataDxfId="418" totalsRowDxfId="417"/>
    <tableColumn id="6" xr3:uid="{00000000-0010-0000-0200-000006000000}" name="Mai" totalsRowFunction="sum" dataDxfId="416" totalsRowDxfId="415"/>
    <tableColumn id="7" xr3:uid="{00000000-0010-0000-0200-000007000000}" name="Jun" totalsRowFunction="sum" dataDxfId="414" totalsRowDxfId="413"/>
    <tableColumn id="8" xr3:uid="{00000000-0010-0000-0200-000008000000}" name="Jul" totalsRowFunction="sum" dataDxfId="412" totalsRowDxfId="411"/>
    <tableColumn id="9" xr3:uid="{00000000-0010-0000-0200-000009000000}" name="Aug" totalsRowFunction="sum" dataDxfId="410" totalsRowDxfId="409"/>
    <tableColumn id="10" xr3:uid="{00000000-0010-0000-0200-00000A000000}" name="Sep" totalsRowFunction="sum" dataDxfId="408" totalsRowDxfId="407"/>
    <tableColumn id="11" xr3:uid="{00000000-0010-0000-0200-00000B000000}" name="Okt" totalsRowFunction="sum" dataDxfId="406" totalsRowDxfId="405"/>
    <tableColumn id="12" xr3:uid="{00000000-0010-0000-0200-00000C000000}" name="Nov" totalsRowFunction="sum" dataDxfId="404" totalsRowDxfId="403"/>
    <tableColumn id="13" xr3:uid="{00000000-0010-0000-0200-00000D000000}" name="Dez" totalsRowFunction="sum" dataDxfId="402" totalsRowDxfId="401"/>
    <tableColumn id="14" xr3:uid="{00000000-0010-0000-0200-00000E000000}" name="JAHR" totalsRowFunction="sum" dataDxfId="400" totalsRowDxfId="399">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Geben Sie in dieser Tabelle die geplanten monatlichen Schulungs- und Reisekosten ein. Die Summe wird am Ende automatisch berechn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MitarbeiterPlan" displayName="MitarbeiterPlan" ref="B5:O8" totalsRowCount="1" headerRowDxfId="398" totalsRowDxfId="395" headerRowBorderDxfId="397" tableBorderDxfId="396" totalsRowBorderDxfId="394">
  <autoFilter ref="B5:O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Mitarbeiterkosten" totalsRowLabel="Zwischensumme" dataDxfId="393" totalsRowDxfId="392"/>
    <tableColumn id="2" xr3:uid="{00000000-0010-0000-0300-000002000000}" name="Jan" totalsRowFunction="sum" dataDxfId="391" totalsRowDxfId="390">
      <calculatedColumnFormula>C5*0.27</calculatedColumnFormula>
    </tableColumn>
    <tableColumn id="3" xr3:uid="{00000000-0010-0000-0300-000003000000}" name="Feb" totalsRowFunction="sum" dataDxfId="389" totalsRowDxfId="388">
      <calculatedColumnFormula>D5*0.27</calculatedColumnFormula>
    </tableColumn>
    <tableColumn id="4" xr3:uid="{00000000-0010-0000-0300-000004000000}" name="Mrz" totalsRowFunction="sum" dataDxfId="387" totalsRowDxfId="386">
      <calculatedColumnFormula>E5*0.27</calculatedColumnFormula>
    </tableColumn>
    <tableColumn id="5" xr3:uid="{00000000-0010-0000-0300-000005000000}" name="Apr" totalsRowFunction="sum" dataDxfId="385" totalsRowDxfId="384">
      <calculatedColumnFormula>F5*0.27</calculatedColumnFormula>
    </tableColumn>
    <tableColumn id="6" xr3:uid="{00000000-0010-0000-0300-000006000000}" name="Mai" totalsRowFunction="sum" dataDxfId="383" totalsRowDxfId="382">
      <calculatedColumnFormula>G5*0.27</calculatedColumnFormula>
    </tableColumn>
    <tableColumn id="7" xr3:uid="{00000000-0010-0000-0300-000007000000}" name="Jun" totalsRowFunction="sum" dataDxfId="381" totalsRowDxfId="380">
      <calculatedColumnFormula>H5*0.27</calculatedColumnFormula>
    </tableColumn>
    <tableColumn id="8" xr3:uid="{00000000-0010-0000-0300-000008000000}" name="Jul" totalsRowFunction="sum" dataDxfId="379" totalsRowDxfId="378">
      <calculatedColumnFormula>I5*0.27</calculatedColumnFormula>
    </tableColumn>
    <tableColumn id="9" xr3:uid="{00000000-0010-0000-0300-000009000000}" name="Aug" totalsRowFunction="sum" dataDxfId="377" totalsRowDxfId="376">
      <calculatedColumnFormula>J5*0.27</calculatedColumnFormula>
    </tableColumn>
    <tableColumn id="10" xr3:uid="{00000000-0010-0000-0300-00000A000000}" name="Sep" totalsRowFunction="sum" dataDxfId="375" totalsRowDxfId="374">
      <calculatedColumnFormula>K5*0.27</calculatedColumnFormula>
    </tableColumn>
    <tableColumn id="11" xr3:uid="{00000000-0010-0000-0300-00000B000000}" name="Okt" totalsRowFunction="sum" dataDxfId="373" totalsRowDxfId="372">
      <calculatedColumnFormula>L5*0.27</calculatedColumnFormula>
    </tableColumn>
    <tableColumn id="12" xr3:uid="{00000000-0010-0000-0300-00000C000000}" name="Nov" totalsRowFunction="sum" dataDxfId="371" totalsRowDxfId="370">
      <calculatedColumnFormula>M5*0.27</calculatedColumnFormula>
    </tableColumn>
    <tableColumn id="13" xr3:uid="{00000000-0010-0000-0300-00000D000000}" name="Dez" totalsRowFunction="sum" dataDxfId="369" totalsRowDxfId="368">
      <calculatedColumnFormula>N5*0.27</calculatedColumnFormula>
    </tableColumn>
    <tableColumn id="14" xr3:uid="{00000000-0010-0000-0300-00000E000000}" name="JAHR" totalsRowFunction="sum" dataDxfId="367" totalsRowDxfId="366">
      <calculatedColumnFormula>SUM(C6:N6)</calculatedColumnFormula>
    </tableColumn>
  </tableColumns>
  <tableStyleInfo name="TableStyleMedium1" showFirstColumn="1" showLastColumn="1" showRowStripes="1" showColumnStripes="0"/>
  <extLst>
    <ext xmlns:x14="http://schemas.microsoft.com/office/spreadsheetml/2009/9/main" uri="{504A1905-F514-4f6f-8877-14C23A59335A}">
      <x14:table altTextSummary="Geben Sie in dieser Tabelle die geplanten monatlichen Mitarbeiterkosten ein. Die Summe wird am Ende automatisch berechne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1654C0-A6E2-4402-ADF4-C02B29E915BD}" name="GeplanteSumme" displayName="GeplanteSumme" ref="B35:O37" headerRowDxfId="365" dataDxfId="363" headerRowBorderDxfId="364" tableBorderDxfId="362" totalsRowBorderDxfId="361">
  <autoFilter ref="B35:O37" xr:uid="{630CA614-6744-438B-8D74-F7C59585F1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DAEAEE0-3B16-417F-B274-1F203D9CFCF2}" name="SUMMEN" totalsRowLabel="Ergebnis" dataDxfId="360" totalsRowDxfId="0"/>
    <tableColumn id="2" xr3:uid="{3CBCAAC6-5850-43CE-8A4B-7299FADFEA94}" name="Jan" dataDxfId="359" totalsRowDxfId="1">
      <calculatedColumnFormula>SUM($C35:C$36)</calculatedColumnFormula>
    </tableColumn>
    <tableColumn id="3" xr3:uid="{E78EAAAB-F732-4079-94F1-D17531764B41}" name="Feb" dataDxfId="358" totalsRowDxfId="2">
      <calculatedColumnFormula>SUM($C35:D$36)</calculatedColumnFormula>
    </tableColumn>
    <tableColumn id="4" xr3:uid="{7E178853-B334-4E02-A0B5-9E8AC39D6929}" name="Mrz" dataDxfId="357" totalsRowDxfId="3">
      <calculatedColumnFormula>SUM($C35:E$36)</calculatedColumnFormula>
    </tableColumn>
    <tableColumn id="5" xr3:uid="{901BCAA1-7C45-46E6-9DAA-C055B5CC4D9E}" name="Apr" dataDxfId="356" totalsRowDxfId="4">
      <calculatedColumnFormula>SUM($C35:F$36)</calculatedColumnFormula>
    </tableColumn>
    <tableColumn id="6" xr3:uid="{FDC62F5A-FCA8-49DA-AFE4-FBDA22CB588C}" name="Mai" dataDxfId="355" totalsRowDxfId="5">
      <calculatedColumnFormula>SUM($C35:G$36)</calculatedColumnFormula>
    </tableColumn>
    <tableColumn id="7" xr3:uid="{6B7E4F62-6387-4545-9593-FCFE8EB0E87B}" name="Jun" dataDxfId="354" totalsRowDxfId="6">
      <calculatedColumnFormula>SUM($C35:H$36)</calculatedColumnFormula>
    </tableColumn>
    <tableColumn id="8" xr3:uid="{29C96D76-82C3-4C86-A866-135D2B5F6766}" name="Jul" dataDxfId="353" totalsRowDxfId="7">
      <calculatedColumnFormula>SUM($C35:I$36)</calculatedColumnFormula>
    </tableColumn>
    <tableColumn id="9" xr3:uid="{8EAF7A8A-BCFD-4A07-ADFE-7B3A8A367BB3}" name="Aug" dataDxfId="352" totalsRowDxfId="8">
      <calculatedColumnFormula>SUM($C35:J$36)</calculatedColumnFormula>
    </tableColumn>
    <tableColumn id="10" xr3:uid="{F40CD844-EFB4-4B82-8FEA-F130D1DDE9B6}" name="Sep" dataDxfId="351" totalsRowDxfId="9">
      <calculatedColumnFormula>SUM($C35:K$36)</calculatedColumnFormula>
    </tableColumn>
    <tableColumn id="11" xr3:uid="{42E3BDAF-1274-4A42-93E1-A70D8EFF4D76}" name="Okt" dataDxfId="350" totalsRowDxfId="10">
      <calculatedColumnFormula>SUM($C35:L$36)</calculatedColumnFormula>
    </tableColumn>
    <tableColumn id="12" xr3:uid="{4F7ADDB3-3705-4D5F-B56D-EBBC8E7DFAFB}" name="Nov" dataDxfId="349" totalsRowDxfId="11">
      <calculatedColumnFormula>SUM($C35:M$36)</calculatedColumnFormula>
    </tableColumn>
    <tableColumn id="13" xr3:uid="{56789314-1137-4ED4-BA2B-969187ADECB2}" name="Dez" dataDxfId="348" totalsRowDxfId="12">
      <calculatedColumnFormula>SUM($C35:N$36)</calculatedColumnFormula>
    </tableColumn>
    <tableColumn id="14" xr3:uid="{284F34B8-8D32-4E44-96FD-25CE69A931D2}" name="Jahr" totalsRowFunction="sum" dataDxfId="347" totalsRowDxfId="13"/>
  </tableColumns>
  <tableStyleInfo showFirstColumn="1" showLastColumn="0" showRowStripes="0" showColumnStripes="0"/>
  <extLst>
    <ext xmlns:x14="http://schemas.microsoft.com/office/spreadsheetml/2009/9/main" uri="{504A1905-F514-4f6f-8877-14C23A59335A}">
      <x14:table altTextSummary="Die geplanten monatlichen und die Gesamtkosten werden in dieser Tabelle automatisch berechne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BüroTatsächlich" displayName="BüroTatsächlich" ref="B10:O19" totalsRowCount="1" headerRowDxfId="346" totalsRowDxfId="343" headerRowBorderDxfId="345" tableBorderDxfId="344" totalsRowBorderDxfId="342">
  <autoFilter ref="B10:O1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Bürokosten" totalsRowLabel="Zwischensumme" dataDxfId="341" totalsRowDxfId="340"/>
    <tableColumn id="2" xr3:uid="{00000000-0010-0000-0400-000002000000}" name="Jan" totalsRowFunction="sum" dataDxfId="171" totalsRowDxfId="339"/>
    <tableColumn id="3" xr3:uid="{00000000-0010-0000-0400-000003000000}" name="Feb" totalsRowFunction="sum" dataDxfId="170" totalsRowDxfId="338"/>
    <tableColumn id="4" xr3:uid="{00000000-0010-0000-0400-000004000000}" name="Mrz" totalsRowFunction="sum" dataDxfId="169" totalsRowDxfId="337"/>
    <tableColumn id="5" xr3:uid="{00000000-0010-0000-0400-000005000000}" name="Apr" totalsRowFunction="sum" dataDxfId="168" totalsRowDxfId="336"/>
    <tableColumn id="6" xr3:uid="{00000000-0010-0000-0400-000006000000}" name="Mai" totalsRowFunction="sum" dataDxfId="167" totalsRowDxfId="335"/>
    <tableColumn id="7" xr3:uid="{00000000-0010-0000-0400-000007000000}" name="Jun" totalsRowFunction="sum" dataDxfId="166" totalsRowDxfId="334"/>
    <tableColumn id="8" xr3:uid="{00000000-0010-0000-0400-000008000000}" name="Jul" totalsRowFunction="sum" dataDxfId="165" totalsRowDxfId="333"/>
    <tableColumn id="9" xr3:uid="{00000000-0010-0000-0400-000009000000}" name="Aug" totalsRowFunction="sum" dataDxfId="164" totalsRowDxfId="332"/>
    <tableColumn id="10" xr3:uid="{00000000-0010-0000-0400-00000A000000}" name="Sep" totalsRowFunction="sum" dataDxfId="163" totalsRowDxfId="331"/>
    <tableColumn id="11" xr3:uid="{00000000-0010-0000-0400-00000B000000}" name="Okt" totalsRowFunction="sum" dataDxfId="162" totalsRowDxfId="330"/>
    <tableColumn id="12" xr3:uid="{00000000-0010-0000-0400-00000C000000}" name="Nov" totalsRowFunction="sum" dataDxfId="161" totalsRowDxfId="329"/>
    <tableColumn id="13" xr3:uid="{00000000-0010-0000-0400-00000D000000}" name="Dez" totalsRowFunction="sum" dataDxfId="160" totalsRowDxfId="328"/>
    <tableColumn id="14" xr3:uid="{00000000-0010-0000-0400-00000E000000}" name="JAHR" totalsRowFunction="sum" dataDxfId="159" totalsRowDxfId="327">
      <calculatedColumnFormula>SUM(C11:N11)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Geben Sie in dieser Tabelle die tatsächlichen monatlichen Bürokosten ein. Die Summe wird am Ende automatisch berechne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MarketingTatsächlich" displayName="MarketingTatsächlich" ref="B21:O28" totalsRowCount="1" headerRowDxfId="326" totalsRowDxfId="323" headerRowBorderDxfId="325" tableBorderDxfId="324" totalsRowBorderDxfId="322">
  <autoFilter ref="B21:O2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Marketingkosten" totalsRowLabel="Zwischensumme" dataDxfId="321" totalsRowDxfId="320"/>
    <tableColumn id="2" xr3:uid="{00000000-0010-0000-0500-000002000000}" name="Jan" totalsRowFunction="sum" dataDxfId="158" totalsRowDxfId="319"/>
    <tableColumn id="3" xr3:uid="{00000000-0010-0000-0500-000003000000}" name="Feb" totalsRowFunction="sum" dataDxfId="157" totalsRowDxfId="318"/>
    <tableColumn id="4" xr3:uid="{00000000-0010-0000-0500-000004000000}" name="Mrz" totalsRowFunction="sum" dataDxfId="156" totalsRowDxfId="317"/>
    <tableColumn id="5" xr3:uid="{00000000-0010-0000-0500-000005000000}" name="Apr" totalsRowFunction="sum" dataDxfId="155" totalsRowDxfId="316"/>
    <tableColumn id="6" xr3:uid="{00000000-0010-0000-0500-000006000000}" name="Mai" totalsRowFunction="sum" dataDxfId="154" totalsRowDxfId="315"/>
    <tableColumn id="7" xr3:uid="{00000000-0010-0000-0500-000007000000}" name="Jun" totalsRowFunction="sum" dataDxfId="153" totalsRowDxfId="314"/>
    <tableColumn id="8" xr3:uid="{00000000-0010-0000-0500-000008000000}" name="Jul" totalsRowFunction="sum" dataDxfId="152" totalsRowDxfId="313"/>
    <tableColumn id="9" xr3:uid="{00000000-0010-0000-0500-000009000000}" name="Aug" totalsRowFunction="sum" dataDxfId="151" totalsRowDxfId="312"/>
    <tableColumn id="10" xr3:uid="{00000000-0010-0000-0500-00000A000000}" name="Sep" totalsRowFunction="sum" dataDxfId="150" totalsRowDxfId="311"/>
    <tableColumn id="11" xr3:uid="{00000000-0010-0000-0500-00000B000000}" name="Okt" totalsRowFunction="sum" dataDxfId="149" totalsRowDxfId="310"/>
    <tableColumn id="12" xr3:uid="{00000000-0010-0000-0500-00000C000000}" name="Nov" totalsRowFunction="sum" dataDxfId="148" totalsRowDxfId="309"/>
    <tableColumn id="13" xr3:uid="{00000000-0010-0000-0500-00000D000000}" name="Dez" totalsRowFunction="sum" dataDxfId="147" totalsRowDxfId="308"/>
    <tableColumn id="14" xr3:uid="{00000000-0010-0000-0500-00000E000000}" name="JAHR" totalsRowFunction="sum" dataDxfId="146" totalsRowDxfId="307">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Geben Sie in dieser Tabelle die tatsächlichen monatlichen Marketingkosten ein. Die Summe wird am Ende automatisch berechne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SchulungUndReiseTatsächlich" displayName="SchulungUndReiseTatsächlich" ref="B30:O33" totalsRowCount="1" headerRowDxfId="306" totalsRowDxfId="303" headerRowBorderDxfId="305" tableBorderDxfId="304" totalsRowBorderDxfId="302">
  <autoFilter ref="B30:O3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Schulung/Reisen" totalsRowLabel="Zwischensumme" dataDxfId="301" totalsRowDxfId="300"/>
    <tableColumn id="2" xr3:uid="{00000000-0010-0000-0600-000002000000}" name="Jan" totalsRowFunction="sum" dataDxfId="145" totalsRowDxfId="299"/>
    <tableColumn id="3" xr3:uid="{00000000-0010-0000-0600-000003000000}" name="Feb" totalsRowFunction="sum" dataDxfId="144" totalsRowDxfId="298"/>
    <tableColumn id="4" xr3:uid="{00000000-0010-0000-0600-000004000000}" name="Mrz" totalsRowFunction="sum" dataDxfId="143" totalsRowDxfId="297"/>
    <tableColumn id="5" xr3:uid="{00000000-0010-0000-0600-000005000000}" name="Apr" totalsRowFunction="sum" dataDxfId="142" totalsRowDxfId="296"/>
    <tableColumn id="6" xr3:uid="{00000000-0010-0000-0600-000006000000}" name="Mai" totalsRowFunction="sum" dataDxfId="141" totalsRowDxfId="295"/>
    <tableColumn id="7" xr3:uid="{00000000-0010-0000-0600-000007000000}" name="Jun" totalsRowFunction="sum" dataDxfId="140" totalsRowDxfId="294"/>
    <tableColumn id="8" xr3:uid="{00000000-0010-0000-0600-000008000000}" name="Jul" totalsRowFunction="sum" dataDxfId="139" totalsRowDxfId="293"/>
    <tableColumn id="9" xr3:uid="{00000000-0010-0000-0600-000009000000}" name="Aug" totalsRowFunction="sum" dataDxfId="138" totalsRowDxfId="292"/>
    <tableColumn id="10" xr3:uid="{00000000-0010-0000-0600-00000A000000}" name="Sep" totalsRowFunction="sum" dataDxfId="137" totalsRowDxfId="291"/>
    <tableColumn id="11" xr3:uid="{00000000-0010-0000-0600-00000B000000}" name="Okt" totalsRowFunction="sum" dataDxfId="136" totalsRowDxfId="290"/>
    <tableColumn id="12" xr3:uid="{00000000-0010-0000-0600-00000C000000}" name="Nov" totalsRowFunction="sum" dataDxfId="135" totalsRowDxfId="289"/>
    <tableColumn id="13" xr3:uid="{00000000-0010-0000-0600-00000D000000}" name="Dez" totalsRowFunction="sum" dataDxfId="134" totalsRowDxfId="288"/>
    <tableColumn id="14" xr3:uid="{00000000-0010-0000-0600-00000E000000}" name="JAHR" totalsRowFunction="sum" dataDxfId="133" totalsRowDxfId="287">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Geben Sie in dieser Tabelle die tatsächlichen monatlichen Schulungs- und Reisekosten ein. Die Summe wird am Ende automatisch berechne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MitarbeiterTatsächlich" displayName="MitarbeiterTatsächlich" ref="B5:O8" totalsRowCount="1" headerRowDxfId="286" totalsRowDxfId="283" headerRowBorderDxfId="285" tableBorderDxfId="284" totalsRowBorderDxfId="282">
  <autoFilter ref="B5:O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Mitarbeiterkosten" totalsRowLabel="Zwischensumme" dataDxfId="281" totalsRowDxfId="280"/>
    <tableColumn id="2" xr3:uid="{00000000-0010-0000-0700-000002000000}" name="Jan" totalsRowFunction="sum" dataDxfId="132" totalsRowDxfId="279">
      <calculatedColumnFormula>C5*0.27</calculatedColumnFormula>
    </tableColumn>
    <tableColumn id="3" xr3:uid="{00000000-0010-0000-0700-000003000000}" name="Feb" totalsRowFunction="sum" dataDxfId="131" totalsRowDxfId="278">
      <calculatedColumnFormula>D5*0.27</calculatedColumnFormula>
    </tableColumn>
    <tableColumn id="4" xr3:uid="{00000000-0010-0000-0700-000004000000}" name="Mrz" totalsRowFunction="sum" dataDxfId="130" totalsRowDxfId="277">
      <calculatedColumnFormula>E5*0.27</calculatedColumnFormula>
    </tableColumn>
    <tableColumn id="5" xr3:uid="{00000000-0010-0000-0700-000005000000}" name="Apr" totalsRowFunction="sum" dataDxfId="129" totalsRowDxfId="276">
      <calculatedColumnFormula>F5*0.27</calculatedColumnFormula>
    </tableColumn>
    <tableColumn id="6" xr3:uid="{00000000-0010-0000-0700-000006000000}" name="Mai" totalsRowFunction="sum" dataDxfId="128" totalsRowDxfId="275">
      <calculatedColumnFormula>G5*0.27</calculatedColumnFormula>
    </tableColumn>
    <tableColumn id="7" xr3:uid="{00000000-0010-0000-0700-000007000000}" name="Jun" totalsRowFunction="sum" dataDxfId="127" totalsRowDxfId="274">
      <calculatedColumnFormula>H5*0.27</calculatedColumnFormula>
    </tableColumn>
    <tableColumn id="8" xr3:uid="{00000000-0010-0000-0700-000008000000}" name="Jul" totalsRowFunction="sum" dataDxfId="126" totalsRowDxfId="273"/>
    <tableColumn id="9" xr3:uid="{00000000-0010-0000-0700-000009000000}" name="Aug" totalsRowFunction="sum" dataDxfId="125" totalsRowDxfId="272"/>
    <tableColumn id="10" xr3:uid="{00000000-0010-0000-0700-00000A000000}" name="Sep" totalsRowFunction="sum" dataDxfId="124" totalsRowDxfId="271"/>
    <tableColumn id="11" xr3:uid="{00000000-0010-0000-0700-00000B000000}" name="Okt" totalsRowFunction="sum" dataDxfId="123" totalsRowDxfId="270"/>
    <tableColumn id="12" xr3:uid="{00000000-0010-0000-0700-00000C000000}" name="Nov" totalsRowFunction="sum" dataDxfId="122" totalsRowDxfId="269"/>
    <tableColumn id="13" xr3:uid="{00000000-0010-0000-0700-00000D000000}" name="Dez" totalsRowFunction="sum" dataDxfId="121" totalsRowDxfId="268"/>
    <tableColumn id="14" xr3:uid="{00000000-0010-0000-0700-00000E000000}" name="JAHR" totalsRowFunction="sum" dataDxfId="120" totalsRowDxfId="267">
      <calculatedColumnFormula>SUM(C6:N6)</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Geben Sie in dieser Tabelle die tatsächlichen monatlichen Mitarbeiterkosten ein. Die Summe wird am Ende automatisch berechnet."/>
    </ext>
  </extLst>
</table>
</file>

<file path=xl/theme/theme1.xml><?xml version="1.0" encoding="utf-8"?>
<a:theme xmlns:a="http://schemas.openxmlformats.org/drawingml/2006/main" name="Office Theme">
  <a:themeElements>
    <a:clrScheme name="Custom 25">
      <a:dk1>
        <a:sysClr val="windowText" lastClr="000000"/>
      </a:dk1>
      <a:lt1>
        <a:srgbClr val="FFFFFF"/>
      </a:lt1>
      <a:dk2>
        <a:srgbClr val="2F4B83"/>
      </a:dk2>
      <a:lt2>
        <a:srgbClr val="F2F2F2"/>
      </a:lt2>
      <a:accent1>
        <a:srgbClr val="CC1D10"/>
      </a:accent1>
      <a:accent2>
        <a:srgbClr val="357B37"/>
      </a:accent2>
      <a:accent3>
        <a:srgbClr val="34A0DC"/>
      </a:accent3>
      <a:accent4>
        <a:srgbClr val="B71F66"/>
      </a:accent4>
      <a:accent5>
        <a:srgbClr val="255D77"/>
      </a:accent5>
      <a:accent6>
        <a:srgbClr val="EF4538"/>
      </a:accent6>
      <a:hlink>
        <a:srgbClr val="7DC6F3"/>
      </a:hlink>
      <a:folHlink>
        <a:srgbClr val="7DC6F3"/>
      </a:folHlink>
    </a:clrScheme>
    <a:fontScheme name="Custom 18">
      <a:majorFont>
        <a:latin typeface="Franklin Gothic Book"/>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652D-94A4-43B5-AFA7-1A6439101CE6}">
  <sheetPr>
    <tabColor theme="3" tint="-0.249977111117893"/>
  </sheetPr>
  <dimension ref="B1:B8"/>
  <sheetViews>
    <sheetView tabSelected="1" workbookViewId="0"/>
  </sheetViews>
  <sheetFormatPr baseColWidth="10" defaultColWidth="9.140625" defaultRowHeight="12.75" x14ac:dyDescent="0.2"/>
  <cols>
    <col min="1" max="1" width="2.7109375" customWidth="1"/>
    <col min="2" max="2" width="75.42578125" customWidth="1"/>
    <col min="3" max="3" width="2.7109375" customWidth="1"/>
  </cols>
  <sheetData>
    <row r="1" spans="2:2" s="31" customFormat="1" ht="30" customHeight="1" x14ac:dyDescent="0.2">
      <c r="B1" s="32" t="s">
        <v>0</v>
      </c>
    </row>
    <row r="2" spans="2:2" ht="36.75" customHeight="1" x14ac:dyDescent="0.2">
      <c r="B2" s="45" t="s">
        <v>1</v>
      </c>
    </row>
    <row r="3" spans="2:2" ht="30" customHeight="1" x14ac:dyDescent="0.2">
      <c r="B3" s="45" t="s">
        <v>93</v>
      </c>
    </row>
    <row r="4" spans="2:2" ht="40.5" customHeight="1" x14ac:dyDescent="0.2">
      <c r="B4" s="45" t="s">
        <v>2</v>
      </c>
    </row>
    <row r="5" spans="2:2" ht="36" customHeight="1" x14ac:dyDescent="0.2">
      <c r="B5" s="45" t="s">
        <v>92</v>
      </c>
    </row>
    <row r="6" spans="2:2" ht="36" customHeight="1" x14ac:dyDescent="0.2">
      <c r="B6" s="47" t="s">
        <v>3</v>
      </c>
    </row>
    <row r="7" spans="2:2" ht="69" customHeight="1" x14ac:dyDescent="0.2">
      <c r="B7" s="45" t="s">
        <v>89</v>
      </c>
    </row>
    <row r="8" spans="2:2" ht="60" customHeight="1" x14ac:dyDescent="0.25">
      <c r="B8" s="46"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A1:T38"/>
  <sheetViews>
    <sheetView showGridLines="0" zoomScaleNormal="100" workbookViewId="0"/>
  </sheetViews>
  <sheetFormatPr baseColWidth="10" defaultColWidth="9.140625" defaultRowHeight="21" customHeight="1" x14ac:dyDescent="0.3"/>
  <cols>
    <col min="1" max="1" width="4.7109375" style="1" customWidth="1"/>
    <col min="2" max="2" width="41.7109375" style="1" customWidth="1"/>
    <col min="3" max="14" width="14.7109375" style="1" customWidth="1"/>
    <col min="15" max="15" width="16.28515625" style="1" customWidth="1"/>
    <col min="16" max="16" width="4.7109375" style="1" customWidth="1"/>
    <col min="17" max="17" width="1.7109375" style="1" customWidth="1"/>
    <col min="18" max="19" width="9.140625" style="1"/>
    <col min="20" max="20" width="11.140625" style="1" customWidth="1"/>
    <col min="21" max="16384" width="9.140625" style="1"/>
  </cols>
  <sheetData>
    <row r="1" spans="1:20" ht="24" customHeight="1" x14ac:dyDescent="0.3">
      <c r="A1" s="35" t="s">
        <v>5</v>
      </c>
      <c r="B1" s="10"/>
      <c r="C1" s="10"/>
      <c r="D1" s="10"/>
      <c r="E1" s="10"/>
      <c r="F1" s="7"/>
      <c r="G1" s="7"/>
      <c r="H1" s="7"/>
      <c r="I1" s="7"/>
      <c r="J1" s="7"/>
      <c r="K1" s="7"/>
      <c r="L1" s="7"/>
      <c r="M1" s="7"/>
      <c r="N1" s="7"/>
      <c r="O1" s="7"/>
      <c r="P1" s="67" t="s">
        <v>69</v>
      </c>
    </row>
    <row r="2" spans="1:20" ht="45" customHeight="1" x14ac:dyDescent="0.35">
      <c r="A2" s="33" t="s">
        <v>94</v>
      </c>
      <c r="B2" s="130" t="s">
        <v>12</v>
      </c>
      <c r="C2" s="130"/>
      <c r="D2" s="130"/>
      <c r="E2" s="143"/>
      <c r="F2" s="8"/>
      <c r="G2" s="8"/>
      <c r="H2" s="8"/>
      <c r="I2" s="8"/>
      <c r="J2" s="131" t="s">
        <v>56</v>
      </c>
      <c r="K2" s="131"/>
      <c r="L2" s="131"/>
      <c r="M2" s="131"/>
      <c r="N2" s="127" t="s">
        <v>64</v>
      </c>
      <c r="O2" s="127"/>
      <c r="P2" s="7"/>
    </row>
    <row r="3" spans="1:20" ht="30" customHeight="1" x14ac:dyDescent="0.3">
      <c r="A3" s="33" t="s">
        <v>90</v>
      </c>
      <c r="B3" s="130"/>
      <c r="C3" s="130"/>
      <c r="D3" s="130"/>
      <c r="E3" s="144"/>
      <c r="F3" s="9"/>
      <c r="G3" s="9"/>
      <c r="H3" s="9"/>
      <c r="I3" s="9"/>
      <c r="J3" s="132" t="s">
        <v>57</v>
      </c>
      <c r="K3" s="132"/>
      <c r="L3" s="132"/>
      <c r="M3" s="132"/>
      <c r="N3" s="127"/>
      <c r="O3" s="127"/>
      <c r="P3" s="7"/>
    </row>
    <row r="4" spans="1:20" s="22" customFormat="1" ht="49.5" customHeight="1" x14ac:dyDescent="0.3">
      <c r="A4" s="36" t="s">
        <v>6</v>
      </c>
      <c r="B4" s="23" t="s">
        <v>13</v>
      </c>
      <c r="C4" s="24" t="s">
        <v>40</v>
      </c>
      <c r="D4" s="24" t="s">
        <v>42</v>
      </c>
      <c r="E4" s="24" t="s">
        <v>44</v>
      </c>
      <c r="F4" s="24" t="s">
        <v>46</v>
      </c>
      <c r="G4" s="24" t="s">
        <v>48</v>
      </c>
      <c r="H4" s="24" t="s">
        <v>50</v>
      </c>
      <c r="I4" s="24" t="s">
        <v>52</v>
      </c>
      <c r="J4" s="24" t="s">
        <v>54</v>
      </c>
      <c r="K4" s="24" t="s">
        <v>58</v>
      </c>
      <c r="L4" s="24" t="s">
        <v>60</v>
      </c>
      <c r="M4" s="24" t="s">
        <v>62</v>
      </c>
      <c r="N4" s="24" t="s">
        <v>65</v>
      </c>
      <c r="O4" s="24" t="s">
        <v>67</v>
      </c>
      <c r="R4" s="125" t="s">
        <v>107</v>
      </c>
      <c r="S4" s="126"/>
      <c r="T4" s="126"/>
    </row>
    <row r="5" spans="1:20" s="3" customFormat="1" ht="24.95" customHeight="1" thickBot="1" x14ac:dyDescent="0.35">
      <c r="A5" s="43" t="s">
        <v>7</v>
      </c>
      <c r="B5" s="48" t="s">
        <v>14</v>
      </c>
      <c r="C5" s="65" t="s">
        <v>41</v>
      </c>
      <c r="D5" s="63" t="s">
        <v>43</v>
      </c>
      <c r="E5" s="88" t="s">
        <v>45</v>
      </c>
      <c r="F5" s="63" t="s">
        <v>47</v>
      </c>
      <c r="G5" s="63" t="s">
        <v>49</v>
      </c>
      <c r="H5" s="63" t="s">
        <v>51</v>
      </c>
      <c r="I5" s="63" t="s">
        <v>53</v>
      </c>
      <c r="J5" s="63" t="s">
        <v>55</v>
      </c>
      <c r="K5" s="63" t="s">
        <v>59</v>
      </c>
      <c r="L5" s="63" t="s">
        <v>61</v>
      </c>
      <c r="M5" s="63" t="s">
        <v>63</v>
      </c>
      <c r="N5" s="63" t="s">
        <v>66</v>
      </c>
      <c r="O5" s="64" t="s">
        <v>67</v>
      </c>
      <c r="R5" s="126"/>
      <c r="S5" s="126"/>
      <c r="T5" s="126"/>
    </row>
    <row r="6" spans="1:20" ht="24.95" customHeight="1" thickBot="1" x14ac:dyDescent="0.35">
      <c r="A6" s="34"/>
      <c r="B6" s="49" t="s">
        <v>15</v>
      </c>
      <c r="C6" s="94">
        <v>85000</v>
      </c>
      <c r="D6" s="95">
        <v>85000</v>
      </c>
      <c r="E6" s="95">
        <v>85000</v>
      </c>
      <c r="F6" s="95">
        <v>87500</v>
      </c>
      <c r="G6" s="95">
        <v>87500</v>
      </c>
      <c r="H6" s="95">
        <v>87500</v>
      </c>
      <c r="I6" s="95">
        <v>87500</v>
      </c>
      <c r="J6" s="95">
        <v>92400</v>
      </c>
      <c r="K6" s="95">
        <v>92400</v>
      </c>
      <c r="L6" s="95">
        <v>92400</v>
      </c>
      <c r="M6" s="95">
        <v>92400</v>
      </c>
      <c r="N6" s="95">
        <v>92400</v>
      </c>
      <c r="O6" s="96">
        <f>SUM(C6:N6)</f>
        <v>1067000</v>
      </c>
      <c r="R6" s="126"/>
      <c r="S6" s="126"/>
      <c r="T6" s="126"/>
    </row>
    <row r="7" spans="1:20" ht="24.95" customHeight="1" thickBot="1" x14ac:dyDescent="0.35">
      <c r="A7" s="34"/>
      <c r="B7" s="49" t="s">
        <v>16</v>
      </c>
      <c r="C7" s="94">
        <f t="shared" ref="C7:N7" si="0">C6*0.27</f>
        <v>22950</v>
      </c>
      <c r="D7" s="95">
        <f t="shared" si="0"/>
        <v>22950</v>
      </c>
      <c r="E7" s="95">
        <f t="shared" si="0"/>
        <v>22950</v>
      </c>
      <c r="F7" s="95">
        <f t="shared" si="0"/>
        <v>23625</v>
      </c>
      <c r="G7" s="95">
        <f t="shared" si="0"/>
        <v>23625</v>
      </c>
      <c r="H7" s="95">
        <f t="shared" si="0"/>
        <v>23625</v>
      </c>
      <c r="I7" s="95">
        <f t="shared" si="0"/>
        <v>23625</v>
      </c>
      <c r="J7" s="95">
        <f t="shared" si="0"/>
        <v>24948</v>
      </c>
      <c r="K7" s="95">
        <f t="shared" si="0"/>
        <v>24948</v>
      </c>
      <c r="L7" s="95">
        <f t="shared" si="0"/>
        <v>24948</v>
      </c>
      <c r="M7" s="95">
        <f t="shared" si="0"/>
        <v>24948</v>
      </c>
      <c r="N7" s="95">
        <f t="shared" si="0"/>
        <v>24948</v>
      </c>
      <c r="O7" s="96">
        <f>SUM(C7:N7)</f>
        <v>288090</v>
      </c>
      <c r="R7" s="126"/>
      <c r="S7" s="126"/>
      <c r="T7" s="126"/>
    </row>
    <row r="8" spans="1:20" ht="24.95" customHeight="1" x14ac:dyDescent="0.3">
      <c r="A8" s="34"/>
      <c r="B8" s="50" t="s">
        <v>17</v>
      </c>
      <c r="C8" s="97">
        <f>SUBTOTAL(109,MitarbeiterPlan[Jan])</f>
        <v>107950</v>
      </c>
      <c r="D8" s="98">
        <f>SUBTOTAL(109,MitarbeiterPlan[Feb])</f>
        <v>107950</v>
      </c>
      <c r="E8" s="98">
        <f>SUBTOTAL(109,MitarbeiterPlan[Mrz])</f>
        <v>107950</v>
      </c>
      <c r="F8" s="98">
        <f>SUBTOTAL(109,MitarbeiterPlan[Apr])</f>
        <v>111125</v>
      </c>
      <c r="G8" s="98">
        <f>SUBTOTAL(109,MitarbeiterPlan[Mai])</f>
        <v>111125</v>
      </c>
      <c r="H8" s="98">
        <f>SUBTOTAL(109,MitarbeiterPlan[Jun])</f>
        <v>111125</v>
      </c>
      <c r="I8" s="98">
        <f>SUBTOTAL(109,MitarbeiterPlan[Jul])</f>
        <v>111125</v>
      </c>
      <c r="J8" s="98">
        <f>SUBTOTAL(109,MitarbeiterPlan[Aug])</f>
        <v>117348</v>
      </c>
      <c r="K8" s="98">
        <f>SUBTOTAL(109,MitarbeiterPlan[Sep])</f>
        <v>117348</v>
      </c>
      <c r="L8" s="98">
        <f>SUBTOTAL(109,MitarbeiterPlan[Okt])</f>
        <v>117348</v>
      </c>
      <c r="M8" s="98">
        <f>SUBTOTAL(109,MitarbeiterPlan[Nov])</f>
        <v>117348</v>
      </c>
      <c r="N8" s="98">
        <f>SUBTOTAL(109,MitarbeiterPlan[Dez])</f>
        <v>117348</v>
      </c>
      <c r="O8" s="99">
        <f>SUBTOTAL(109,MitarbeiterPlan[JAHR])</f>
        <v>1355090</v>
      </c>
      <c r="R8" s="126"/>
      <c r="S8" s="126"/>
      <c r="T8" s="126"/>
    </row>
    <row r="9" spans="1:20" ht="21" customHeight="1" thickBot="1" x14ac:dyDescent="0.35">
      <c r="A9" s="34"/>
      <c r="B9" s="128"/>
      <c r="C9" s="128"/>
      <c r="D9" s="145"/>
      <c r="E9" s="145"/>
      <c r="F9" s="145"/>
      <c r="G9" s="145"/>
      <c r="H9" s="145"/>
      <c r="I9" s="145"/>
      <c r="J9" s="145"/>
      <c r="K9" s="145"/>
      <c r="L9" s="145"/>
      <c r="M9" s="145"/>
      <c r="N9" s="145"/>
      <c r="O9" s="146"/>
      <c r="R9" s="126"/>
      <c r="S9" s="126"/>
      <c r="T9" s="126"/>
    </row>
    <row r="10" spans="1:20" ht="24.95" customHeight="1" thickBot="1" x14ac:dyDescent="0.35">
      <c r="A10" s="34" t="s">
        <v>8</v>
      </c>
      <c r="B10" s="59" t="s">
        <v>18</v>
      </c>
      <c r="C10" s="56" t="s">
        <v>41</v>
      </c>
      <c r="D10" s="57" t="s">
        <v>43</v>
      </c>
      <c r="E10" s="89" t="s">
        <v>45</v>
      </c>
      <c r="F10" s="57" t="s">
        <v>47</v>
      </c>
      <c r="G10" s="57" t="s">
        <v>49</v>
      </c>
      <c r="H10" s="57" t="s">
        <v>51</v>
      </c>
      <c r="I10" s="57" t="s">
        <v>53</v>
      </c>
      <c r="J10" s="57" t="s">
        <v>55</v>
      </c>
      <c r="K10" s="57" t="s">
        <v>59</v>
      </c>
      <c r="L10" s="57" t="s">
        <v>61</v>
      </c>
      <c r="M10" s="57" t="s">
        <v>63</v>
      </c>
      <c r="N10" s="57" t="s">
        <v>66</v>
      </c>
      <c r="O10" s="58" t="s">
        <v>67</v>
      </c>
      <c r="R10" s="126"/>
      <c r="S10" s="126"/>
      <c r="T10" s="126"/>
    </row>
    <row r="11" spans="1:20" ht="24.95" customHeight="1" thickBot="1" x14ac:dyDescent="0.35">
      <c r="A11" s="34"/>
      <c r="B11" s="85" t="s">
        <v>19</v>
      </c>
      <c r="C11" s="94">
        <v>9800</v>
      </c>
      <c r="D11" s="95">
        <v>9800</v>
      </c>
      <c r="E11" s="95">
        <v>9800</v>
      </c>
      <c r="F11" s="95">
        <v>9800</v>
      </c>
      <c r="G11" s="95">
        <v>9800</v>
      </c>
      <c r="H11" s="95">
        <v>9800</v>
      </c>
      <c r="I11" s="95">
        <v>9800</v>
      </c>
      <c r="J11" s="95">
        <v>9800</v>
      </c>
      <c r="K11" s="95">
        <v>9800</v>
      </c>
      <c r="L11" s="95">
        <v>9800</v>
      </c>
      <c r="M11" s="95">
        <v>9800</v>
      </c>
      <c r="N11" s="95">
        <v>9800</v>
      </c>
      <c r="O11" s="96">
        <f t="shared" ref="O11:O18" si="1">SUM(C11:N11)</f>
        <v>117600</v>
      </c>
      <c r="R11" s="126"/>
      <c r="S11" s="126"/>
      <c r="T11" s="126"/>
    </row>
    <row r="12" spans="1:20" ht="24.95" customHeight="1" thickBot="1" x14ac:dyDescent="0.35">
      <c r="A12" s="34"/>
      <c r="B12" s="85" t="s">
        <v>20</v>
      </c>
      <c r="C12" s="94"/>
      <c r="D12" s="95">
        <v>400</v>
      </c>
      <c r="E12" s="95">
        <v>400</v>
      </c>
      <c r="F12" s="95">
        <v>100</v>
      </c>
      <c r="G12" s="95">
        <v>100</v>
      </c>
      <c r="H12" s="95">
        <v>100</v>
      </c>
      <c r="I12" s="95">
        <v>100</v>
      </c>
      <c r="J12" s="95">
        <v>100</v>
      </c>
      <c r="K12" s="95">
        <v>100</v>
      </c>
      <c r="L12" s="95">
        <v>100</v>
      </c>
      <c r="M12" s="95">
        <v>400</v>
      </c>
      <c r="N12" s="95">
        <v>400</v>
      </c>
      <c r="O12" s="96">
        <f t="shared" si="1"/>
        <v>2300</v>
      </c>
      <c r="R12" s="126"/>
      <c r="S12" s="126"/>
      <c r="T12" s="126"/>
    </row>
    <row r="13" spans="1:20" ht="24.95" customHeight="1" thickBot="1" x14ac:dyDescent="0.35">
      <c r="A13" s="34"/>
      <c r="B13" s="85" t="s">
        <v>21</v>
      </c>
      <c r="C13" s="94">
        <v>300</v>
      </c>
      <c r="D13" s="95">
        <v>300</v>
      </c>
      <c r="E13" s="95">
        <v>300</v>
      </c>
      <c r="F13" s="95">
        <v>300</v>
      </c>
      <c r="G13" s="95">
        <v>300</v>
      </c>
      <c r="H13" s="95">
        <v>300</v>
      </c>
      <c r="I13" s="95">
        <v>300</v>
      </c>
      <c r="J13" s="95">
        <v>300</v>
      </c>
      <c r="K13" s="95">
        <v>300</v>
      </c>
      <c r="L13" s="95">
        <v>300</v>
      </c>
      <c r="M13" s="95">
        <v>300</v>
      </c>
      <c r="N13" s="95">
        <v>300</v>
      </c>
      <c r="O13" s="96">
        <f t="shared" si="1"/>
        <v>3600</v>
      </c>
      <c r="R13" s="126"/>
      <c r="S13" s="126"/>
      <c r="T13" s="126"/>
    </row>
    <row r="14" spans="1:20" ht="24.95" customHeight="1" thickBot="1" x14ac:dyDescent="0.35">
      <c r="A14" s="34"/>
      <c r="B14" s="85" t="s">
        <v>22</v>
      </c>
      <c r="C14" s="94">
        <v>40</v>
      </c>
      <c r="D14" s="95">
        <v>40</v>
      </c>
      <c r="E14" s="95">
        <v>40</v>
      </c>
      <c r="F14" s="95">
        <v>40</v>
      </c>
      <c r="G14" s="95">
        <v>40</v>
      </c>
      <c r="H14" s="95">
        <v>40</v>
      </c>
      <c r="I14" s="95">
        <v>40</v>
      </c>
      <c r="J14" s="95">
        <v>40</v>
      </c>
      <c r="K14" s="95">
        <v>40</v>
      </c>
      <c r="L14" s="95">
        <v>40</v>
      </c>
      <c r="M14" s="95">
        <v>40</v>
      </c>
      <c r="N14" s="95">
        <v>40</v>
      </c>
      <c r="O14" s="96">
        <f t="shared" si="1"/>
        <v>480</v>
      </c>
    </row>
    <row r="15" spans="1:20" ht="24.95" customHeight="1" thickBot="1" x14ac:dyDescent="0.35">
      <c r="A15" s="34"/>
      <c r="B15" s="85" t="s">
        <v>23</v>
      </c>
      <c r="C15" s="94">
        <v>250</v>
      </c>
      <c r="D15" s="95">
        <v>250</v>
      </c>
      <c r="E15" s="95">
        <v>250</v>
      </c>
      <c r="F15" s="95">
        <v>250</v>
      </c>
      <c r="G15" s="95">
        <v>250</v>
      </c>
      <c r="H15" s="95">
        <v>250</v>
      </c>
      <c r="I15" s="95">
        <v>250</v>
      </c>
      <c r="J15" s="95">
        <v>250</v>
      </c>
      <c r="K15" s="95">
        <v>250</v>
      </c>
      <c r="L15" s="95">
        <v>250</v>
      </c>
      <c r="M15" s="95">
        <v>250</v>
      </c>
      <c r="N15" s="95">
        <v>250</v>
      </c>
      <c r="O15" s="96">
        <f t="shared" si="1"/>
        <v>3000</v>
      </c>
    </row>
    <row r="16" spans="1:20" ht="24.95" customHeight="1" thickBot="1" x14ac:dyDescent="0.35">
      <c r="A16" s="34"/>
      <c r="B16" s="85" t="s">
        <v>24</v>
      </c>
      <c r="C16" s="94">
        <v>180</v>
      </c>
      <c r="D16" s="95">
        <v>180</v>
      </c>
      <c r="E16" s="95">
        <v>180</v>
      </c>
      <c r="F16" s="95">
        <v>180</v>
      </c>
      <c r="G16" s="95">
        <v>180</v>
      </c>
      <c r="H16" s="95">
        <v>180</v>
      </c>
      <c r="I16" s="95">
        <v>180</v>
      </c>
      <c r="J16" s="95">
        <v>180</v>
      </c>
      <c r="K16" s="95">
        <v>180</v>
      </c>
      <c r="L16" s="95">
        <v>180</v>
      </c>
      <c r="M16" s="95">
        <v>180</v>
      </c>
      <c r="N16" s="95">
        <v>180</v>
      </c>
      <c r="O16" s="96">
        <f t="shared" si="1"/>
        <v>2160</v>
      </c>
    </row>
    <row r="17" spans="1:15" ht="24.95" customHeight="1" thickBot="1" x14ac:dyDescent="0.35">
      <c r="A17" s="34"/>
      <c r="B17" s="85" t="s">
        <v>25</v>
      </c>
      <c r="C17" s="94">
        <v>200</v>
      </c>
      <c r="D17" s="95">
        <v>200</v>
      </c>
      <c r="E17" s="95">
        <v>200</v>
      </c>
      <c r="F17" s="95">
        <v>200</v>
      </c>
      <c r="G17" s="95">
        <v>200</v>
      </c>
      <c r="H17" s="95">
        <v>200</v>
      </c>
      <c r="I17" s="95">
        <v>200</v>
      </c>
      <c r="J17" s="95">
        <v>200</v>
      </c>
      <c r="K17" s="95">
        <v>200</v>
      </c>
      <c r="L17" s="95">
        <v>200</v>
      </c>
      <c r="M17" s="95">
        <v>200</v>
      </c>
      <c r="N17" s="95">
        <v>200</v>
      </c>
      <c r="O17" s="96">
        <f t="shared" si="1"/>
        <v>2400</v>
      </c>
    </row>
    <row r="18" spans="1:15" ht="24.95" customHeight="1" thickBot="1" x14ac:dyDescent="0.35">
      <c r="A18" s="34"/>
      <c r="B18" s="85" t="s">
        <v>26</v>
      </c>
      <c r="C18" s="94">
        <v>600</v>
      </c>
      <c r="D18" s="95">
        <v>600</v>
      </c>
      <c r="E18" s="95">
        <v>600</v>
      </c>
      <c r="F18" s="95">
        <v>600</v>
      </c>
      <c r="G18" s="95">
        <v>600</v>
      </c>
      <c r="H18" s="95">
        <v>600</v>
      </c>
      <c r="I18" s="95">
        <v>600</v>
      </c>
      <c r="J18" s="95">
        <v>600</v>
      </c>
      <c r="K18" s="95">
        <v>600</v>
      </c>
      <c r="L18" s="95">
        <v>600</v>
      </c>
      <c r="M18" s="95">
        <v>600</v>
      </c>
      <c r="N18" s="95">
        <v>600</v>
      </c>
      <c r="O18" s="96">
        <f t="shared" si="1"/>
        <v>7200</v>
      </c>
    </row>
    <row r="19" spans="1:15" ht="24.95" customHeight="1" thickBot="1" x14ac:dyDescent="0.35">
      <c r="A19" s="34"/>
      <c r="B19" s="66" t="s">
        <v>17</v>
      </c>
      <c r="C19" s="100">
        <f>SUBTOTAL(109,Büroplan[Jan])</f>
        <v>11370</v>
      </c>
      <c r="D19" s="101">
        <f>SUBTOTAL(109,Büroplan[Feb])</f>
        <v>11770</v>
      </c>
      <c r="E19" s="101">
        <f>SUBTOTAL(109,Büroplan[Mrz])</f>
        <v>11770</v>
      </c>
      <c r="F19" s="101">
        <f>SUBTOTAL(109,Büroplan[Apr])</f>
        <v>11470</v>
      </c>
      <c r="G19" s="101">
        <f>SUBTOTAL(109,Büroplan[Mai])</f>
        <v>11470</v>
      </c>
      <c r="H19" s="101">
        <f>SUBTOTAL(109,Büroplan[Jun])</f>
        <v>11470</v>
      </c>
      <c r="I19" s="101">
        <f>SUBTOTAL(109,Büroplan[Jul])</f>
        <v>11470</v>
      </c>
      <c r="J19" s="101">
        <f>SUBTOTAL(109,Büroplan[Aug])</f>
        <v>11470</v>
      </c>
      <c r="K19" s="101">
        <f>SUBTOTAL(109,Büroplan[Sep])</f>
        <v>11470</v>
      </c>
      <c r="L19" s="101">
        <f>SUBTOTAL(109,Büroplan[Okt])</f>
        <v>11470</v>
      </c>
      <c r="M19" s="101">
        <f>SUBTOTAL(109,Büroplan[Nov])</f>
        <v>11770</v>
      </c>
      <c r="N19" s="101">
        <f>SUBTOTAL(109,Büroplan[Dez])</f>
        <v>11770</v>
      </c>
      <c r="O19" s="102">
        <f>SUBTOTAL(109,Büroplan[JAHR])</f>
        <v>138740</v>
      </c>
    </row>
    <row r="20" spans="1:15" ht="21" customHeight="1" x14ac:dyDescent="0.3">
      <c r="A20" s="34"/>
      <c r="B20" s="129"/>
      <c r="C20" s="129"/>
      <c r="D20" s="145"/>
      <c r="E20" s="145"/>
      <c r="F20" s="147"/>
      <c r="G20" s="147"/>
      <c r="H20" s="147"/>
      <c r="I20" s="147"/>
      <c r="J20" s="147"/>
      <c r="K20" s="147"/>
      <c r="L20" s="147"/>
      <c r="M20" s="147"/>
      <c r="N20" s="147"/>
      <c r="O20" s="146"/>
    </row>
    <row r="21" spans="1:15" ht="24.95" customHeight="1" thickBot="1" x14ac:dyDescent="0.35">
      <c r="A21" s="34" t="s">
        <v>9</v>
      </c>
      <c r="B21" s="60" t="s">
        <v>27</v>
      </c>
      <c r="C21" s="53" t="s">
        <v>41</v>
      </c>
      <c r="D21" s="53" t="s">
        <v>43</v>
      </c>
      <c r="E21" s="90" t="s">
        <v>45</v>
      </c>
      <c r="F21" s="53" t="s">
        <v>47</v>
      </c>
      <c r="G21" s="53" t="s">
        <v>49</v>
      </c>
      <c r="H21" s="53" t="s">
        <v>51</v>
      </c>
      <c r="I21" s="53" t="s">
        <v>53</v>
      </c>
      <c r="J21" s="53" t="s">
        <v>55</v>
      </c>
      <c r="K21" s="53" t="s">
        <v>59</v>
      </c>
      <c r="L21" s="53" t="s">
        <v>61</v>
      </c>
      <c r="M21" s="53" t="s">
        <v>63</v>
      </c>
      <c r="N21" s="53" t="s">
        <v>66</v>
      </c>
      <c r="O21" s="54" t="s">
        <v>67</v>
      </c>
    </row>
    <row r="22" spans="1:15" ht="24.95" customHeight="1" thickBot="1" x14ac:dyDescent="0.35">
      <c r="A22" s="34"/>
      <c r="B22" s="49" t="s">
        <v>28</v>
      </c>
      <c r="C22" s="103">
        <v>500</v>
      </c>
      <c r="D22" s="104">
        <v>500</v>
      </c>
      <c r="E22" s="104">
        <v>500</v>
      </c>
      <c r="F22" s="104">
        <v>500</v>
      </c>
      <c r="G22" s="104">
        <v>500</v>
      </c>
      <c r="H22" s="104">
        <v>500</v>
      </c>
      <c r="I22" s="104">
        <v>500</v>
      </c>
      <c r="J22" s="104">
        <v>500</v>
      </c>
      <c r="K22" s="104">
        <v>500</v>
      </c>
      <c r="L22" s="104">
        <v>500</v>
      </c>
      <c r="M22" s="104">
        <v>500</v>
      </c>
      <c r="N22" s="104">
        <v>500</v>
      </c>
      <c r="O22" s="96">
        <f t="shared" ref="O22:O27" si="2">SUM(C22:N22)</f>
        <v>6000</v>
      </c>
    </row>
    <row r="23" spans="1:15" ht="24.95" customHeight="1" thickBot="1" x14ac:dyDescent="0.35">
      <c r="A23" s="34"/>
      <c r="B23" s="49" t="s">
        <v>29</v>
      </c>
      <c r="C23" s="103">
        <v>200</v>
      </c>
      <c r="D23" s="104">
        <v>200</v>
      </c>
      <c r="E23" s="104">
        <v>200</v>
      </c>
      <c r="F23" s="104">
        <v>200</v>
      </c>
      <c r="G23" s="104">
        <v>200</v>
      </c>
      <c r="H23" s="104">
        <v>1000</v>
      </c>
      <c r="I23" s="104">
        <v>200</v>
      </c>
      <c r="J23" s="104">
        <v>200</v>
      </c>
      <c r="K23" s="104">
        <v>200</v>
      </c>
      <c r="L23" s="104">
        <v>200</v>
      </c>
      <c r="M23" s="104">
        <v>200</v>
      </c>
      <c r="N23" s="104">
        <v>1000</v>
      </c>
      <c r="O23" s="96">
        <f t="shared" si="2"/>
        <v>4000</v>
      </c>
    </row>
    <row r="24" spans="1:15" ht="24.95" customHeight="1" thickBot="1" x14ac:dyDescent="0.35">
      <c r="A24" s="34"/>
      <c r="B24" s="49" t="s">
        <v>30</v>
      </c>
      <c r="C24" s="103">
        <v>5000</v>
      </c>
      <c r="D24" s="104">
        <v>0</v>
      </c>
      <c r="E24" s="104">
        <v>0</v>
      </c>
      <c r="F24" s="104">
        <v>5000</v>
      </c>
      <c r="G24" s="104">
        <v>0</v>
      </c>
      <c r="H24" s="104">
        <v>0</v>
      </c>
      <c r="I24" s="104">
        <v>5000</v>
      </c>
      <c r="J24" s="104">
        <v>0</v>
      </c>
      <c r="K24" s="104">
        <v>0</v>
      </c>
      <c r="L24" s="104">
        <v>5000</v>
      </c>
      <c r="M24" s="104">
        <v>0</v>
      </c>
      <c r="N24" s="104">
        <v>0</v>
      </c>
      <c r="O24" s="96">
        <f t="shared" si="2"/>
        <v>20000</v>
      </c>
    </row>
    <row r="25" spans="1:15" ht="24.95" customHeight="1" thickBot="1" x14ac:dyDescent="0.35">
      <c r="A25" s="34"/>
      <c r="B25" s="49" t="s">
        <v>31</v>
      </c>
      <c r="C25" s="103">
        <v>200</v>
      </c>
      <c r="D25" s="104">
        <v>200</v>
      </c>
      <c r="E25" s="104">
        <v>200</v>
      </c>
      <c r="F25" s="104">
        <v>200</v>
      </c>
      <c r="G25" s="104">
        <v>200</v>
      </c>
      <c r="H25" s="104">
        <v>200</v>
      </c>
      <c r="I25" s="104">
        <v>200</v>
      </c>
      <c r="J25" s="104">
        <v>200</v>
      </c>
      <c r="K25" s="104">
        <v>200</v>
      </c>
      <c r="L25" s="104">
        <v>200</v>
      </c>
      <c r="M25" s="104">
        <v>200</v>
      </c>
      <c r="N25" s="104">
        <v>200</v>
      </c>
      <c r="O25" s="96">
        <f t="shared" si="2"/>
        <v>2400</v>
      </c>
    </row>
    <row r="26" spans="1:15" ht="24.95" customHeight="1" thickBot="1" x14ac:dyDescent="0.35">
      <c r="A26" s="34"/>
      <c r="B26" s="49" t="s">
        <v>32</v>
      </c>
      <c r="C26" s="103">
        <v>2000</v>
      </c>
      <c r="D26" s="104">
        <v>2000</v>
      </c>
      <c r="E26" s="104">
        <v>2000</v>
      </c>
      <c r="F26" s="104">
        <v>5000</v>
      </c>
      <c r="G26" s="104">
        <v>2000</v>
      </c>
      <c r="H26" s="104">
        <v>2000</v>
      </c>
      <c r="I26" s="104">
        <v>2000</v>
      </c>
      <c r="J26" s="104">
        <v>5000</v>
      </c>
      <c r="K26" s="104">
        <v>2000</v>
      </c>
      <c r="L26" s="104">
        <v>2000</v>
      </c>
      <c r="M26" s="104">
        <v>2000</v>
      </c>
      <c r="N26" s="104">
        <v>5000</v>
      </c>
      <c r="O26" s="96">
        <f t="shared" si="2"/>
        <v>33000</v>
      </c>
    </row>
    <row r="27" spans="1:15" ht="24.95" customHeight="1" thickBot="1" x14ac:dyDescent="0.35">
      <c r="A27" s="34"/>
      <c r="B27" s="49" t="s">
        <v>33</v>
      </c>
      <c r="C27" s="103">
        <v>200</v>
      </c>
      <c r="D27" s="104">
        <v>200</v>
      </c>
      <c r="E27" s="104">
        <v>200</v>
      </c>
      <c r="F27" s="104">
        <v>200</v>
      </c>
      <c r="G27" s="104">
        <v>200</v>
      </c>
      <c r="H27" s="104">
        <v>200</v>
      </c>
      <c r="I27" s="104">
        <v>200</v>
      </c>
      <c r="J27" s="104">
        <v>200</v>
      </c>
      <c r="K27" s="104">
        <v>200</v>
      </c>
      <c r="L27" s="104">
        <v>200</v>
      </c>
      <c r="M27" s="104">
        <v>200</v>
      </c>
      <c r="N27" s="104">
        <v>200</v>
      </c>
      <c r="O27" s="96">
        <f t="shared" si="2"/>
        <v>2400</v>
      </c>
    </row>
    <row r="28" spans="1:15" ht="24.95" customHeight="1" x14ac:dyDescent="0.3">
      <c r="A28" s="34"/>
      <c r="B28" s="51" t="s">
        <v>17</v>
      </c>
      <c r="C28" s="97">
        <f>SUBTOTAL(109,MarketingPlan[Jan])</f>
        <v>8100</v>
      </c>
      <c r="D28" s="98">
        <f>SUBTOTAL(109,MarketingPlan[Feb])</f>
        <v>3100</v>
      </c>
      <c r="E28" s="98">
        <f>SUBTOTAL(109,MarketingPlan[Mrz])</f>
        <v>3100</v>
      </c>
      <c r="F28" s="98">
        <f>SUBTOTAL(109,MarketingPlan[Apr])</f>
        <v>11100</v>
      </c>
      <c r="G28" s="98">
        <f>SUBTOTAL(109,MarketingPlan[Mai])</f>
        <v>3100</v>
      </c>
      <c r="H28" s="98">
        <f>SUBTOTAL(109,MarketingPlan[Jun])</f>
        <v>3900</v>
      </c>
      <c r="I28" s="98">
        <f>SUBTOTAL(109,MarketingPlan[Jul])</f>
        <v>8100</v>
      </c>
      <c r="J28" s="98">
        <f>SUBTOTAL(109,MarketingPlan[Aug])</f>
        <v>6100</v>
      </c>
      <c r="K28" s="98">
        <f>SUBTOTAL(109,MarketingPlan[Sep])</f>
        <v>3100</v>
      </c>
      <c r="L28" s="98">
        <f>SUBTOTAL(109,MarketingPlan[Okt])</f>
        <v>8100</v>
      </c>
      <c r="M28" s="98">
        <f>SUBTOTAL(109,MarketingPlan[Nov])</f>
        <v>3100</v>
      </c>
      <c r="N28" s="98">
        <f>SUBTOTAL(109,MarketingPlan[Dez])</f>
        <v>6900</v>
      </c>
      <c r="O28" s="99">
        <f>SUBTOTAL(109,MarketingPlan[JAHR])</f>
        <v>67800</v>
      </c>
    </row>
    <row r="29" spans="1:15" ht="21" customHeight="1" x14ac:dyDescent="0.3">
      <c r="A29" s="34"/>
      <c r="B29" s="128"/>
      <c r="C29" s="128"/>
      <c r="D29" s="147"/>
      <c r="E29" s="147"/>
      <c r="F29" s="147"/>
      <c r="G29" s="147"/>
      <c r="H29" s="147"/>
      <c r="I29" s="147"/>
      <c r="J29" s="147"/>
      <c r="K29" s="147"/>
      <c r="L29" s="147"/>
      <c r="M29" s="147"/>
      <c r="N29" s="147"/>
      <c r="O29" s="146"/>
    </row>
    <row r="30" spans="1:15" ht="21" customHeight="1" thickBot="1" x14ac:dyDescent="0.35">
      <c r="A30" s="34" t="s">
        <v>10</v>
      </c>
      <c r="B30" s="61" t="s">
        <v>34</v>
      </c>
      <c r="C30" s="53" t="s">
        <v>41</v>
      </c>
      <c r="D30" s="53" t="s">
        <v>43</v>
      </c>
      <c r="E30" s="90" t="s">
        <v>45</v>
      </c>
      <c r="F30" s="53" t="s">
        <v>47</v>
      </c>
      <c r="G30" s="53" t="s">
        <v>49</v>
      </c>
      <c r="H30" s="53" t="s">
        <v>51</v>
      </c>
      <c r="I30" s="53" t="s">
        <v>53</v>
      </c>
      <c r="J30" s="53" t="s">
        <v>55</v>
      </c>
      <c r="K30" s="53" t="s">
        <v>59</v>
      </c>
      <c r="L30" s="53" t="s">
        <v>61</v>
      </c>
      <c r="M30" s="53" t="s">
        <v>63</v>
      </c>
      <c r="N30" s="53" t="s">
        <v>66</v>
      </c>
      <c r="O30" s="54" t="s">
        <v>67</v>
      </c>
    </row>
    <row r="31" spans="1:15" ht="21" customHeight="1" thickBot="1" x14ac:dyDescent="0.35">
      <c r="A31" s="34"/>
      <c r="B31" s="49" t="s">
        <v>35</v>
      </c>
      <c r="C31" s="103">
        <v>2000</v>
      </c>
      <c r="D31" s="104">
        <v>2000</v>
      </c>
      <c r="E31" s="104">
        <v>2000</v>
      </c>
      <c r="F31" s="104">
        <v>2000</v>
      </c>
      <c r="G31" s="104">
        <v>2000</v>
      </c>
      <c r="H31" s="104">
        <v>2000</v>
      </c>
      <c r="I31" s="104">
        <v>2000</v>
      </c>
      <c r="J31" s="104">
        <v>2000</v>
      </c>
      <c r="K31" s="104">
        <v>2000</v>
      </c>
      <c r="L31" s="104">
        <v>2000</v>
      </c>
      <c r="M31" s="104">
        <v>2000</v>
      </c>
      <c r="N31" s="104">
        <v>2000</v>
      </c>
      <c r="O31" s="105">
        <f>SUM(C31:N31)</f>
        <v>24000</v>
      </c>
    </row>
    <row r="32" spans="1:15" ht="21" customHeight="1" thickBot="1" x14ac:dyDescent="0.35">
      <c r="A32" s="34"/>
      <c r="B32" s="49" t="s">
        <v>36</v>
      </c>
      <c r="C32" s="103">
        <v>2000</v>
      </c>
      <c r="D32" s="104">
        <v>2000</v>
      </c>
      <c r="E32" s="104">
        <v>2000</v>
      </c>
      <c r="F32" s="104">
        <v>2000</v>
      </c>
      <c r="G32" s="104">
        <v>2000</v>
      </c>
      <c r="H32" s="104">
        <v>2000</v>
      </c>
      <c r="I32" s="104">
        <v>2000</v>
      </c>
      <c r="J32" s="104">
        <v>2000</v>
      </c>
      <c r="K32" s="104">
        <v>2000</v>
      </c>
      <c r="L32" s="104">
        <v>2000</v>
      </c>
      <c r="M32" s="104">
        <v>2000</v>
      </c>
      <c r="N32" s="104">
        <v>2000</v>
      </c>
      <c r="O32" s="105">
        <f>SUM(C32:N32)</f>
        <v>24000</v>
      </c>
    </row>
    <row r="33" spans="1:15" ht="21" customHeight="1" x14ac:dyDescent="0.3">
      <c r="A33" s="34"/>
      <c r="B33" s="51" t="s">
        <v>17</v>
      </c>
      <c r="C33" s="106">
        <f>SUBTOTAL(109,SchulungsUndReisePlan[Jan])</f>
        <v>4000</v>
      </c>
      <c r="D33" s="107">
        <f>SUBTOTAL(109,SchulungsUndReisePlan[Feb])</f>
        <v>4000</v>
      </c>
      <c r="E33" s="107">
        <f>SUBTOTAL(109,SchulungsUndReisePlan[Mrz])</f>
        <v>4000</v>
      </c>
      <c r="F33" s="107">
        <f>SUBTOTAL(109,SchulungsUndReisePlan[Apr])</f>
        <v>4000</v>
      </c>
      <c r="G33" s="107">
        <f>SUBTOTAL(109,SchulungsUndReisePlan[Mai])</f>
        <v>4000</v>
      </c>
      <c r="H33" s="107">
        <f>SUBTOTAL(109,SchulungsUndReisePlan[Jun])</f>
        <v>4000</v>
      </c>
      <c r="I33" s="107">
        <f>SUBTOTAL(109,SchulungsUndReisePlan[Jul])</f>
        <v>4000</v>
      </c>
      <c r="J33" s="107">
        <f>SUBTOTAL(109,SchulungsUndReisePlan[Aug])</f>
        <v>4000</v>
      </c>
      <c r="K33" s="107">
        <f>SUBTOTAL(109,SchulungsUndReisePlan[Sep])</f>
        <v>4000</v>
      </c>
      <c r="L33" s="107">
        <f>SUBTOTAL(109,SchulungsUndReisePlan[Okt])</f>
        <v>4000</v>
      </c>
      <c r="M33" s="107">
        <f>SUBTOTAL(109,SchulungsUndReisePlan[Nov])</f>
        <v>4000</v>
      </c>
      <c r="N33" s="107">
        <f>SUBTOTAL(109,SchulungsUndReisePlan[Dez])</f>
        <v>4000</v>
      </c>
      <c r="O33" s="108">
        <f>SUBTOTAL(109,SchulungsUndReisePlan[JAHR])</f>
        <v>48000</v>
      </c>
    </row>
    <row r="34" spans="1:15" ht="21" customHeight="1" x14ac:dyDescent="0.3">
      <c r="A34" s="34"/>
      <c r="B34" s="128"/>
      <c r="C34" s="128"/>
      <c r="D34" s="146"/>
      <c r="E34" s="146"/>
      <c r="F34" s="146"/>
      <c r="G34" s="146"/>
      <c r="H34" s="146"/>
      <c r="I34" s="146"/>
      <c r="J34" s="146"/>
      <c r="K34" s="146"/>
      <c r="L34" s="146"/>
      <c r="M34" s="146"/>
      <c r="N34" s="146"/>
      <c r="O34" s="146"/>
    </row>
    <row r="35" spans="1:15" ht="24.95" customHeight="1" thickBot="1" x14ac:dyDescent="0.35">
      <c r="A35" s="34" t="s">
        <v>11</v>
      </c>
      <c r="B35" s="25" t="s">
        <v>37</v>
      </c>
      <c r="C35" s="27" t="s">
        <v>41</v>
      </c>
      <c r="D35" s="27" t="s">
        <v>43</v>
      </c>
      <c r="E35" s="27" t="s">
        <v>45</v>
      </c>
      <c r="F35" s="27" t="s">
        <v>47</v>
      </c>
      <c r="G35" s="27" t="s">
        <v>49</v>
      </c>
      <c r="H35" s="27" t="s">
        <v>51</v>
      </c>
      <c r="I35" s="27" t="s">
        <v>53</v>
      </c>
      <c r="J35" s="27" t="s">
        <v>55</v>
      </c>
      <c r="K35" s="27" t="s">
        <v>59</v>
      </c>
      <c r="L35" s="27" t="s">
        <v>61</v>
      </c>
      <c r="M35" s="27" t="s">
        <v>63</v>
      </c>
      <c r="N35" s="27" t="s">
        <v>66</v>
      </c>
      <c r="O35" s="27" t="s">
        <v>68</v>
      </c>
    </row>
    <row r="36" spans="1:15" ht="24.95" customHeight="1" thickBot="1" x14ac:dyDescent="0.35">
      <c r="A36" s="34"/>
      <c r="B36" s="26" t="s">
        <v>38</v>
      </c>
      <c r="C36" s="109">
        <f>SchulungsUndReisePlan[[#Totals],[Jan]]+MarketingPlan[[#Totals],[Jan]]+Büroplan[[#Totals],[Jan]]+MitarbeiterPlan[[#Totals],[Jan]]</f>
        <v>131420</v>
      </c>
      <c r="D36" s="109">
        <f>SchulungsUndReisePlan[[#Totals],[Feb]]+MarketingPlan[[#Totals],[Feb]]+Büroplan[[#Totals],[Feb]]+MitarbeiterPlan[[#Totals],[Feb]]</f>
        <v>126820</v>
      </c>
      <c r="E36" s="109">
        <f>SchulungsUndReisePlan[[#Totals],[Mrz]]+MarketingPlan[[#Totals],[Mrz]]+Büroplan[[#Totals],[Mrz]]+MitarbeiterPlan[[#Totals],[Mrz]]</f>
        <v>126820</v>
      </c>
      <c r="F36" s="109">
        <f>SchulungsUndReisePlan[[#Totals],[Apr]]+MarketingPlan[[#Totals],[Apr]]+Büroplan[[#Totals],[Apr]]+MitarbeiterPlan[[#Totals],[Apr]]</f>
        <v>137695</v>
      </c>
      <c r="G36" s="109">
        <f>SchulungsUndReisePlan[[#Totals],[Mai]]+MarketingPlan[[#Totals],[Mai]]+Büroplan[[#Totals],[Mai]]+MitarbeiterPlan[[#Totals],[Mai]]</f>
        <v>129695</v>
      </c>
      <c r="H36" s="109">
        <f>SchulungsUndReisePlan[[#Totals],[Jun]]+MarketingPlan[[#Totals],[Jun]]+Büroplan[[#Totals],[Jun]]+MitarbeiterPlan[[#Totals],[Jun]]</f>
        <v>130495</v>
      </c>
      <c r="I36" s="110">
        <f>SchulungsUndReisePlan[[#Totals],[Jul]]+MarketingPlan[[#Totals],[Jul]]+Büroplan[[#Totals],[Jul]]+MitarbeiterPlan[[#Totals],[Jul]]</f>
        <v>134695</v>
      </c>
      <c r="J36" s="109">
        <f>SchulungsUndReisePlan[[#Totals],[Aug]]+MarketingPlan[[#Totals],[Aug]]+Büroplan[[#Totals],[Aug]]+MitarbeiterPlan[[#Totals],[Aug]]</f>
        <v>138918</v>
      </c>
      <c r="K36" s="109">
        <f>SchulungsUndReisePlan[[#Totals],[Sep]]+MarketingPlan[[#Totals],[Sep]]+Büroplan[[#Totals],[Sep]]+MitarbeiterPlan[[#Totals],[Sep]]</f>
        <v>135918</v>
      </c>
      <c r="L36" s="109">
        <f>SchulungsUndReisePlan[[#Totals],[Okt]]+MarketingPlan[[#Totals],[Okt]]+Büroplan[[#Totals],[Okt]]+MitarbeiterPlan[[#Totals],[Okt]]</f>
        <v>140918</v>
      </c>
      <c r="M36" s="109">
        <f>SchulungsUndReisePlan[[#Totals],[Nov]]+MarketingPlan[[#Totals],[Nov]]+Büroplan[[#Totals],[Nov]]+MitarbeiterPlan[[#Totals],[Nov]]</f>
        <v>136218</v>
      </c>
      <c r="N36" s="109">
        <f>SchulungsUndReisePlan[[#Totals],[Dez]]+MarketingPlan[[#Totals],[Dez]]+Büroplan[[#Totals],[Dez]]+MitarbeiterPlan[[#Totals],[Dez]]</f>
        <v>140018</v>
      </c>
      <c r="O36" s="109">
        <f>SchulungsUndReisePlan[[#Totals],[JAHR]]+MarketingPlan[[#Totals],[JAHR]]+Büroplan[[#Totals],[JAHR]]+MitarbeiterPlan[[#Totals],[JAHR]]</f>
        <v>1609630</v>
      </c>
    </row>
    <row r="37" spans="1:15" ht="24.95" customHeight="1" x14ac:dyDescent="0.3">
      <c r="A37" s="34"/>
      <c r="B37" s="26" t="s">
        <v>39</v>
      </c>
      <c r="C37" s="109">
        <f>SUM($C$36:C36)</f>
        <v>131420</v>
      </c>
      <c r="D37" s="109">
        <f>SUM($C$36:D36)</f>
        <v>258240</v>
      </c>
      <c r="E37" s="109">
        <f>SUM($C$36:E36)</f>
        <v>385060</v>
      </c>
      <c r="F37" s="109">
        <f>SUM($C$36:F36)</f>
        <v>522755</v>
      </c>
      <c r="G37" s="109">
        <f>SUM($C$36:G36)</f>
        <v>652450</v>
      </c>
      <c r="H37" s="109">
        <f>SUM($C$36:H36)</f>
        <v>782945</v>
      </c>
      <c r="I37" s="109">
        <f>SUM($C$36:I36)</f>
        <v>917640</v>
      </c>
      <c r="J37" s="109">
        <f>SUM($C$36:J36)</f>
        <v>1056558</v>
      </c>
      <c r="K37" s="109">
        <f>SUM($C$36:K36)</f>
        <v>1192476</v>
      </c>
      <c r="L37" s="109">
        <f>SUM($C$36:L36)</f>
        <v>1333394</v>
      </c>
      <c r="M37" s="109">
        <f>SUM($C$36:M36)</f>
        <v>1469612</v>
      </c>
      <c r="N37" s="109">
        <f>SUM($C$36:N36)</f>
        <v>1609630</v>
      </c>
      <c r="O37" s="109"/>
    </row>
    <row r="38" spans="1:15" ht="21" customHeight="1" x14ac:dyDescent="0.3">
      <c r="A38" s="34"/>
      <c r="N38" s="3"/>
      <c r="O38" s="3"/>
    </row>
  </sheetData>
  <mergeCells count="9">
    <mergeCell ref="R4:T13"/>
    <mergeCell ref="N2:O3"/>
    <mergeCell ref="B34:C34"/>
    <mergeCell ref="B29:C29"/>
    <mergeCell ref="B20:C20"/>
    <mergeCell ref="B9:C9"/>
    <mergeCell ref="B2:D3"/>
    <mergeCell ref="J2:M2"/>
    <mergeCell ref="J3:M3"/>
  </mergeCells>
  <printOptions horizontalCentered="1"/>
  <pageMargins left="0.4" right="0.4" top="0.4" bottom="0.4" header="0.3" footer="0.3"/>
  <pageSetup paperSize="9" fitToHeight="0" orientation="landscape" r:id="rId1"/>
  <headerFooter differentFirst="1">
    <oddFooter>Page &amp;P of &amp;N</oddFooter>
  </headerFooter>
  <ignoredErrors>
    <ignoredError sqref="C6:N6 C36:O37" calculatedColumn="1"/>
    <ignoredError sqref="O12" emptyCellReference="1"/>
  </ignoredErrors>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3B893D"/>
    <pageSetUpPr autoPageBreaks="0" fitToPage="1"/>
  </sheetPr>
  <dimension ref="A1:P41"/>
  <sheetViews>
    <sheetView showGridLines="0" zoomScaleNormal="100" workbookViewId="0"/>
  </sheetViews>
  <sheetFormatPr baseColWidth="10" defaultColWidth="9.140625" defaultRowHeight="21" customHeight="1" x14ac:dyDescent="0.3"/>
  <cols>
    <col min="1" max="1" width="4.7109375" style="1" customWidth="1"/>
    <col min="2" max="2" width="41.7109375" style="4" customWidth="1"/>
    <col min="3" max="14" width="14.7109375" style="4" customWidth="1"/>
    <col min="15" max="15" width="16.28515625" style="4" customWidth="1"/>
    <col min="16" max="16" width="4.7109375" style="1" customWidth="1"/>
    <col min="17" max="16384" width="9.140625" style="4"/>
  </cols>
  <sheetData>
    <row r="1" spans="1:16" s="1" customFormat="1" ht="24" customHeight="1" x14ac:dyDescent="0.3">
      <c r="A1" s="35" t="s">
        <v>70</v>
      </c>
      <c r="B1" s="10"/>
      <c r="C1" s="10"/>
      <c r="D1" s="10"/>
      <c r="E1" s="10"/>
      <c r="F1" s="7"/>
      <c r="G1" s="7"/>
      <c r="H1" s="7"/>
      <c r="I1" s="7"/>
      <c r="J1" s="7"/>
      <c r="K1" s="7"/>
      <c r="L1" s="7"/>
      <c r="M1" s="7"/>
      <c r="N1" s="7"/>
      <c r="O1" s="7"/>
      <c r="P1" s="67" t="s">
        <v>69</v>
      </c>
    </row>
    <row r="2" spans="1:16" s="1" customFormat="1" ht="45" customHeight="1" x14ac:dyDescent="0.35">
      <c r="A2" s="33" t="s">
        <v>91</v>
      </c>
      <c r="B2" s="130" t="str">
        <f>'GEPLANTE KOSTEN'!B2:D3</f>
        <v>Firmenname</v>
      </c>
      <c r="C2" s="130"/>
      <c r="D2" s="130"/>
      <c r="E2" s="143"/>
      <c r="F2" s="8"/>
      <c r="G2" s="8"/>
      <c r="H2" s="8"/>
      <c r="I2" s="8"/>
      <c r="J2" s="131" t="str">
        <f>Arbeitsblatt_Titel</f>
        <v>Detaillierte Kostenschätzungen</v>
      </c>
      <c r="K2" s="131"/>
      <c r="L2" s="131"/>
      <c r="M2" s="131"/>
      <c r="N2" s="127" t="s">
        <v>64</v>
      </c>
      <c r="O2" s="127"/>
      <c r="P2" s="7"/>
    </row>
    <row r="3" spans="1:16" s="1" customFormat="1" ht="30" customHeight="1" x14ac:dyDescent="0.3">
      <c r="A3" s="33" t="s">
        <v>90</v>
      </c>
      <c r="B3" s="130"/>
      <c r="C3" s="130"/>
      <c r="D3" s="130"/>
      <c r="E3" s="144"/>
      <c r="F3" s="9"/>
      <c r="G3" s="9"/>
      <c r="H3" s="9"/>
      <c r="I3" s="9"/>
      <c r="J3" s="133" t="s">
        <v>57</v>
      </c>
      <c r="K3" s="133"/>
      <c r="L3" s="133"/>
      <c r="M3" s="133"/>
      <c r="N3" s="127"/>
      <c r="O3" s="127"/>
      <c r="P3" s="7"/>
    </row>
    <row r="4" spans="1:16" s="22" customFormat="1" ht="49.5" customHeight="1" x14ac:dyDescent="0.3">
      <c r="A4" s="36" t="s">
        <v>71</v>
      </c>
      <c r="B4" s="23" t="s">
        <v>72</v>
      </c>
      <c r="C4" s="24" t="s">
        <v>40</v>
      </c>
      <c r="D4" s="24" t="s">
        <v>42</v>
      </c>
      <c r="E4" s="24" t="s">
        <v>44</v>
      </c>
      <c r="F4" s="24" t="s">
        <v>46</v>
      </c>
      <c r="G4" s="24" t="s">
        <v>48</v>
      </c>
      <c r="H4" s="24" t="s">
        <v>50</v>
      </c>
      <c r="I4" s="24" t="s">
        <v>52</v>
      </c>
      <c r="J4" s="24" t="s">
        <v>54</v>
      </c>
      <c r="K4" s="24" t="s">
        <v>58</v>
      </c>
      <c r="L4" s="24" t="s">
        <v>60</v>
      </c>
      <c r="M4" s="24" t="s">
        <v>62</v>
      </c>
      <c r="N4" s="24" t="s">
        <v>65</v>
      </c>
      <c r="O4" s="24" t="s">
        <v>67</v>
      </c>
    </row>
    <row r="5" spans="1:16" s="5" customFormat="1" ht="24.95" customHeight="1" thickBot="1" x14ac:dyDescent="0.35">
      <c r="A5" s="43" t="s">
        <v>95</v>
      </c>
      <c r="B5" s="48" t="s">
        <v>14</v>
      </c>
      <c r="C5" s="72" t="s">
        <v>41</v>
      </c>
      <c r="D5" s="68" t="s">
        <v>43</v>
      </c>
      <c r="E5" s="91" t="s">
        <v>45</v>
      </c>
      <c r="F5" s="68" t="s">
        <v>47</v>
      </c>
      <c r="G5" s="68" t="s">
        <v>49</v>
      </c>
      <c r="H5" s="68" t="s">
        <v>51</v>
      </c>
      <c r="I5" s="68" t="s">
        <v>53</v>
      </c>
      <c r="J5" s="68" t="s">
        <v>55</v>
      </c>
      <c r="K5" s="68" t="s">
        <v>59</v>
      </c>
      <c r="L5" s="68" t="s">
        <v>61</v>
      </c>
      <c r="M5" s="68" t="s">
        <v>63</v>
      </c>
      <c r="N5" s="68" t="s">
        <v>66</v>
      </c>
      <c r="O5" s="69" t="s">
        <v>67</v>
      </c>
      <c r="P5" s="3"/>
    </row>
    <row r="6" spans="1:16" s="5" customFormat="1" ht="24.95" customHeight="1" thickBot="1" x14ac:dyDescent="0.35">
      <c r="A6" s="34"/>
      <c r="B6" s="49" t="s">
        <v>15</v>
      </c>
      <c r="C6" s="103">
        <v>85000</v>
      </c>
      <c r="D6" s="104">
        <v>85000</v>
      </c>
      <c r="E6" s="104">
        <v>85000</v>
      </c>
      <c r="F6" s="104">
        <v>88000</v>
      </c>
      <c r="G6" s="104">
        <v>88000</v>
      </c>
      <c r="H6" s="104">
        <v>88000</v>
      </c>
      <c r="I6" s="104"/>
      <c r="J6" s="104"/>
      <c r="K6" s="104"/>
      <c r="L6" s="104"/>
      <c r="M6" s="104"/>
      <c r="N6" s="104"/>
      <c r="O6" s="105">
        <f>SUM(C6:N6)</f>
        <v>519000</v>
      </c>
      <c r="P6" s="1"/>
    </row>
    <row r="7" spans="1:16" s="5" customFormat="1" ht="24.95" customHeight="1" thickBot="1" x14ac:dyDescent="0.35">
      <c r="A7" s="34"/>
      <c r="B7" s="49" t="s">
        <v>16</v>
      </c>
      <c r="C7" s="103">
        <f t="shared" ref="C7:N7" si="0">C6*0.27</f>
        <v>22950</v>
      </c>
      <c r="D7" s="104">
        <f t="shared" si="0"/>
        <v>22950</v>
      </c>
      <c r="E7" s="104">
        <f t="shared" si="0"/>
        <v>22950</v>
      </c>
      <c r="F7" s="104">
        <f t="shared" si="0"/>
        <v>23760</v>
      </c>
      <c r="G7" s="104">
        <f t="shared" si="0"/>
        <v>23760</v>
      </c>
      <c r="H7" s="104">
        <f t="shared" si="0"/>
        <v>23760</v>
      </c>
      <c r="I7" s="104">
        <f t="shared" si="0"/>
        <v>0</v>
      </c>
      <c r="J7" s="104">
        <f t="shared" si="0"/>
        <v>0</v>
      </c>
      <c r="K7" s="104">
        <f t="shared" si="0"/>
        <v>0</v>
      </c>
      <c r="L7" s="104">
        <f t="shared" si="0"/>
        <v>0</v>
      </c>
      <c r="M7" s="104">
        <f t="shared" si="0"/>
        <v>0</v>
      </c>
      <c r="N7" s="104">
        <f t="shared" si="0"/>
        <v>0</v>
      </c>
      <c r="O7" s="105">
        <f>SUM(C7:N7)</f>
        <v>140130</v>
      </c>
      <c r="P7" s="1"/>
    </row>
    <row r="8" spans="1:16" ht="24.95" customHeight="1" x14ac:dyDescent="0.3">
      <c r="A8" s="34"/>
      <c r="B8" s="73" t="s">
        <v>17</v>
      </c>
      <c r="C8" s="111">
        <f>SUBTOTAL(109,MitarbeiterTatsächlich[Jan])</f>
        <v>107950</v>
      </c>
      <c r="D8" s="112">
        <f>SUBTOTAL(109,MitarbeiterTatsächlich[Feb])</f>
        <v>107950</v>
      </c>
      <c r="E8" s="112">
        <f>SUBTOTAL(109,MitarbeiterTatsächlich[Mrz])</f>
        <v>107950</v>
      </c>
      <c r="F8" s="112">
        <f>SUBTOTAL(109,MitarbeiterTatsächlich[Apr])</f>
        <v>111760</v>
      </c>
      <c r="G8" s="112">
        <f>SUBTOTAL(109,MitarbeiterTatsächlich[Mai])</f>
        <v>111760</v>
      </c>
      <c r="H8" s="112">
        <f>SUBTOTAL(109,MitarbeiterTatsächlich[Jun])</f>
        <v>111760</v>
      </c>
      <c r="I8" s="112">
        <f>SUBTOTAL(109,MitarbeiterTatsächlich[Jul])</f>
        <v>0</v>
      </c>
      <c r="J8" s="112">
        <f>SUBTOTAL(109,MitarbeiterTatsächlich[Aug])</f>
        <v>0</v>
      </c>
      <c r="K8" s="112">
        <f>SUBTOTAL(109,MitarbeiterTatsächlich[Sep])</f>
        <v>0</v>
      </c>
      <c r="L8" s="112">
        <f>SUBTOTAL(109,MitarbeiterTatsächlich[Okt])</f>
        <v>0</v>
      </c>
      <c r="M8" s="112">
        <f>SUBTOTAL(109,MitarbeiterTatsächlich[Nov])</f>
        <v>0</v>
      </c>
      <c r="N8" s="112">
        <f>SUBTOTAL(109,MitarbeiterTatsächlich[Dez])</f>
        <v>0</v>
      </c>
      <c r="O8" s="113">
        <f>SUBTOTAL(109,MitarbeiterTatsächlich[JAHR])</f>
        <v>659130</v>
      </c>
    </row>
    <row r="9" spans="1:16" s="1" customFormat="1" ht="21" customHeight="1" x14ac:dyDescent="0.3">
      <c r="A9" s="34"/>
      <c r="B9" s="128"/>
      <c r="C9" s="128"/>
      <c r="D9" s="145"/>
      <c r="E9" s="145"/>
      <c r="F9" s="145"/>
      <c r="G9" s="145"/>
      <c r="H9" s="145"/>
      <c r="I9" s="145"/>
      <c r="J9" s="145"/>
      <c r="K9" s="145"/>
      <c r="L9" s="145"/>
      <c r="M9" s="145"/>
      <c r="N9" s="145"/>
      <c r="O9" s="146"/>
    </row>
    <row r="10" spans="1:16" ht="24.95" customHeight="1" thickBot="1" x14ac:dyDescent="0.35">
      <c r="A10" s="34" t="s">
        <v>96</v>
      </c>
      <c r="B10" s="55" t="s">
        <v>18</v>
      </c>
      <c r="C10" s="72" t="s">
        <v>41</v>
      </c>
      <c r="D10" s="68" t="s">
        <v>43</v>
      </c>
      <c r="E10" s="91" t="s">
        <v>45</v>
      </c>
      <c r="F10" s="68" t="s">
        <v>47</v>
      </c>
      <c r="G10" s="68" t="s">
        <v>49</v>
      </c>
      <c r="H10" s="68" t="s">
        <v>51</v>
      </c>
      <c r="I10" s="68" t="s">
        <v>53</v>
      </c>
      <c r="J10" s="68" t="s">
        <v>55</v>
      </c>
      <c r="K10" s="68" t="s">
        <v>59</v>
      </c>
      <c r="L10" s="68" t="s">
        <v>61</v>
      </c>
      <c r="M10" s="68" t="s">
        <v>63</v>
      </c>
      <c r="N10" s="68" t="s">
        <v>66</v>
      </c>
      <c r="O10" s="69" t="s">
        <v>67</v>
      </c>
    </row>
    <row r="11" spans="1:16" ht="24.95" customHeight="1" thickBot="1" x14ac:dyDescent="0.35">
      <c r="A11" s="34"/>
      <c r="B11" s="49" t="s">
        <v>19</v>
      </c>
      <c r="C11" s="103">
        <v>9800</v>
      </c>
      <c r="D11" s="104">
        <v>9800</v>
      </c>
      <c r="E11" s="104">
        <v>9800</v>
      </c>
      <c r="F11" s="104">
        <v>9800</v>
      </c>
      <c r="G11" s="104">
        <v>9800</v>
      </c>
      <c r="H11" s="104">
        <v>9800</v>
      </c>
      <c r="I11" s="104"/>
      <c r="J11" s="104"/>
      <c r="K11" s="104"/>
      <c r="L11" s="104"/>
      <c r="M11" s="104"/>
      <c r="N11" s="104"/>
      <c r="O11" s="105">
        <f t="shared" ref="O11:O18" si="1">SUM(C11:N11)</f>
        <v>58800</v>
      </c>
    </row>
    <row r="12" spans="1:16" ht="24.95" customHeight="1" thickBot="1" x14ac:dyDescent="0.35">
      <c r="A12" s="34"/>
      <c r="B12" s="49" t="s">
        <v>20</v>
      </c>
      <c r="C12" s="103">
        <v>4</v>
      </c>
      <c r="D12" s="104">
        <v>430</v>
      </c>
      <c r="E12" s="104">
        <v>385</v>
      </c>
      <c r="F12" s="104">
        <v>230</v>
      </c>
      <c r="G12" s="104">
        <v>87</v>
      </c>
      <c r="H12" s="104">
        <v>88</v>
      </c>
      <c r="I12" s="104"/>
      <c r="J12" s="104"/>
      <c r="K12" s="104"/>
      <c r="L12" s="104"/>
      <c r="M12" s="104"/>
      <c r="N12" s="104"/>
      <c r="O12" s="105">
        <f t="shared" si="1"/>
        <v>1224</v>
      </c>
    </row>
    <row r="13" spans="1:16" ht="24.95" customHeight="1" thickBot="1" x14ac:dyDescent="0.35">
      <c r="A13" s="34"/>
      <c r="B13" s="49" t="s">
        <v>21</v>
      </c>
      <c r="C13" s="103">
        <v>288</v>
      </c>
      <c r="D13" s="104">
        <v>278</v>
      </c>
      <c r="E13" s="104">
        <v>268</v>
      </c>
      <c r="F13" s="104">
        <v>299</v>
      </c>
      <c r="G13" s="104">
        <v>306</v>
      </c>
      <c r="H13" s="104">
        <v>290</v>
      </c>
      <c r="I13" s="104"/>
      <c r="J13" s="104"/>
      <c r="K13" s="104"/>
      <c r="L13" s="104"/>
      <c r="M13" s="104"/>
      <c r="N13" s="104"/>
      <c r="O13" s="105">
        <f t="shared" si="1"/>
        <v>1729</v>
      </c>
    </row>
    <row r="14" spans="1:16" ht="24.95" customHeight="1" thickBot="1" x14ac:dyDescent="0.35">
      <c r="A14" s="34"/>
      <c r="B14" s="49" t="s">
        <v>22</v>
      </c>
      <c r="C14" s="103">
        <v>35</v>
      </c>
      <c r="D14" s="104">
        <v>33</v>
      </c>
      <c r="E14" s="104">
        <v>34</v>
      </c>
      <c r="F14" s="104">
        <v>36</v>
      </c>
      <c r="G14" s="104">
        <v>34</v>
      </c>
      <c r="H14" s="104">
        <v>36</v>
      </c>
      <c r="I14" s="104"/>
      <c r="J14" s="104"/>
      <c r="K14" s="104"/>
      <c r="L14" s="104"/>
      <c r="M14" s="104"/>
      <c r="N14" s="104"/>
      <c r="O14" s="105">
        <f t="shared" si="1"/>
        <v>208</v>
      </c>
    </row>
    <row r="15" spans="1:16" ht="24.95" customHeight="1" thickBot="1" x14ac:dyDescent="0.35">
      <c r="A15" s="34"/>
      <c r="B15" s="49" t="s">
        <v>23</v>
      </c>
      <c r="C15" s="103">
        <v>224</v>
      </c>
      <c r="D15" s="104">
        <v>235</v>
      </c>
      <c r="E15" s="104">
        <v>265</v>
      </c>
      <c r="F15" s="104">
        <v>245</v>
      </c>
      <c r="G15" s="104">
        <v>245</v>
      </c>
      <c r="H15" s="104">
        <v>220</v>
      </c>
      <c r="I15" s="104"/>
      <c r="J15" s="104"/>
      <c r="K15" s="104"/>
      <c r="L15" s="104"/>
      <c r="M15" s="104"/>
      <c r="N15" s="104"/>
      <c r="O15" s="105">
        <f t="shared" si="1"/>
        <v>1434</v>
      </c>
    </row>
    <row r="16" spans="1:16" ht="24.95" customHeight="1" thickBot="1" x14ac:dyDescent="0.35">
      <c r="A16" s="34"/>
      <c r="B16" s="49" t="s">
        <v>24</v>
      </c>
      <c r="C16" s="103">
        <v>180</v>
      </c>
      <c r="D16" s="104">
        <v>180</v>
      </c>
      <c r="E16" s="104">
        <v>180</v>
      </c>
      <c r="F16" s="104">
        <v>180</v>
      </c>
      <c r="G16" s="104">
        <v>180</v>
      </c>
      <c r="H16" s="104">
        <v>180</v>
      </c>
      <c r="I16" s="104"/>
      <c r="J16" s="104"/>
      <c r="K16" s="104"/>
      <c r="L16" s="104"/>
      <c r="M16" s="104"/>
      <c r="N16" s="104"/>
      <c r="O16" s="105">
        <f t="shared" si="1"/>
        <v>1080</v>
      </c>
    </row>
    <row r="17" spans="1:15" ht="24.95" customHeight="1" thickBot="1" x14ac:dyDescent="0.35">
      <c r="A17" s="34"/>
      <c r="B17" s="49" t="s">
        <v>25</v>
      </c>
      <c r="C17" s="103">
        <v>256</v>
      </c>
      <c r="D17" s="104">
        <v>142</v>
      </c>
      <c r="E17" s="104">
        <v>160</v>
      </c>
      <c r="F17" s="104">
        <v>221</v>
      </c>
      <c r="G17" s="104">
        <v>256</v>
      </c>
      <c r="H17" s="104">
        <v>240</v>
      </c>
      <c r="I17" s="104"/>
      <c r="J17" s="104"/>
      <c r="K17" s="104"/>
      <c r="L17" s="104"/>
      <c r="M17" s="104"/>
      <c r="N17" s="104"/>
      <c r="O17" s="105">
        <f t="shared" si="1"/>
        <v>1275</v>
      </c>
    </row>
    <row r="18" spans="1:15" ht="24.95" customHeight="1" thickBot="1" x14ac:dyDescent="0.35">
      <c r="A18" s="34"/>
      <c r="B18" s="49" t="s">
        <v>26</v>
      </c>
      <c r="C18" s="103">
        <v>600</v>
      </c>
      <c r="D18" s="104">
        <v>600</v>
      </c>
      <c r="E18" s="104">
        <v>600</v>
      </c>
      <c r="F18" s="104">
        <v>600</v>
      </c>
      <c r="G18" s="104">
        <v>600</v>
      </c>
      <c r="H18" s="104">
        <v>600</v>
      </c>
      <c r="I18" s="104"/>
      <c r="J18" s="104"/>
      <c r="K18" s="104"/>
      <c r="L18" s="104"/>
      <c r="M18" s="104"/>
      <c r="N18" s="104"/>
      <c r="O18" s="105">
        <f t="shared" si="1"/>
        <v>3600</v>
      </c>
    </row>
    <row r="19" spans="1:15" ht="24.95" customHeight="1" x14ac:dyDescent="0.3">
      <c r="A19" s="34"/>
      <c r="B19" s="74" t="s">
        <v>17</v>
      </c>
      <c r="C19" s="107">
        <f>SUBTOTAL(109,BüroTatsächlich[Jan])</f>
        <v>11387</v>
      </c>
      <c r="D19" s="107">
        <f>SUBTOTAL(109,BüroTatsächlich[Feb])</f>
        <v>11698</v>
      </c>
      <c r="E19" s="107">
        <f>SUBTOTAL(109,BüroTatsächlich[Mrz])</f>
        <v>11692</v>
      </c>
      <c r="F19" s="107">
        <f>SUBTOTAL(109,BüroTatsächlich[Apr])</f>
        <v>11611</v>
      </c>
      <c r="G19" s="107">
        <f>SUBTOTAL(109,BüroTatsächlich[Mai])</f>
        <v>11508</v>
      </c>
      <c r="H19" s="107">
        <f>SUBTOTAL(109,BüroTatsächlich[Jun])</f>
        <v>11454</v>
      </c>
      <c r="I19" s="107">
        <f>SUBTOTAL(109,BüroTatsächlich[Jul])</f>
        <v>0</v>
      </c>
      <c r="J19" s="107">
        <f>SUBTOTAL(109,BüroTatsächlich[Aug])</f>
        <v>0</v>
      </c>
      <c r="K19" s="107">
        <f>SUBTOTAL(109,BüroTatsächlich[Sep])</f>
        <v>0</v>
      </c>
      <c r="L19" s="107">
        <f>SUBTOTAL(109,BüroTatsächlich[Okt])</f>
        <v>0</v>
      </c>
      <c r="M19" s="107">
        <f>SUBTOTAL(109,BüroTatsächlich[Nov])</f>
        <v>0</v>
      </c>
      <c r="N19" s="107">
        <f>SUBTOTAL(109,BüroTatsächlich[Dez])</f>
        <v>0</v>
      </c>
      <c r="O19" s="108">
        <f>SUBTOTAL(109,BüroTatsächlich[JAHR])</f>
        <v>69350</v>
      </c>
    </row>
    <row r="20" spans="1:15" ht="21" customHeight="1" x14ac:dyDescent="0.3">
      <c r="A20" s="34"/>
      <c r="B20" s="129"/>
      <c r="C20" s="129"/>
      <c r="D20" s="145"/>
      <c r="E20" s="145"/>
      <c r="F20" s="147"/>
      <c r="G20" s="147"/>
      <c r="H20" s="147"/>
      <c r="I20" s="147"/>
      <c r="J20" s="147"/>
      <c r="K20" s="147"/>
      <c r="L20" s="147"/>
      <c r="M20" s="147"/>
      <c r="N20" s="147"/>
      <c r="O20" s="146"/>
    </row>
    <row r="21" spans="1:15" ht="24.95" customHeight="1" thickBot="1" x14ac:dyDescent="0.35">
      <c r="A21" s="34" t="s">
        <v>97</v>
      </c>
      <c r="B21" s="75" t="s">
        <v>27</v>
      </c>
      <c r="C21" s="72" t="s">
        <v>41</v>
      </c>
      <c r="D21" s="68" t="s">
        <v>43</v>
      </c>
      <c r="E21" s="91" t="s">
        <v>45</v>
      </c>
      <c r="F21" s="68" t="s">
        <v>47</v>
      </c>
      <c r="G21" s="68" t="s">
        <v>49</v>
      </c>
      <c r="H21" s="68" t="s">
        <v>51</v>
      </c>
      <c r="I21" s="68" t="s">
        <v>53</v>
      </c>
      <c r="J21" s="68" t="s">
        <v>55</v>
      </c>
      <c r="K21" s="68" t="s">
        <v>59</v>
      </c>
      <c r="L21" s="68" t="s">
        <v>61</v>
      </c>
      <c r="M21" s="68" t="s">
        <v>63</v>
      </c>
      <c r="N21" s="68" t="s">
        <v>66</v>
      </c>
      <c r="O21" s="69" t="s">
        <v>67</v>
      </c>
    </row>
    <row r="22" spans="1:15" ht="24.95" customHeight="1" thickBot="1" x14ac:dyDescent="0.35">
      <c r="A22" s="34"/>
      <c r="B22" s="49" t="s">
        <v>28</v>
      </c>
      <c r="C22" s="103">
        <v>500</v>
      </c>
      <c r="D22" s="104">
        <v>500</v>
      </c>
      <c r="E22" s="104">
        <v>500</v>
      </c>
      <c r="F22" s="104">
        <v>500</v>
      </c>
      <c r="G22" s="104">
        <v>500</v>
      </c>
      <c r="H22" s="104">
        <v>500</v>
      </c>
      <c r="I22" s="104"/>
      <c r="J22" s="104"/>
      <c r="K22" s="104"/>
      <c r="L22" s="104"/>
      <c r="M22" s="104"/>
      <c r="N22" s="104"/>
      <c r="O22" s="105">
        <f t="shared" ref="O22:O27" si="2">SUM(C22:N22)</f>
        <v>3000</v>
      </c>
    </row>
    <row r="23" spans="1:15" ht="24.95" customHeight="1" thickBot="1" x14ac:dyDescent="0.35">
      <c r="A23" s="34"/>
      <c r="B23" s="49" t="s">
        <v>29</v>
      </c>
      <c r="C23" s="103">
        <v>200</v>
      </c>
      <c r="D23" s="104">
        <v>200</v>
      </c>
      <c r="E23" s="104">
        <v>200</v>
      </c>
      <c r="F23" s="104">
        <v>200</v>
      </c>
      <c r="G23" s="104">
        <v>200</v>
      </c>
      <c r="H23" s="104">
        <v>1500</v>
      </c>
      <c r="I23" s="104"/>
      <c r="J23" s="104"/>
      <c r="K23" s="104"/>
      <c r="L23" s="104"/>
      <c r="M23" s="104"/>
      <c r="N23" s="104"/>
      <c r="O23" s="105">
        <f t="shared" si="2"/>
        <v>2500</v>
      </c>
    </row>
    <row r="24" spans="1:15" ht="24.95" customHeight="1" thickBot="1" x14ac:dyDescent="0.35">
      <c r="A24" s="34"/>
      <c r="B24" s="49" t="s">
        <v>30</v>
      </c>
      <c r="C24" s="103">
        <v>4800</v>
      </c>
      <c r="D24" s="104">
        <v>0</v>
      </c>
      <c r="E24" s="104">
        <v>0</v>
      </c>
      <c r="F24" s="104">
        <v>5500</v>
      </c>
      <c r="G24" s="104">
        <v>0</v>
      </c>
      <c r="H24" s="104">
        <v>0</v>
      </c>
      <c r="I24" s="104"/>
      <c r="J24" s="104"/>
      <c r="K24" s="104"/>
      <c r="L24" s="104"/>
      <c r="M24" s="104"/>
      <c r="N24" s="104"/>
      <c r="O24" s="105">
        <f t="shared" si="2"/>
        <v>10300</v>
      </c>
    </row>
    <row r="25" spans="1:15" ht="24.95" customHeight="1" thickBot="1" x14ac:dyDescent="0.35">
      <c r="A25" s="34"/>
      <c r="B25" s="49" t="s">
        <v>31</v>
      </c>
      <c r="C25" s="103">
        <v>100</v>
      </c>
      <c r="D25" s="104">
        <v>500</v>
      </c>
      <c r="E25" s="104">
        <v>100</v>
      </c>
      <c r="F25" s="104">
        <v>100</v>
      </c>
      <c r="G25" s="104">
        <v>600</v>
      </c>
      <c r="H25" s="104">
        <v>180</v>
      </c>
      <c r="I25" s="104"/>
      <c r="J25" s="104"/>
      <c r="K25" s="104"/>
      <c r="L25" s="104"/>
      <c r="M25" s="104"/>
      <c r="N25" s="104"/>
      <c r="O25" s="105">
        <f t="shared" si="2"/>
        <v>1580</v>
      </c>
    </row>
    <row r="26" spans="1:15" ht="24.95" customHeight="1" thickBot="1" x14ac:dyDescent="0.35">
      <c r="A26" s="34"/>
      <c r="B26" s="49" t="s">
        <v>32</v>
      </c>
      <c r="C26" s="103">
        <v>1800</v>
      </c>
      <c r="D26" s="104">
        <v>2200</v>
      </c>
      <c r="E26" s="104">
        <v>2200</v>
      </c>
      <c r="F26" s="104">
        <v>4700</v>
      </c>
      <c r="G26" s="104">
        <v>1500</v>
      </c>
      <c r="H26" s="104">
        <v>2300</v>
      </c>
      <c r="I26" s="104"/>
      <c r="J26" s="104"/>
      <c r="K26" s="104"/>
      <c r="L26" s="104"/>
      <c r="M26" s="104"/>
      <c r="N26" s="104"/>
      <c r="O26" s="105">
        <f t="shared" si="2"/>
        <v>14700</v>
      </c>
    </row>
    <row r="27" spans="1:15" ht="24.95" customHeight="1" thickBot="1" x14ac:dyDescent="0.35">
      <c r="A27" s="34"/>
      <c r="B27" s="49" t="s">
        <v>33</v>
      </c>
      <c r="C27" s="103">
        <v>145</v>
      </c>
      <c r="D27" s="104">
        <v>156</v>
      </c>
      <c r="E27" s="104">
        <v>123</v>
      </c>
      <c r="F27" s="104">
        <v>223</v>
      </c>
      <c r="G27" s="104">
        <v>187</v>
      </c>
      <c r="H27" s="104">
        <v>245</v>
      </c>
      <c r="I27" s="104"/>
      <c r="J27" s="104"/>
      <c r="K27" s="104"/>
      <c r="L27" s="104"/>
      <c r="M27" s="104"/>
      <c r="N27" s="104"/>
      <c r="O27" s="105">
        <f t="shared" si="2"/>
        <v>1079</v>
      </c>
    </row>
    <row r="28" spans="1:15" ht="24.95" customHeight="1" x14ac:dyDescent="0.3">
      <c r="A28" s="34"/>
      <c r="B28" s="71" t="s">
        <v>17</v>
      </c>
      <c r="C28" s="114">
        <f>SUBTOTAL(109,MarketingTatsächlich[Jan])</f>
        <v>7545</v>
      </c>
      <c r="D28" s="107">
        <f>SUBTOTAL(109,MarketingTatsächlich[Feb])</f>
        <v>3556</v>
      </c>
      <c r="E28" s="107">
        <f>SUBTOTAL(109,MarketingTatsächlich[Mrz])</f>
        <v>3123</v>
      </c>
      <c r="F28" s="107">
        <f>SUBTOTAL(109,MarketingTatsächlich[Apr])</f>
        <v>11223</v>
      </c>
      <c r="G28" s="107">
        <f>SUBTOTAL(109,MarketingTatsächlich[Mai])</f>
        <v>2987</v>
      </c>
      <c r="H28" s="107">
        <f>SUBTOTAL(109,MarketingTatsächlich[Jun])</f>
        <v>4725</v>
      </c>
      <c r="I28" s="107">
        <f>SUBTOTAL(109,MarketingTatsächlich[Jul])</f>
        <v>0</v>
      </c>
      <c r="J28" s="107">
        <f>SUBTOTAL(109,MarketingTatsächlich[Aug])</f>
        <v>0</v>
      </c>
      <c r="K28" s="107">
        <f>SUBTOTAL(109,MarketingTatsächlich[Sep])</f>
        <v>0</v>
      </c>
      <c r="L28" s="107">
        <f>SUBTOTAL(109,MarketingTatsächlich[Okt])</f>
        <v>0</v>
      </c>
      <c r="M28" s="107">
        <f>SUBTOTAL(109,MarketingTatsächlich[Nov])</f>
        <v>0</v>
      </c>
      <c r="N28" s="107">
        <f>SUBTOTAL(109,MarketingTatsächlich[Dez])</f>
        <v>0</v>
      </c>
      <c r="O28" s="108">
        <f>SUBTOTAL(109,MarketingTatsächlich[JAHR])</f>
        <v>33159</v>
      </c>
    </row>
    <row r="29" spans="1:15" ht="21" customHeight="1" x14ac:dyDescent="0.3">
      <c r="A29" s="34"/>
      <c r="B29" s="128"/>
      <c r="C29" s="128"/>
      <c r="D29" s="147"/>
      <c r="E29" s="147"/>
      <c r="F29" s="147"/>
      <c r="G29" s="147"/>
      <c r="H29" s="147"/>
      <c r="I29" s="147"/>
      <c r="J29" s="147"/>
      <c r="K29" s="147"/>
      <c r="L29" s="147"/>
      <c r="M29" s="147"/>
      <c r="N29" s="147"/>
      <c r="O29" s="146"/>
    </row>
    <row r="30" spans="1:15" ht="24.95" customHeight="1" thickBot="1" x14ac:dyDescent="0.35">
      <c r="A30" s="34" t="s">
        <v>98</v>
      </c>
      <c r="B30" s="62" t="s">
        <v>34</v>
      </c>
      <c r="C30" s="68" t="s">
        <v>41</v>
      </c>
      <c r="D30" s="68" t="s">
        <v>43</v>
      </c>
      <c r="E30" s="91" t="s">
        <v>45</v>
      </c>
      <c r="F30" s="68" t="s">
        <v>47</v>
      </c>
      <c r="G30" s="68" t="s">
        <v>49</v>
      </c>
      <c r="H30" s="68" t="s">
        <v>51</v>
      </c>
      <c r="I30" s="68" t="s">
        <v>53</v>
      </c>
      <c r="J30" s="68" t="s">
        <v>55</v>
      </c>
      <c r="K30" s="68" t="s">
        <v>59</v>
      </c>
      <c r="L30" s="68" t="s">
        <v>61</v>
      </c>
      <c r="M30" s="68" t="s">
        <v>63</v>
      </c>
      <c r="N30" s="68" t="s">
        <v>66</v>
      </c>
      <c r="O30" s="69" t="s">
        <v>67</v>
      </c>
    </row>
    <row r="31" spans="1:15" ht="24.95" customHeight="1" thickBot="1" x14ac:dyDescent="0.35">
      <c r="A31" s="34"/>
      <c r="B31" s="70" t="s">
        <v>35</v>
      </c>
      <c r="C31" s="104">
        <v>1600</v>
      </c>
      <c r="D31" s="104">
        <v>2400</v>
      </c>
      <c r="E31" s="104">
        <v>1400</v>
      </c>
      <c r="F31" s="104">
        <v>1600</v>
      </c>
      <c r="G31" s="104">
        <v>1200</v>
      </c>
      <c r="H31" s="104">
        <v>2800</v>
      </c>
      <c r="I31" s="104"/>
      <c r="J31" s="104"/>
      <c r="K31" s="104"/>
      <c r="L31" s="104"/>
      <c r="M31" s="104"/>
      <c r="N31" s="104"/>
      <c r="O31" s="105">
        <f>SUM(C31:N31)</f>
        <v>11000</v>
      </c>
    </row>
    <row r="32" spans="1:15" ht="24.95" customHeight="1" thickBot="1" x14ac:dyDescent="0.35">
      <c r="A32" s="34"/>
      <c r="B32" s="70" t="s">
        <v>36</v>
      </c>
      <c r="C32" s="104">
        <v>1200</v>
      </c>
      <c r="D32" s="104">
        <v>2200</v>
      </c>
      <c r="E32" s="104">
        <v>1400</v>
      </c>
      <c r="F32" s="104">
        <v>1200</v>
      </c>
      <c r="G32" s="104">
        <v>800</v>
      </c>
      <c r="H32" s="104">
        <v>3500</v>
      </c>
      <c r="I32" s="104"/>
      <c r="J32" s="104"/>
      <c r="K32" s="104"/>
      <c r="L32" s="104"/>
      <c r="M32" s="104"/>
      <c r="N32" s="104"/>
      <c r="O32" s="105">
        <f>SUM(C32:N32)</f>
        <v>10300</v>
      </c>
    </row>
    <row r="33" spans="1:16" ht="24.95" customHeight="1" x14ac:dyDescent="0.3">
      <c r="A33" s="34"/>
      <c r="B33" s="74" t="s">
        <v>17</v>
      </c>
      <c r="C33" s="107">
        <f>SUBTOTAL(109,SchulungUndReiseTatsächlich[Jan])</f>
        <v>2800</v>
      </c>
      <c r="D33" s="107">
        <f>SUBTOTAL(109,SchulungUndReiseTatsächlich[Feb])</f>
        <v>4600</v>
      </c>
      <c r="E33" s="107">
        <f>SUBTOTAL(109,SchulungUndReiseTatsächlich[Mrz])</f>
        <v>2800</v>
      </c>
      <c r="F33" s="107">
        <f>SUBTOTAL(109,SchulungUndReiseTatsächlich[Apr])</f>
        <v>2800</v>
      </c>
      <c r="G33" s="107">
        <f>SUBTOTAL(109,SchulungUndReiseTatsächlich[Mai])</f>
        <v>2000</v>
      </c>
      <c r="H33" s="107">
        <f>SUBTOTAL(109,SchulungUndReiseTatsächlich[Jun])</f>
        <v>6300</v>
      </c>
      <c r="I33" s="107">
        <f>SUBTOTAL(109,SchulungUndReiseTatsächlich[Jul])</f>
        <v>0</v>
      </c>
      <c r="J33" s="107">
        <f>SUBTOTAL(109,SchulungUndReiseTatsächlich[Aug])</f>
        <v>0</v>
      </c>
      <c r="K33" s="107">
        <f>SUBTOTAL(109,SchulungUndReiseTatsächlich[Sep])</f>
        <v>0</v>
      </c>
      <c r="L33" s="107">
        <f>SUBTOTAL(109,SchulungUndReiseTatsächlich[Okt])</f>
        <v>0</v>
      </c>
      <c r="M33" s="107">
        <f>SUBTOTAL(109,SchulungUndReiseTatsächlich[Nov])</f>
        <v>0</v>
      </c>
      <c r="N33" s="107">
        <f>SUBTOTAL(109,SchulungUndReiseTatsächlich[Dez])</f>
        <v>0</v>
      </c>
      <c r="O33" s="108">
        <f>SUBTOTAL(109,SchulungUndReiseTatsächlich[JAHR])</f>
        <v>21300</v>
      </c>
    </row>
    <row r="34" spans="1:16" ht="21" customHeight="1" x14ac:dyDescent="0.3">
      <c r="A34" s="34"/>
      <c r="B34" s="128"/>
      <c r="C34" s="128"/>
      <c r="D34" s="146"/>
      <c r="E34" s="146"/>
      <c r="F34" s="146"/>
      <c r="G34" s="146"/>
      <c r="H34" s="146"/>
      <c r="I34" s="146"/>
      <c r="J34" s="146"/>
      <c r="K34" s="146"/>
      <c r="L34" s="146"/>
      <c r="M34" s="146"/>
      <c r="N34" s="146"/>
      <c r="O34" s="146"/>
    </row>
    <row r="35" spans="1:16" ht="24.95" customHeight="1" thickBot="1" x14ac:dyDescent="0.35">
      <c r="A35" s="34" t="s">
        <v>99</v>
      </c>
      <c r="B35" s="29" t="s">
        <v>39</v>
      </c>
      <c r="C35" s="30" t="s">
        <v>41</v>
      </c>
      <c r="D35" s="30" t="s">
        <v>43</v>
      </c>
      <c r="E35" s="30" t="s">
        <v>45</v>
      </c>
      <c r="F35" s="30" t="s">
        <v>47</v>
      </c>
      <c r="G35" s="30" t="s">
        <v>49</v>
      </c>
      <c r="H35" s="30" t="s">
        <v>51</v>
      </c>
      <c r="I35" s="30" t="s">
        <v>53</v>
      </c>
      <c r="J35" s="30" t="s">
        <v>55</v>
      </c>
      <c r="K35" s="30" t="s">
        <v>59</v>
      </c>
      <c r="L35" s="30" t="s">
        <v>61</v>
      </c>
      <c r="M35" s="30" t="s">
        <v>63</v>
      </c>
      <c r="N35" s="30" t="s">
        <v>66</v>
      </c>
      <c r="O35" s="77" t="s">
        <v>68</v>
      </c>
    </row>
    <row r="36" spans="1:16" ht="24.95" customHeight="1" thickBot="1" x14ac:dyDescent="0.35">
      <c r="A36" s="34"/>
      <c r="B36" s="76" t="s">
        <v>73</v>
      </c>
      <c r="C36" s="115">
        <f>SchulungUndReiseTatsächlich[[#Totals],[Jan]]+MarketingTatsächlich[[#Totals],[Jan]]+BüroTatsächlich[[#Totals],[Jan]]+MitarbeiterTatsächlich[[#Totals],[Jan]]</f>
        <v>129682</v>
      </c>
      <c r="D36" s="116">
        <f>SchulungUndReiseTatsächlich[[#Totals],[Feb]]+MarketingTatsächlich[[#Totals],[Feb]]+BüroTatsächlich[[#Totals],[Feb]]+MitarbeiterTatsächlich[[#Totals],[Feb]]</f>
        <v>127804</v>
      </c>
      <c r="E36" s="116">
        <f>SchulungUndReiseTatsächlich[[#Totals],[Mrz]]+MarketingTatsächlich[[#Totals],[Mrz]]+BüroTatsächlich[[#Totals],[Mrz]]+MitarbeiterTatsächlich[[#Totals],[Mrz]]</f>
        <v>125565</v>
      </c>
      <c r="F36" s="116">
        <f>SchulungUndReiseTatsächlich[[#Totals],[Apr]]+MarketingTatsächlich[[#Totals],[Apr]]+BüroTatsächlich[[#Totals],[Apr]]+MitarbeiterTatsächlich[[#Totals],[Apr]]</f>
        <v>137394</v>
      </c>
      <c r="G36" s="116">
        <f>SchulungUndReiseTatsächlich[[#Totals],[Mai]]+MarketingTatsächlich[[#Totals],[Mai]]+BüroTatsächlich[[#Totals],[Mai]]+MitarbeiterTatsächlich[[#Totals],[Mai]]</f>
        <v>128255</v>
      </c>
      <c r="H36" s="116">
        <f>SchulungUndReiseTatsächlich[[#Totals],[Jun]]+MarketingTatsächlich[[#Totals],[Jun]]+BüroTatsächlich[[#Totals],[Jun]]+MitarbeiterTatsächlich[[#Totals],[Jun]]</f>
        <v>134239</v>
      </c>
      <c r="I36" s="116">
        <f>SchulungUndReiseTatsächlich[[#Totals],[Jul]]+MarketingTatsächlich[[#Totals],[Jul]]+BüroTatsächlich[[#Totals],[Jul]]+MitarbeiterTatsächlich[[#Totals],[Jul]]</f>
        <v>0</v>
      </c>
      <c r="J36" s="116">
        <f>SchulungUndReiseTatsächlich[[#Totals],[Aug]]+MarketingTatsächlich[[#Totals],[Aug]]+BüroTatsächlich[[#Totals],[Aug]]+MitarbeiterTatsächlich[[#Totals],[Aug]]</f>
        <v>0</v>
      </c>
      <c r="K36" s="116">
        <f>SchulungUndReiseTatsächlich[[#Totals],[Sep]]+MarketingTatsächlich[[#Totals],[Sep]]+BüroTatsächlich[[#Totals],[Sep]]+MitarbeiterTatsächlich[[#Totals],[Sep]]</f>
        <v>0</v>
      </c>
      <c r="L36" s="116">
        <f>SchulungUndReiseTatsächlich[[#Totals],[Okt]]+MarketingTatsächlich[[#Totals],[Okt]]+BüroTatsächlich[[#Totals],[Okt]]+MitarbeiterTatsächlich[[#Totals],[Okt]]</f>
        <v>0</v>
      </c>
      <c r="M36" s="116">
        <f>SchulungUndReiseTatsächlich[[#Totals],[Nov]]+MarketingTatsächlich[[#Totals],[Nov]]+BüroTatsächlich[[#Totals],[Nov]]+MitarbeiterTatsächlich[[#Totals],[Nov]]</f>
        <v>0</v>
      </c>
      <c r="N36" s="116">
        <f>SchulungUndReiseTatsächlich[[#Totals],[Dez]]+MarketingTatsächlich[[#Totals],[Dez]]+BüroTatsächlich[[#Totals],[Dez]]+MitarbeiterTatsächlich[[#Totals],[Dez]]</f>
        <v>0</v>
      </c>
      <c r="O36" s="116">
        <f>SchulungUndReiseTatsächlich[[#Totals],[JAHR]]+MarketingTatsächlich[[#Totals],[JAHR]]+BüroTatsächlich[[#Totals],[JAHR]]+MitarbeiterTatsächlich[[#Totals],[JAHR]]</f>
        <v>782939</v>
      </c>
      <c r="P36"/>
    </row>
    <row r="37" spans="1:16" ht="24.95" customHeight="1" thickBot="1" x14ac:dyDescent="0.35">
      <c r="A37" s="34"/>
      <c r="B37" s="76" t="s">
        <v>74</v>
      </c>
      <c r="C37" s="117">
        <f>SUM($C$36:C36)</f>
        <v>129682</v>
      </c>
      <c r="D37" s="118">
        <f>SUM($C$36:D36)</f>
        <v>257486</v>
      </c>
      <c r="E37" s="118">
        <f>SUM($C$36:E36)</f>
        <v>383051</v>
      </c>
      <c r="F37" s="118">
        <f>SUM($C$36:F36)</f>
        <v>520445</v>
      </c>
      <c r="G37" s="118">
        <f>SUM($C$36:G36)</f>
        <v>648700</v>
      </c>
      <c r="H37" s="119">
        <f>SUM($C$36:H36)</f>
        <v>782939</v>
      </c>
      <c r="I37" s="118">
        <f>SUM($C$36:I36)</f>
        <v>782939</v>
      </c>
      <c r="J37" s="118">
        <f>SUM($C$36:J36)</f>
        <v>782939</v>
      </c>
      <c r="K37" s="118">
        <f>SUM($C$36:K36)</f>
        <v>782939</v>
      </c>
      <c r="L37" s="118">
        <f>SUM($C$36:L36)</f>
        <v>782939</v>
      </c>
      <c r="M37" s="119">
        <f>SUM($C$36:M36)</f>
        <v>782939</v>
      </c>
      <c r="N37" s="118">
        <f>SUM($C$36:N36)</f>
        <v>782939</v>
      </c>
      <c r="O37" s="119"/>
      <c r="P37"/>
    </row>
    <row r="38" spans="1:16" ht="21" customHeight="1" x14ac:dyDescent="0.3">
      <c r="B38" s="2"/>
      <c r="C38" s="2"/>
      <c r="D38" s="2"/>
      <c r="E38" s="2"/>
      <c r="F38" s="2"/>
      <c r="G38" s="2"/>
      <c r="H38" s="2"/>
      <c r="I38" s="2"/>
      <c r="J38" s="2"/>
      <c r="K38" s="2"/>
      <c r="L38" s="14"/>
      <c r="M38" s="14"/>
      <c r="N38" s="14"/>
      <c r="O38" s="14"/>
    </row>
    <row r="39" spans="1:16" ht="21" customHeight="1" x14ac:dyDescent="0.3">
      <c r="B39" s="2"/>
      <c r="C39" s="2"/>
      <c r="D39" s="2"/>
      <c r="E39" s="2"/>
      <c r="F39" s="2"/>
      <c r="G39" s="2"/>
      <c r="H39" s="2"/>
      <c r="I39" s="2"/>
      <c r="J39" s="2"/>
      <c r="K39" s="2"/>
      <c r="L39" s="2"/>
      <c r="M39" s="2"/>
      <c r="N39" s="2"/>
      <c r="O39" s="2"/>
    </row>
    <row r="40" spans="1:16" ht="21" customHeight="1" x14ac:dyDescent="0.3">
      <c r="B40" s="2"/>
      <c r="C40" s="2"/>
      <c r="D40" s="2"/>
      <c r="E40" s="2"/>
      <c r="F40" s="2"/>
      <c r="G40" s="2"/>
      <c r="H40" s="2"/>
      <c r="I40" s="2"/>
      <c r="J40" s="2"/>
      <c r="K40" s="2"/>
      <c r="L40" s="2"/>
      <c r="M40" s="2"/>
      <c r="N40" s="2"/>
      <c r="O40" s="2"/>
    </row>
    <row r="41" spans="1:16" ht="21" customHeight="1" x14ac:dyDescent="0.3">
      <c r="B41" s="2"/>
      <c r="C41" s="2"/>
      <c r="D41" s="2"/>
      <c r="E41" s="2"/>
      <c r="F41" s="2"/>
      <c r="G41" s="2"/>
      <c r="H41" s="2"/>
      <c r="I41" s="2"/>
      <c r="J41" s="2"/>
      <c r="K41" s="2"/>
      <c r="L41" s="2"/>
      <c r="M41" s="2"/>
      <c r="N41" s="2"/>
      <c r="O41" s="2"/>
    </row>
  </sheetData>
  <mergeCells count="8">
    <mergeCell ref="N2:O3"/>
    <mergeCell ref="B34:C34"/>
    <mergeCell ref="B29:C29"/>
    <mergeCell ref="B20:C20"/>
    <mergeCell ref="B9:C9"/>
    <mergeCell ref="B2:D3"/>
    <mergeCell ref="J2:M2"/>
    <mergeCell ref="J3:M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O31:O33 O22:O28 O11:O19" emptyCellReference="1"/>
    <ignoredError sqref="C36:O37 C7:H7 C6:N6 O7" calculatedColumn="1"/>
    <ignoredError sqref="O6 I7:N7" emptyCellReference="1" calculatedColumn="1"/>
  </ignoredErrors>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pageSetUpPr autoPageBreaks="0" fitToPage="1"/>
  </sheetPr>
  <dimension ref="A1:P38"/>
  <sheetViews>
    <sheetView showGridLines="0" zoomScaleNormal="100" workbookViewId="0"/>
  </sheetViews>
  <sheetFormatPr baseColWidth="10" defaultColWidth="9.140625" defaultRowHeight="21" customHeight="1" x14ac:dyDescent="0.3"/>
  <cols>
    <col min="1" max="1" width="4.7109375" style="1" customWidth="1"/>
    <col min="2" max="2" width="41.7109375" style="4" customWidth="1"/>
    <col min="3" max="14" width="14.7109375" style="4" customWidth="1"/>
    <col min="15" max="15" width="16.28515625" style="4" customWidth="1"/>
    <col min="16" max="16" width="4.7109375" style="1" customWidth="1"/>
    <col min="17" max="16384" width="9.140625" style="4"/>
  </cols>
  <sheetData>
    <row r="1" spans="1:16" s="1" customFormat="1" ht="24" customHeight="1" x14ac:dyDescent="0.3">
      <c r="A1" s="35" t="s">
        <v>75</v>
      </c>
      <c r="B1" s="10"/>
      <c r="C1" s="10"/>
      <c r="D1" s="10"/>
      <c r="E1" s="10"/>
      <c r="F1" s="7"/>
      <c r="G1" s="7"/>
      <c r="H1" s="7"/>
      <c r="I1" s="7"/>
      <c r="J1" s="7"/>
      <c r="K1" s="7"/>
      <c r="L1" s="7"/>
      <c r="M1" s="7"/>
      <c r="N1" s="7"/>
      <c r="O1" s="7"/>
      <c r="P1" s="67" t="s">
        <v>69</v>
      </c>
    </row>
    <row r="2" spans="1:16" s="1" customFormat="1" ht="45" customHeight="1" x14ac:dyDescent="0.35">
      <c r="A2" s="33" t="s">
        <v>91</v>
      </c>
      <c r="B2" s="130" t="str">
        <f>'GEPLANTE KOSTEN'!B2:D3</f>
        <v>Firmenname</v>
      </c>
      <c r="C2" s="130"/>
      <c r="D2" s="130"/>
      <c r="E2" s="143"/>
      <c r="F2" s="8"/>
      <c r="G2" s="8"/>
      <c r="H2" s="8"/>
      <c r="I2" s="8"/>
      <c r="J2" s="131" t="str">
        <f>Arbeitsblatt_Titel</f>
        <v>Detaillierte Kostenschätzungen</v>
      </c>
      <c r="K2" s="131"/>
      <c r="L2" s="131"/>
      <c r="M2" s="131"/>
      <c r="N2" s="127" t="s">
        <v>64</v>
      </c>
      <c r="O2" s="127"/>
      <c r="P2" s="7"/>
    </row>
    <row r="3" spans="1:16" s="1" customFormat="1" ht="30" customHeight="1" x14ac:dyDescent="0.3">
      <c r="A3" s="33" t="s">
        <v>90</v>
      </c>
      <c r="B3" s="130"/>
      <c r="C3" s="130"/>
      <c r="D3" s="130"/>
      <c r="E3" s="144"/>
      <c r="F3" s="9"/>
      <c r="G3" s="9"/>
      <c r="H3" s="9"/>
      <c r="I3" s="9"/>
      <c r="J3" s="133" t="s">
        <v>57</v>
      </c>
      <c r="K3" s="133"/>
      <c r="L3" s="133"/>
      <c r="M3" s="133"/>
      <c r="N3" s="127"/>
      <c r="O3" s="127"/>
      <c r="P3" s="7"/>
    </row>
    <row r="4" spans="1:16" s="22" customFormat="1" ht="49.5" customHeight="1" x14ac:dyDescent="0.3">
      <c r="A4" s="36" t="s">
        <v>76</v>
      </c>
      <c r="B4" s="23" t="s">
        <v>77</v>
      </c>
      <c r="C4" s="24" t="s">
        <v>40</v>
      </c>
      <c r="D4" s="24" t="s">
        <v>42</v>
      </c>
      <c r="E4" s="24" t="s">
        <v>44</v>
      </c>
      <c r="F4" s="24" t="s">
        <v>46</v>
      </c>
      <c r="G4" s="24" t="s">
        <v>48</v>
      </c>
      <c r="H4" s="24" t="s">
        <v>50</v>
      </c>
      <c r="I4" s="24" t="s">
        <v>52</v>
      </c>
      <c r="J4" s="24" t="s">
        <v>54</v>
      </c>
      <c r="K4" s="24" t="s">
        <v>58</v>
      </c>
      <c r="L4" s="24" t="s">
        <v>60</v>
      </c>
      <c r="M4" s="24" t="s">
        <v>62</v>
      </c>
      <c r="N4" s="24" t="s">
        <v>65</v>
      </c>
      <c r="O4" s="24" t="s">
        <v>67</v>
      </c>
    </row>
    <row r="5" spans="1:16" s="5" customFormat="1" ht="24.95" customHeight="1" thickBot="1" x14ac:dyDescent="0.35">
      <c r="A5" s="43" t="s">
        <v>100</v>
      </c>
      <c r="B5" s="62" t="s">
        <v>14</v>
      </c>
      <c r="C5" s="78" t="s">
        <v>41</v>
      </c>
      <c r="D5" s="78" t="s">
        <v>43</v>
      </c>
      <c r="E5" s="92" t="s">
        <v>45</v>
      </c>
      <c r="F5" s="78" t="s">
        <v>47</v>
      </c>
      <c r="G5" s="78" t="s">
        <v>49</v>
      </c>
      <c r="H5" s="78" t="s">
        <v>51</v>
      </c>
      <c r="I5" s="78" t="s">
        <v>53</v>
      </c>
      <c r="J5" s="78" t="s">
        <v>55</v>
      </c>
      <c r="K5" s="78" t="s">
        <v>59</v>
      </c>
      <c r="L5" s="78" t="s">
        <v>61</v>
      </c>
      <c r="M5" s="78" t="s">
        <v>63</v>
      </c>
      <c r="N5" s="78" t="s">
        <v>66</v>
      </c>
      <c r="O5" s="79" t="s">
        <v>67</v>
      </c>
      <c r="P5" s="3"/>
    </row>
    <row r="6" spans="1:16" ht="24.95" customHeight="1" thickBot="1" x14ac:dyDescent="0.35">
      <c r="A6" s="34"/>
      <c r="B6" s="49" t="s">
        <v>15</v>
      </c>
      <c r="C6" s="103">
        <f>INDEX(MitarbeiterPlan[],MATCH(INDEX(MitarbeiterAbweichungen[],ROW()-ROW(MitarbeiterAbweichungen[[#Headers],[Jan]]),1),INDEX(MitarbeiterPlan[],,1),0),MATCH(MitarbeiterAbweichungen[[#Headers],[Jan]],MitarbeiterPlan[#Headers],0))-INDEX(MitarbeiterTatsächlich[],MATCH(INDEX(MitarbeiterAbweichungen[],ROW()-ROW(MitarbeiterAbweichungen[[#Headers],[Jan]]),1),INDEX(MitarbeiterPlan[],,1),0),MATCH(MitarbeiterAbweichungen[[#Headers],[Jan]],MitarbeiterTatsächlich[#Headers],0))</f>
        <v>0</v>
      </c>
      <c r="D6" s="104">
        <f>INDEX(MitarbeiterPlan[],MATCH(INDEX(MitarbeiterAbweichungen[],ROW()-ROW(MitarbeiterAbweichungen[[#Headers],[Feb]]),1),INDEX(MitarbeiterPlan[],,1),0),MATCH(MitarbeiterAbweichungen[[#Headers],[Feb]],MitarbeiterPlan[#Headers],0))-INDEX(MitarbeiterTatsächlich[],MATCH(INDEX(MitarbeiterAbweichungen[],ROW()-ROW(MitarbeiterAbweichungen[[#Headers],[Feb]]),1),INDEX(MitarbeiterPlan[],,1),0),MATCH(MitarbeiterAbweichungen[[#Headers],[Feb]],MitarbeiterTatsächlich[#Headers],0))</f>
        <v>0</v>
      </c>
      <c r="E6" s="104">
        <f>INDEX(MitarbeiterPlan[],MATCH(INDEX(MitarbeiterAbweichungen[],ROW()-ROW(MitarbeiterAbweichungen[[#Headers],[Mrz]]),1),INDEX(MitarbeiterPlan[],,1),0),MATCH(MitarbeiterAbweichungen[[#Headers],[Mrz]],MitarbeiterPlan[#Headers],0))-INDEX(MitarbeiterTatsächlich[],MATCH(INDEX(MitarbeiterAbweichungen[],ROW()-ROW(MitarbeiterAbweichungen[[#Headers],[Mrz]]),1),INDEX(MitarbeiterPlan[],,1),0),MATCH(MitarbeiterAbweichungen[[#Headers],[Mrz]],MitarbeiterTatsächlich[#Headers],0))</f>
        <v>0</v>
      </c>
      <c r="F6" s="104">
        <f>INDEX(MitarbeiterPlan[],MATCH(INDEX(MitarbeiterAbweichungen[],ROW()-ROW(MitarbeiterAbweichungen[[#Headers],[Apr]]),1),INDEX(MitarbeiterPlan[],,1),0),MATCH(MitarbeiterAbweichungen[[#Headers],[Apr]],MitarbeiterPlan[#Headers],0))-INDEX(MitarbeiterTatsächlich[],MATCH(INDEX(MitarbeiterAbweichungen[],ROW()-ROW(MitarbeiterAbweichungen[[#Headers],[Apr]]),1),INDEX(MitarbeiterPlan[],,1),0),MATCH(MitarbeiterAbweichungen[[#Headers],[Apr]],MitarbeiterTatsächlich[#Headers],0))</f>
        <v>-500</v>
      </c>
      <c r="G6" s="104">
        <f>INDEX(MitarbeiterPlan[],MATCH(INDEX(MitarbeiterAbweichungen[],ROW()-ROW(MitarbeiterAbweichungen[[#Headers],[Mai]]),1),INDEX(MitarbeiterPlan[],,1),0),MATCH(MitarbeiterAbweichungen[[#Headers],[Mai]],MitarbeiterPlan[#Headers],0))-INDEX(MitarbeiterTatsächlich[],MATCH(INDEX(MitarbeiterAbweichungen[],ROW()-ROW(MitarbeiterAbweichungen[[#Headers],[Mai]]),1),INDEX(MitarbeiterPlan[],,1),0),MATCH(MitarbeiterAbweichungen[[#Headers],[Mai]],MitarbeiterTatsächlich[#Headers],0))</f>
        <v>-500</v>
      </c>
      <c r="H6" s="104">
        <f>INDEX(MitarbeiterPlan[],MATCH(INDEX(MitarbeiterAbweichungen[],ROW()-ROW(MitarbeiterAbweichungen[[#Headers],[Jun]]),1),INDEX(MitarbeiterPlan[],,1),0),MATCH(MitarbeiterAbweichungen[[#Headers],[Jun]],MitarbeiterPlan[#Headers],0))-INDEX(MitarbeiterTatsächlich[],MATCH(INDEX(MitarbeiterAbweichungen[],ROW()-ROW(MitarbeiterAbweichungen[[#Headers],[Jun]]),1),INDEX(MitarbeiterPlan[],,1),0),MATCH(MitarbeiterAbweichungen[[#Headers],[Jun]],MitarbeiterTatsächlich[#Headers],0))</f>
        <v>-500</v>
      </c>
      <c r="I6" s="104">
        <f>INDEX(MitarbeiterPlan[],MATCH(INDEX(MitarbeiterAbweichungen[],ROW()-ROW(MitarbeiterAbweichungen[[#Headers],[Jul]]),1),INDEX(MitarbeiterPlan[],,1),0),MATCH(MitarbeiterAbweichungen[[#Headers],[Jul]],MitarbeiterPlan[#Headers],0))-INDEX(MitarbeiterTatsächlich[],MATCH(INDEX(MitarbeiterAbweichungen[],ROW()-ROW(MitarbeiterAbweichungen[[#Headers],[Jul]]),1),INDEX(MitarbeiterPlan[],,1),0),MATCH(MitarbeiterAbweichungen[[#Headers],[Jul]],MitarbeiterTatsächlich[#Headers],0))</f>
        <v>87500</v>
      </c>
      <c r="J6" s="104">
        <f>INDEX(MitarbeiterPlan[],MATCH(INDEX(MitarbeiterAbweichungen[],ROW()-ROW(MitarbeiterAbweichungen[[#Headers],[Aug]]),1),INDEX(MitarbeiterPlan[],,1),0),MATCH(MitarbeiterAbweichungen[[#Headers],[Aug]],MitarbeiterPlan[#Headers],0))-INDEX(MitarbeiterTatsächlich[],MATCH(INDEX(MitarbeiterAbweichungen[],ROW()-ROW(MitarbeiterAbweichungen[[#Headers],[Aug]]),1),INDEX(MitarbeiterPlan[],,1),0),MATCH(MitarbeiterAbweichungen[[#Headers],[Aug]],MitarbeiterTatsächlich[#Headers],0))</f>
        <v>92400</v>
      </c>
      <c r="K6" s="104">
        <f>INDEX(MitarbeiterPlan[],MATCH(INDEX(MitarbeiterAbweichungen[],ROW()-ROW(MitarbeiterAbweichungen[[#Headers],[Sep]]),1),INDEX(MitarbeiterPlan[],,1),0),MATCH(MitarbeiterAbweichungen[[#Headers],[Sep]],MitarbeiterPlan[#Headers],0))-INDEX(MitarbeiterTatsächlich[],MATCH(INDEX(MitarbeiterAbweichungen[],ROW()-ROW(MitarbeiterAbweichungen[[#Headers],[Sep]]),1),INDEX(MitarbeiterPlan[],,1),0),MATCH(MitarbeiterAbweichungen[[#Headers],[Sep]],MitarbeiterTatsächlich[#Headers],0))</f>
        <v>92400</v>
      </c>
      <c r="L6" s="104">
        <f>INDEX(MitarbeiterPlan[],MATCH(INDEX(MitarbeiterAbweichungen[],ROW()-ROW(MitarbeiterAbweichungen[[#Headers],[Okt]]),1),INDEX(MitarbeiterPlan[],,1),0),MATCH(MitarbeiterAbweichungen[[#Headers],[Okt]],MitarbeiterPlan[#Headers],0))-INDEX(MitarbeiterTatsächlich[],MATCH(INDEX(MitarbeiterAbweichungen[],ROW()-ROW(MitarbeiterAbweichungen[[#Headers],[Okt]]),1),INDEX(MitarbeiterPlan[],,1),0),MATCH(MitarbeiterAbweichungen[[#Headers],[Okt]],MitarbeiterTatsächlich[#Headers],0))</f>
        <v>92400</v>
      </c>
      <c r="M6" s="104">
        <f>INDEX(MitarbeiterPlan[],MATCH(INDEX(MitarbeiterAbweichungen[],ROW()-ROW(MitarbeiterAbweichungen[[#Headers],[Nov]]),1),INDEX(MitarbeiterPlan[],,1),0),MATCH(MitarbeiterAbweichungen[[#Headers],[Nov]],MitarbeiterPlan[#Headers],0))-INDEX(MitarbeiterTatsächlich[],MATCH(INDEX(MitarbeiterAbweichungen[],ROW()-ROW(MitarbeiterAbweichungen[[#Headers],[Nov]]),1),INDEX(MitarbeiterPlan[],,1),0),MATCH(MitarbeiterAbweichungen[[#Headers],[Nov]],MitarbeiterTatsächlich[#Headers],0))</f>
        <v>92400</v>
      </c>
      <c r="N6" s="104">
        <f>INDEX(MitarbeiterPlan[],MATCH(INDEX(MitarbeiterAbweichungen[],ROW()-ROW(MitarbeiterAbweichungen[[#Headers],[Dez]]),1),INDEX(MitarbeiterPlan[],,1),0),MATCH(MitarbeiterAbweichungen[[#Headers],[Dez]],MitarbeiterPlan[#Headers],0))-INDEX(MitarbeiterTatsächlich[],MATCH(INDEX(MitarbeiterAbweichungen[],ROW()-ROW(MitarbeiterAbweichungen[[#Headers],[Dez]]),1),INDEX(MitarbeiterPlan[],,1),0),MATCH(MitarbeiterAbweichungen[[#Headers],[Dez]],MitarbeiterTatsächlich[#Headers],0))</f>
        <v>92400</v>
      </c>
      <c r="O6" s="105">
        <f>SUM(MitarbeiterAbweichungen[[#This Row],[Jan]:[Dez]])</f>
        <v>548000</v>
      </c>
    </row>
    <row r="7" spans="1:16" ht="24.95" customHeight="1" thickBot="1" x14ac:dyDescent="0.35">
      <c r="A7" s="34"/>
      <c r="B7" s="49" t="s">
        <v>16</v>
      </c>
      <c r="C7" s="103">
        <f>INDEX(MitarbeiterPlan[],MATCH(INDEX(MitarbeiterAbweichungen[],ROW()-ROW(MitarbeiterAbweichungen[[#Headers],[Jan]]),1),INDEX(MitarbeiterPlan[],,1),0),MATCH(MitarbeiterAbweichungen[[#Headers],[Jan]],MitarbeiterPlan[#Headers],0))-INDEX(MitarbeiterTatsächlich[],MATCH(INDEX(MitarbeiterAbweichungen[],ROW()-ROW(MitarbeiterAbweichungen[[#Headers],[Jan]]),1),INDEX(MitarbeiterPlan[],,1),0),MATCH(MitarbeiterAbweichungen[[#Headers],[Jan]],MitarbeiterTatsächlich[#Headers],0))</f>
        <v>0</v>
      </c>
      <c r="D7" s="104">
        <f>INDEX(MitarbeiterPlan[],MATCH(INDEX(MitarbeiterAbweichungen[],ROW()-ROW(MitarbeiterAbweichungen[[#Headers],[Feb]]),1),INDEX(MitarbeiterPlan[],,1),0),MATCH(MitarbeiterAbweichungen[[#Headers],[Feb]],MitarbeiterPlan[#Headers],0))-INDEX(MitarbeiterTatsächlich[],MATCH(INDEX(MitarbeiterAbweichungen[],ROW()-ROW(MitarbeiterAbweichungen[[#Headers],[Feb]]),1),INDEX(MitarbeiterPlan[],,1),0),MATCH(MitarbeiterAbweichungen[[#Headers],[Feb]],MitarbeiterTatsächlich[#Headers],0))</f>
        <v>0</v>
      </c>
      <c r="E7" s="104">
        <f>INDEX(MitarbeiterPlan[],MATCH(INDEX(MitarbeiterAbweichungen[],ROW()-ROW(MitarbeiterAbweichungen[[#Headers],[Mrz]]),1),INDEX(MitarbeiterPlan[],,1),0),MATCH(MitarbeiterAbweichungen[[#Headers],[Mrz]],MitarbeiterPlan[#Headers],0))-INDEX(MitarbeiterTatsächlich[],MATCH(INDEX(MitarbeiterAbweichungen[],ROW()-ROW(MitarbeiterAbweichungen[[#Headers],[Mrz]]),1),INDEX(MitarbeiterPlan[],,1),0),MATCH(MitarbeiterAbweichungen[[#Headers],[Mrz]],MitarbeiterTatsächlich[#Headers],0))</f>
        <v>0</v>
      </c>
      <c r="F7" s="104">
        <f>INDEX(MitarbeiterPlan[],MATCH(INDEX(MitarbeiterAbweichungen[],ROW()-ROW(MitarbeiterAbweichungen[[#Headers],[Apr]]),1),INDEX(MitarbeiterPlan[],,1),0),MATCH(MitarbeiterAbweichungen[[#Headers],[Apr]],MitarbeiterPlan[#Headers],0))-INDEX(MitarbeiterTatsächlich[],MATCH(INDEX(MitarbeiterAbweichungen[],ROW()-ROW(MitarbeiterAbweichungen[[#Headers],[Apr]]),1),INDEX(MitarbeiterPlan[],,1),0),MATCH(MitarbeiterAbweichungen[[#Headers],[Apr]],MitarbeiterTatsächlich[#Headers],0))</f>
        <v>-135</v>
      </c>
      <c r="G7" s="104">
        <f>INDEX(MitarbeiterPlan[],MATCH(INDEX(MitarbeiterAbweichungen[],ROW()-ROW(MitarbeiterAbweichungen[[#Headers],[Mai]]),1),INDEX(MitarbeiterPlan[],,1),0),MATCH(MitarbeiterAbweichungen[[#Headers],[Mai]],MitarbeiterPlan[#Headers],0))-INDEX(MitarbeiterTatsächlich[],MATCH(INDEX(MitarbeiterAbweichungen[],ROW()-ROW(MitarbeiterAbweichungen[[#Headers],[Mai]]),1),INDEX(MitarbeiterPlan[],,1),0),MATCH(MitarbeiterAbweichungen[[#Headers],[Mai]],MitarbeiterTatsächlich[#Headers],0))</f>
        <v>-135</v>
      </c>
      <c r="H7" s="104">
        <f>INDEX(MitarbeiterPlan[],MATCH(INDEX(MitarbeiterAbweichungen[],ROW()-ROW(MitarbeiterAbweichungen[[#Headers],[Jun]]),1),INDEX(MitarbeiterPlan[],,1),0),MATCH(MitarbeiterAbweichungen[[#Headers],[Jun]],MitarbeiterPlan[#Headers],0))-INDEX(MitarbeiterTatsächlich[],MATCH(INDEX(MitarbeiterAbweichungen[],ROW()-ROW(MitarbeiterAbweichungen[[#Headers],[Jun]]),1),INDEX(MitarbeiterPlan[],,1),0),MATCH(MitarbeiterAbweichungen[[#Headers],[Jun]],MitarbeiterTatsächlich[#Headers],0))</f>
        <v>-135</v>
      </c>
      <c r="I7" s="104">
        <f>INDEX(MitarbeiterPlan[],MATCH(INDEX(MitarbeiterAbweichungen[],ROW()-ROW(MitarbeiterAbweichungen[[#Headers],[Jul]]),1),INDEX(MitarbeiterPlan[],,1),0),MATCH(MitarbeiterAbweichungen[[#Headers],[Jul]],MitarbeiterPlan[#Headers],0))-INDEX(MitarbeiterTatsächlich[],MATCH(INDEX(MitarbeiterAbweichungen[],ROW()-ROW(MitarbeiterAbweichungen[[#Headers],[Jul]]),1),INDEX(MitarbeiterPlan[],,1),0),MATCH(MitarbeiterAbweichungen[[#Headers],[Jul]],MitarbeiterTatsächlich[#Headers],0))</f>
        <v>23625</v>
      </c>
      <c r="J7" s="104">
        <f>INDEX(MitarbeiterPlan[],MATCH(INDEX(MitarbeiterAbweichungen[],ROW()-ROW(MitarbeiterAbweichungen[[#Headers],[Aug]]),1),INDEX(MitarbeiterPlan[],,1),0),MATCH(MitarbeiterAbweichungen[[#Headers],[Aug]],MitarbeiterPlan[#Headers],0))-INDEX(MitarbeiterTatsächlich[],MATCH(INDEX(MitarbeiterAbweichungen[],ROW()-ROW(MitarbeiterAbweichungen[[#Headers],[Aug]]),1),INDEX(MitarbeiterPlan[],,1),0),MATCH(MitarbeiterAbweichungen[[#Headers],[Aug]],MitarbeiterTatsächlich[#Headers],0))</f>
        <v>24948</v>
      </c>
      <c r="K7" s="104">
        <f>INDEX(MitarbeiterPlan[],MATCH(INDEX(MitarbeiterAbweichungen[],ROW()-ROW(MitarbeiterAbweichungen[[#Headers],[Sep]]),1),INDEX(MitarbeiterPlan[],,1),0),MATCH(MitarbeiterAbweichungen[[#Headers],[Sep]],MitarbeiterPlan[#Headers],0))-INDEX(MitarbeiterTatsächlich[],MATCH(INDEX(MitarbeiterAbweichungen[],ROW()-ROW(MitarbeiterAbweichungen[[#Headers],[Sep]]),1),INDEX(MitarbeiterPlan[],,1),0),MATCH(MitarbeiterAbweichungen[[#Headers],[Sep]],MitarbeiterTatsächlich[#Headers],0))</f>
        <v>24948</v>
      </c>
      <c r="L7" s="104">
        <f>INDEX(MitarbeiterPlan[],MATCH(INDEX(MitarbeiterAbweichungen[],ROW()-ROW(MitarbeiterAbweichungen[[#Headers],[Okt]]),1),INDEX(MitarbeiterPlan[],,1),0),MATCH(MitarbeiterAbweichungen[[#Headers],[Okt]],MitarbeiterPlan[#Headers],0))-INDEX(MitarbeiterTatsächlich[],MATCH(INDEX(MitarbeiterAbweichungen[],ROW()-ROW(MitarbeiterAbweichungen[[#Headers],[Okt]]),1),INDEX(MitarbeiterPlan[],,1),0),MATCH(MitarbeiterAbweichungen[[#Headers],[Okt]],MitarbeiterTatsächlich[#Headers],0))</f>
        <v>24948</v>
      </c>
      <c r="M7" s="104">
        <f>INDEX(MitarbeiterPlan[],MATCH(INDEX(MitarbeiterAbweichungen[],ROW()-ROW(MitarbeiterAbweichungen[[#Headers],[Nov]]),1),INDEX(MitarbeiterPlan[],,1),0),MATCH(MitarbeiterAbweichungen[[#Headers],[Nov]],MitarbeiterPlan[#Headers],0))-INDEX(MitarbeiterTatsächlich[],MATCH(INDEX(MitarbeiterAbweichungen[],ROW()-ROW(MitarbeiterAbweichungen[[#Headers],[Nov]]),1),INDEX(MitarbeiterPlan[],,1),0),MATCH(MitarbeiterAbweichungen[[#Headers],[Nov]],MitarbeiterTatsächlich[#Headers],0))</f>
        <v>24948</v>
      </c>
      <c r="N7" s="104">
        <f>INDEX(MitarbeiterPlan[],MATCH(INDEX(MitarbeiterAbweichungen[],ROW()-ROW(MitarbeiterAbweichungen[[#Headers],[Dez]]),1),INDEX(MitarbeiterPlan[],,1),0),MATCH(MitarbeiterAbweichungen[[#Headers],[Dez]],MitarbeiterPlan[#Headers],0))-INDEX(MitarbeiterTatsächlich[],MATCH(INDEX(MitarbeiterAbweichungen[],ROW()-ROW(MitarbeiterAbweichungen[[#Headers],[Dez]]),1),INDEX(MitarbeiterPlan[],,1),0),MATCH(MitarbeiterAbweichungen[[#Headers],[Dez]],MitarbeiterTatsächlich[#Headers],0))</f>
        <v>24948</v>
      </c>
      <c r="O7" s="105">
        <f>SUM(MitarbeiterAbweichungen[[#This Row],[Jan]:[Dez]])</f>
        <v>147960</v>
      </c>
    </row>
    <row r="8" spans="1:16" ht="24.95" customHeight="1" x14ac:dyDescent="0.3">
      <c r="A8" s="34"/>
      <c r="B8" s="80" t="s">
        <v>17</v>
      </c>
      <c r="C8" s="112">
        <f>SUBTOTAL(109,MitarbeiterAbweichungen[Jan])</f>
        <v>0</v>
      </c>
      <c r="D8" s="112">
        <f>SUBTOTAL(109,MitarbeiterAbweichungen[Feb])</f>
        <v>0</v>
      </c>
      <c r="E8" s="112">
        <f>SUBTOTAL(109,MitarbeiterAbweichungen[Mrz])</f>
        <v>0</v>
      </c>
      <c r="F8" s="112">
        <f>SUBTOTAL(109,MitarbeiterAbweichungen[Apr])</f>
        <v>-635</v>
      </c>
      <c r="G8" s="112">
        <f>SUBTOTAL(109,MitarbeiterAbweichungen[Mai])</f>
        <v>-635</v>
      </c>
      <c r="H8" s="112">
        <f>SUBTOTAL(109,MitarbeiterAbweichungen[Jun])</f>
        <v>-635</v>
      </c>
      <c r="I8" s="112">
        <f>SUBTOTAL(109,MitarbeiterAbweichungen[Jul])</f>
        <v>111125</v>
      </c>
      <c r="J8" s="112">
        <f>SUBTOTAL(109,MitarbeiterAbweichungen[Aug])</f>
        <v>117348</v>
      </c>
      <c r="K8" s="112">
        <f>SUBTOTAL(109,MitarbeiterAbweichungen[Sep])</f>
        <v>117348</v>
      </c>
      <c r="L8" s="112">
        <f>SUBTOTAL(109,MitarbeiterAbweichungen[Okt])</f>
        <v>117348</v>
      </c>
      <c r="M8" s="112">
        <f>SUBTOTAL(109,MitarbeiterAbweichungen[Nov])</f>
        <v>117348</v>
      </c>
      <c r="N8" s="112">
        <f>SUBTOTAL(109,MitarbeiterAbweichungen[Dez])</f>
        <v>117348</v>
      </c>
      <c r="O8" s="113">
        <f>SUBTOTAL(109,MitarbeiterAbweichungen[JAHR])</f>
        <v>695960</v>
      </c>
    </row>
    <row r="9" spans="1:16" ht="21" customHeight="1" x14ac:dyDescent="0.3">
      <c r="A9" s="34"/>
      <c r="B9" s="134"/>
      <c r="C9" s="134"/>
      <c r="D9" s="145"/>
      <c r="E9" s="145"/>
      <c r="F9" s="145"/>
      <c r="G9" s="145"/>
      <c r="H9" s="145"/>
      <c r="I9" s="145"/>
      <c r="J9" s="145"/>
      <c r="K9" s="145"/>
      <c r="L9" s="145"/>
      <c r="M9" s="145"/>
      <c r="N9" s="145"/>
      <c r="O9" s="146"/>
    </row>
    <row r="10" spans="1:16" ht="24.95" customHeight="1" thickBot="1" x14ac:dyDescent="0.35">
      <c r="A10" s="34" t="s">
        <v>101</v>
      </c>
      <c r="B10" s="52" t="s">
        <v>18</v>
      </c>
      <c r="C10" s="68" t="s">
        <v>41</v>
      </c>
      <c r="D10" s="68" t="s">
        <v>43</v>
      </c>
      <c r="E10" s="91" t="s">
        <v>45</v>
      </c>
      <c r="F10" s="68" t="s">
        <v>47</v>
      </c>
      <c r="G10" s="68" t="s">
        <v>49</v>
      </c>
      <c r="H10" s="68" t="s">
        <v>51</v>
      </c>
      <c r="I10" s="68" t="s">
        <v>53</v>
      </c>
      <c r="J10" s="68" t="s">
        <v>55</v>
      </c>
      <c r="K10" s="68" t="s">
        <v>59</v>
      </c>
      <c r="L10" s="68" t="s">
        <v>61</v>
      </c>
      <c r="M10" s="68" t="s">
        <v>63</v>
      </c>
      <c r="N10" s="68" t="s">
        <v>66</v>
      </c>
      <c r="O10" s="69" t="s">
        <v>67</v>
      </c>
    </row>
    <row r="11" spans="1:16" ht="24.95" customHeight="1" thickBot="1" x14ac:dyDescent="0.35">
      <c r="A11" s="34"/>
      <c r="B11" s="70" t="s">
        <v>19</v>
      </c>
      <c r="C11" s="104">
        <f>INDEX(Büroplan[],MATCH(INDEX(BüroAbweichungen[],ROW()-ROW(BüroAbweichungen[[#Headers],[Jan]]),1),INDEX(Büroplan[],,1),0),MATCH(BüroAbweichungen[[#Headers],[Jan]],Büroplan[#Headers],0))-INDEX(BüroTatsächlich[],MATCH(INDEX(BüroAbweichungen[],ROW()-ROW(BüroAbweichungen[[#Headers],[Jan]]),1),INDEX(Büroplan[],,1),0),MATCH(BüroAbweichungen[[#Headers],[Jan]],BüroTatsächlich[#Headers],0))</f>
        <v>0</v>
      </c>
      <c r="D11" s="104">
        <f>INDEX(Büroplan[],MATCH(INDEX(BüroAbweichungen[],ROW()-ROW(BüroAbweichungen[[#Headers],[Feb]]),1),INDEX(Büroplan[],,1),0),MATCH(BüroAbweichungen[[#Headers],[Feb]],Büroplan[#Headers],0))-INDEX(BüroTatsächlich[],MATCH(INDEX(BüroAbweichungen[],ROW()-ROW(BüroAbweichungen[[#Headers],[Feb]]),1),INDEX(Büroplan[],,1),0),MATCH(BüroAbweichungen[[#Headers],[Feb]],BüroTatsächlich[#Headers],0))</f>
        <v>0</v>
      </c>
      <c r="E11" s="104">
        <f>INDEX(Büroplan[],MATCH(INDEX(BüroAbweichungen[],ROW()-ROW(BüroAbweichungen[[#Headers],[Mrz]]),1),INDEX(Büroplan[],,1),0),MATCH(BüroAbweichungen[[#Headers],[Mrz]],Büroplan[#Headers],0))-INDEX(BüroTatsächlich[],MATCH(INDEX(BüroAbweichungen[],ROW()-ROW(BüroAbweichungen[[#Headers],[Mrz]]),1),INDEX(Büroplan[],,1),0),MATCH(BüroAbweichungen[[#Headers],[Mrz]],BüroTatsächlich[#Headers],0))</f>
        <v>0</v>
      </c>
      <c r="F11" s="104">
        <f>INDEX(Büroplan[],MATCH(INDEX(BüroAbweichungen[],ROW()-ROW(BüroAbweichungen[[#Headers],[Apr]]),1),INDEX(Büroplan[],,1),0),MATCH(BüroAbweichungen[[#Headers],[Apr]],Büroplan[#Headers],0))-INDEX(BüroTatsächlich[],MATCH(INDEX(BüroAbweichungen[],ROW()-ROW(BüroAbweichungen[[#Headers],[Apr]]),1),INDEX(Büroplan[],,1),0),MATCH(BüroAbweichungen[[#Headers],[Apr]],BüroTatsächlich[#Headers],0))</f>
        <v>0</v>
      </c>
      <c r="G11" s="104">
        <f>INDEX(Büroplan[],MATCH(INDEX(BüroAbweichungen[],ROW()-ROW(BüroAbweichungen[[#Headers],[Mai]]),1),INDEX(Büroplan[],,1),0),MATCH(BüroAbweichungen[[#Headers],[Mai]],Büroplan[#Headers],0))-INDEX(BüroTatsächlich[],MATCH(INDEX(BüroAbweichungen[],ROW()-ROW(BüroAbweichungen[[#Headers],[Mai]]),1),INDEX(Büroplan[],,1),0),MATCH(BüroAbweichungen[[#Headers],[Mai]],BüroTatsächlich[#Headers],0))</f>
        <v>0</v>
      </c>
      <c r="H11" s="104">
        <f>INDEX(Büroplan[],MATCH(INDEX(BüroAbweichungen[],ROW()-ROW(BüroAbweichungen[[#Headers],[Jun]]),1),INDEX(Büroplan[],,1),0),MATCH(BüroAbweichungen[[#Headers],[Jun]],Büroplan[#Headers],0))-INDEX(BüroTatsächlich[],MATCH(INDEX(BüroAbweichungen[],ROW()-ROW(BüroAbweichungen[[#Headers],[Jun]]),1),INDEX(Büroplan[],,1),0),MATCH(BüroAbweichungen[[#Headers],[Jun]],BüroTatsächlich[#Headers],0))</f>
        <v>0</v>
      </c>
      <c r="I11" s="104">
        <f>INDEX(Büroplan[],MATCH(INDEX(BüroAbweichungen[],ROW()-ROW(BüroAbweichungen[[#Headers],[Jul]]),1),INDEX(Büroplan[],,1),0),MATCH(BüroAbweichungen[[#Headers],[Jul]],Büroplan[#Headers],0))-INDEX(BüroTatsächlich[],MATCH(INDEX(BüroAbweichungen[],ROW()-ROW(BüroAbweichungen[[#Headers],[Jul]]),1),INDEX(Büroplan[],,1),0),MATCH(BüroAbweichungen[[#Headers],[Jul]],BüroTatsächlich[#Headers],0))</f>
        <v>9800</v>
      </c>
      <c r="J11" s="104">
        <f>INDEX(Büroplan[],MATCH(INDEX(BüroAbweichungen[],ROW()-ROW(BüroAbweichungen[[#Headers],[Aug]]),1),INDEX(Büroplan[],,1),0),MATCH(BüroAbweichungen[[#Headers],[Aug]],Büroplan[#Headers],0))-INDEX(BüroTatsächlich[],MATCH(INDEX(BüroAbweichungen[],ROW()-ROW(BüroAbweichungen[[#Headers],[Aug]]),1),INDEX(Büroplan[],,1),0),MATCH(BüroAbweichungen[[#Headers],[Aug]],BüroTatsächlich[#Headers],0))</f>
        <v>9800</v>
      </c>
      <c r="K11" s="104">
        <f>INDEX(Büroplan[],MATCH(INDEX(BüroAbweichungen[],ROW()-ROW(BüroAbweichungen[[#Headers],[Sep]]),1),INDEX(Büroplan[],,1),0),MATCH(BüroAbweichungen[[#Headers],[Sep]],Büroplan[#Headers],0))-INDEX(BüroTatsächlich[],MATCH(INDEX(BüroAbweichungen[],ROW()-ROW(BüroAbweichungen[[#Headers],[Sep]]),1),INDEX(Büroplan[],,1),0),MATCH(BüroAbweichungen[[#Headers],[Sep]],BüroTatsächlich[#Headers],0))</f>
        <v>9800</v>
      </c>
      <c r="L11" s="104">
        <f>INDEX(Büroplan[],MATCH(INDEX(BüroAbweichungen[],ROW()-ROW(BüroAbweichungen[[#Headers],[Okt]]),1),INDEX(Büroplan[],,1),0),MATCH(BüroAbweichungen[[#Headers],[Okt]],Büroplan[#Headers],0))-INDEX(BüroTatsächlich[],MATCH(INDEX(BüroAbweichungen[],ROW()-ROW(BüroAbweichungen[[#Headers],[Okt]]),1),INDEX(Büroplan[],,1),0),MATCH(BüroAbweichungen[[#Headers],[Okt]],BüroTatsächlich[#Headers],0))</f>
        <v>9800</v>
      </c>
      <c r="M11" s="104">
        <f>INDEX(Büroplan[],MATCH(INDEX(BüroAbweichungen[],ROW()-ROW(BüroAbweichungen[[#Headers],[Nov]]),1),INDEX(Büroplan[],,1),0),MATCH(BüroAbweichungen[[#Headers],[Nov]],Büroplan[#Headers],0))-INDEX(BüroTatsächlich[],MATCH(INDEX(BüroAbweichungen[],ROW()-ROW(BüroAbweichungen[[#Headers],[Nov]]),1),INDEX(Büroplan[],,1),0),MATCH(BüroAbweichungen[[#Headers],[Nov]],BüroTatsächlich[#Headers],0))</f>
        <v>9800</v>
      </c>
      <c r="N11" s="104">
        <f>INDEX(Büroplan[],MATCH(INDEX(BüroAbweichungen[],ROW()-ROW(BüroAbweichungen[[#Headers],[Dez]]),1),INDEX(Büroplan[],,1),0),MATCH(BüroAbweichungen[[#Headers],[Dez]],Büroplan[#Headers],0))-INDEX(BüroTatsächlich[],MATCH(INDEX(BüroAbweichungen[],ROW()-ROW(BüroAbweichungen[[#Headers],[Dez]]),1),INDEX(Büroplan[],,1),0),MATCH(BüroAbweichungen[[#Headers],[Dez]],BüroTatsächlich[#Headers],0))</f>
        <v>9800</v>
      </c>
      <c r="O11" s="105">
        <f>SUM(BüroAbweichungen[[#This Row],[Jan]:[Dez]])</f>
        <v>58800</v>
      </c>
    </row>
    <row r="12" spans="1:16" ht="24.95" customHeight="1" thickBot="1" x14ac:dyDescent="0.35">
      <c r="A12" s="34"/>
      <c r="B12" s="70" t="s">
        <v>20</v>
      </c>
      <c r="C12" s="104">
        <f>INDEX(Büroplan[],MATCH(INDEX(BüroAbweichungen[],ROW()-ROW(BüroAbweichungen[[#Headers],[Jan]]),1),INDEX(Büroplan[],,1),0),MATCH(BüroAbweichungen[[#Headers],[Jan]],Büroplan[#Headers],0))-INDEX(BüroTatsächlich[],MATCH(INDEX(BüroAbweichungen[],ROW()-ROW(BüroAbweichungen[[#Headers],[Jan]]),1),INDEX(Büroplan[],,1),0),MATCH(BüroAbweichungen[[#Headers],[Jan]],BüroTatsächlich[#Headers],0))</f>
        <v>-4</v>
      </c>
      <c r="D12" s="104">
        <f>INDEX(Büroplan[],MATCH(INDEX(BüroAbweichungen[],ROW()-ROW(BüroAbweichungen[[#Headers],[Feb]]),1),INDEX(Büroplan[],,1),0),MATCH(BüroAbweichungen[[#Headers],[Feb]],Büroplan[#Headers],0))-INDEX(BüroTatsächlich[],MATCH(INDEX(BüroAbweichungen[],ROW()-ROW(BüroAbweichungen[[#Headers],[Feb]]),1),INDEX(Büroplan[],,1),0),MATCH(BüroAbweichungen[[#Headers],[Feb]],BüroTatsächlich[#Headers],0))</f>
        <v>-30</v>
      </c>
      <c r="E12" s="104">
        <f>INDEX(Büroplan[],MATCH(INDEX(BüroAbweichungen[],ROW()-ROW(BüroAbweichungen[[#Headers],[Mrz]]),1),INDEX(Büroplan[],,1),0),MATCH(BüroAbweichungen[[#Headers],[Mrz]],Büroplan[#Headers],0))-INDEX(BüroTatsächlich[],MATCH(INDEX(BüroAbweichungen[],ROW()-ROW(BüroAbweichungen[[#Headers],[Mrz]]),1),INDEX(Büroplan[],,1),0),MATCH(BüroAbweichungen[[#Headers],[Mrz]],BüroTatsächlich[#Headers],0))</f>
        <v>15</v>
      </c>
      <c r="F12" s="104">
        <f>INDEX(Büroplan[],MATCH(INDEX(BüroAbweichungen[],ROW()-ROW(BüroAbweichungen[[#Headers],[Apr]]),1),INDEX(Büroplan[],,1),0),MATCH(BüroAbweichungen[[#Headers],[Apr]],Büroplan[#Headers],0))-INDEX(BüroTatsächlich[],MATCH(INDEX(BüroAbweichungen[],ROW()-ROW(BüroAbweichungen[[#Headers],[Apr]]),1),INDEX(Büroplan[],,1),0),MATCH(BüroAbweichungen[[#Headers],[Apr]],BüroTatsächlich[#Headers],0))</f>
        <v>-130</v>
      </c>
      <c r="G12" s="104">
        <f>INDEX(Büroplan[],MATCH(INDEX(BüroAbweichungen[],ROW()-ROW(BüroAbweichungen[[#Headers],[Mai]]),1),INDEX(Büroplan[],,1),0),MATCH(BüroAbweichungen[[#Headers],[Mai]],Büroplan[#Headers],0))-INDEX(BüroTatsächlich[],MATCH(INDEX(BüroAbweichungen[],ROW()-ROW(BüroAbweichungen[[#Headers],[Mai]]),1),INDEX(Büroplan[],,1),0),MATCH(BüroAbweichungen[[#Headers],[Mai]],BüroTatsächlich[#Headers],0))</f>
        <v>13</v>
      </c>
      <c r="H12" s="104">
        <f>INDEX(Büroplan[],MATCH(INDEX(BüroAbweichungen[],ROW()-ROW(BüroAbweichungen[[#Headers],[Jun]]),1),INDEX(Büroplan[],,1),0),MATCH(BüroAbweichungen[[#Headers],[Jun]],Büroplan[#Headers],0))-INDEX(BüroTatsächlich[],MATCH(INDEX(BüroAbweichungen[],ROW()-ROW(BüroAbweichungen[[#Headers],[Jun]]),1),INDEX(Büroplan[],,1),0),MATCH(BüroAbweichungen[[#Headers],[Jun]],BüroTatsächlich[#Headers],0))</f>
        <v>12</v>
      </c>
      <c r="I12" s="104">
        <f>INDEX(Büroplan[],MATCH(INDEX(BüroAbweichungen[],ROW()-ROW(BüroAbweichungen[[#Headers],[Jul]]),1),INDEX(Büroplan[],,1),0),MATCH(BüroAbweichungen[[#Headers],[Jul]],Büroplan[#Headers],0))-INDEX(BüroTatsächlich[],MATCH(INDEX(BüroAbweichungen[],ROW()-ROW(BüroAbweichungen[[#Headers],[Jul]]),1),INDEX(Büroplan[],,1),0),MATCH(BüroAbweichungen[[#Headers],[Jul]],BüroTatsächlich[#Headers],0))</f>
        <v>100</v>
      </c>
      <c r="J12" s="104">
        <f>INDEX(Büroplan[],MATCH(INDEX(BüroAbweichungen[],ROW()-ROW(BüroAbweichungen[[#Headers],[Aug]]),1),INDEX(Büroplan[],,1),0),MATCH(BüroAbweichungen[[#Headers],[Aug]],Büroplan[#Headers],0))-INDEX(BüroTatsächlich[],MATCH(INDEX(BüroAbweichungen[],ROW()-ROW(BüroAbweichungen[[#Headers],[Aug]]),1),INDEX(Büroplan[],,1),0),MATCH(BüroAbweichungen[[#Headers],[Aug]],BüroTatsächlich[#Headers],0))</f>
        <v>100</v>
      </c>
      <c r="K12" s="104">
        <f>INDEX(Büroplan[],MATCH(INDEX(BüroAbweichungen[],ROW()-ROW(BüroAbweichungen[[#Headers],[Sep]]),1),INDEX(Büroplan[],,1),0),MATCH(BüroAbweichungen[[#Headers],[Sep]],Büroplan[#Headers],0))-INDEX(BüroTatsächlich[],MATCH(INDEX(BüroAbweichungen[],ROW()-ROW(BüroAbweichungen[[#Headers],[Sep]]),1),INDEX(Büroplan[],,1),0),MATCH(BüroAbweichungen[[#Headers],[Sep]],BüroTatsächlich[#Headers],0))</f>
        <v>100</v>
      </c>
      <c r="L12" s="104">
        <f>INDEX(Büroplan[],MATCH(INDEX(BüroAbweichungen[],ROW()-ROW(BüroAbweichungen[[#Headers],[Okt]]),1),INDEX(Büroplan[],,1),0),MATCH(BüroAbweichungen[[#Headers],[Okt]],Büroplan[#Headers],0))-INDEX(BüroTatsächlich[],MATCH(INDEX(BüroAbweichungen[],ROW()-ROW(BüroAbweichungen[[#Headers],[Okt]]),1),INDEX(Büroplan[],,1),0),MATCH(BüroAbweichungen[[#Headers],[Okt]],BüroTatsächlich[#Headers],0))</f>
        <v>100</v>
      </c>
      <c r="M12" s="104">
        <f>INDEX(Büroplan[],MATCH(INDEX(BüroAbweichungen[],ROW()-ROW(BüroAbweichungen[[#Headers],[Nov]]),1),INDEX(Büroplan[],,1),0),MATCH(BüroAbweichungen[[#Headers],[Nov]],Büroplan[#Headers],0))-INDEX(BüroTatsächlich[],MATCH(INDEX(BüroAbweichungen[],ROW()-ROW(BüroAbweichungen[[#Headers],[Nov]]),1),INDEX(Büroplan[],,1),0),MATCH(BüroAbweichungen[[#Headers],[Nov]],BüroTatsächlich[#Headers],0))</f>
        <v>400</v>
      </c>
      <c r="N12" s="104">
        <f>INDEX(Büroplan[],MATCH(INDEX(BüroAbweichungen[],ROW()-ROW(BüroAbweichungen[[#Headers],[Dez]]),1),INDEX(Büroplan[],,1),0),MATCH(BüroAbweichungen[[#Headers],[Dez]],Büroplan[#Headers],0))-INDEX(BüroTatsächlich[],MATCH(INDEX(BüroAbweichungen[],ROW()-ROW(BüroAbweichungen[[#Headers],[Dez]]),1),INDEX(Büroplan[],,1),0),MATCH(BüroAbweichungen[[#Headers],[Dez]],BüroTatsächlich[#Headers],0))</f>
        <v>400</v>
      </c>
      <c r="O12" s="105">
        <f>SUM(BüroAbweichungen[[#This Row],[Jan]:[Dez]])</f>
        <v>1076</v>
      </c>
    </row>
    <row r="13" spans="1:16" ht="24.95" customHeight="1" thickBot="1" x14ac:dyDescent="0.35">
      <c r="A13" s="34"/>
      <c r="B13" s="70" t="s">
        <v>21</v>
      </c>
      <c r="C13" s="104">
        <f>INDEX(Büroplan[],MATCH(INDEX(BüroAbweichungen[],ROW()-ROW(BüroAbweichungen[[#Headers],[Jan]]),1),INDEX(Büroplan[],,1),0),MATCH(BüroAbweichungen[[#Headers],[Jan]],Büroplan[#Headers],0))-INDEX(BüroTatsächlich[],MATCH(INDEX(BüroAbweichungen[],ROW()-ROW(BüroAbweichungen[[#Headers],[Jan]]),1),INDEX(Büroplan[],,1),0),MATCH(BüroAbweichungen[[#Headers],[Jan]],BüroTatsächlich[#Headers],0))</f>
        <v>12</v>
      </c>
      <c r="D13" s="104">
        <f>INDEX(Büroplan[],MATCH(INDEX(BüroAbweichungen[],ROW()-ROW(BüroAbweichungen[[#Headers],[Feb]]),1),INDEX(Büroplan[],,1),0),MATCH(BüroAbweichungen[[#Headers],[Feb]],Büroplan[#Headers],0))-INDEX(BüroTatsächlich[],MATCH(INDEX(BüroAbweichungen[],ROW()-ROW(BüroAbweichungen[[#Headers],[Feb]]),1),INDEX(Büroplan[],,1),0),MATCH(BüroAbweichungen[[#Headers],[Feb]],BüroTatsächlich[#Headers],0))</f>
        <v>22</v>
      </c>
      <c r="E13" s="104">
        <f>INDEX(Büroplan[],MATCH(INDEX(BüroAbweichungen[],ROW()-ROW(BüroAbweichungen[[#Headers],[Mrz]]),1),INDEX(Büroplan[],,1),0),MATCH(BüroAbweichungen[[#Headers],[Mrz]],Büroplan[#Headers],0))-INDEX(BüroTatsächlich[],MATCH(INDEX(BüroAbweichungen[],ROW()-ROW(BüroAbweichungen[[#Headers],[Mrz]]),1),INDEX(Büroplan[],,1),0),MATCH(BüroAbweichungen[[#Headers],[Mrz]],BüroTatsächlich[#Headers],0))</f>
        <v>32</v>
      </c>
      <c r="F13" s="104">
        <f>INDEX(Büroplan[],MATCH(INDEX(BüroAbweichungen[],ROW()-ROW(BüroAbweichungen[[#Headers],[Apr]]),1),INDEX(Büroplan[],,1),0),MATCH(BüroAbweichungen[[#Headers],[Apr]],Büroplan[#Headers],0))-INDEX(BüroTatsächlich[],MATCH(INDEX(BüroAbweichungen[],ROW()-ROW(BüroAbweichungen[[#Headers],[Apr]]),1),INDEX(Büroplan[],,1),0),MATCH(BüroAbweichungen[[#Headers],[Apr]],BüroTatsächlich[#Headers],0))</f>
        <v>1</v>
      </c>
      <c r="G13" s="104">
        <f>INDEX(Büroplan[],MATCH(INDEX(BüroAbweichungen[],ROW()-ROW(BüroAbweichungen[[#Headers],[Mai]]),1),INDEX(Büroplan[],,1),0),MATCH(BüroAbweichungen[[#Headers],[Mai]],Büroplan[#Headers],0))-INDEX(BüroTatsächlich[],MATCH(INDEX(BüroAbweichungen[],ROW()-ROW(BüroAbweichungen[[#Headers],[Mai]]),1),INDEX(Büroplan[],,1),0),MATCH(BüroAbweichungen[[#Headers],[Mai]],BüroTatsächlich[#Headers],0))</f>
        <v>-6</v>
      </c>
      <c r="H13" s="104">
        <f>INDEX(Büroplan[],MATCH(INDEX(BüroAbweichungen[],ROW()-ROW(BüroAbweichungen[[#Headers],[Jun]]),1),INDEX(Büroplan[],,1),0),MATCH(BüroAbweichungen[[#Headers],[Jun]],Büroplan[#Headers],0))-INDEX(BüroTatsächlich[],MATCH(INDEX(BüroAbweichungen[],ROW()-ROW(BüroAbweichungen[[#Headers],[Jun]]),1),INDEX(Büroplan[],,1),0),MATCH(BüroAbweichungen[[#Headers],[Jun]],BüroTatsächlich[#Headers],0))</f>
        <v>10</v>
      </c>
      <c r="I13" s="104">
        <f>INDEX(Büroplan[],MATCH(INDEX(BüroAbweichungen[],ROW()-ROW(BüroAbweichungen[[#Headers],[Jul]]),1),INDEX(Büroplan[],,1),0),MATCH(BüroAbweichungen[[#Headers],[Jul]],Büroplan[#Headers],0))-INDEX(BüroTatsächlich[],MATCH(INDEX(BüroAbweichungen[],ROW()-ROW(BüroAbweichungen[[#Headers],[Jul]]),1),INDEX(Büroplan[],,1),0),MATCH(BüroAbweichungen[[#Headers],[Jul]],BüroTatsächlich[#Headers],0))</f>
        <v>300</v>
      </c>
      <c r="J13" s="104">
        <f>INDEX(Büroplan[],MATCH(INDEX(BüroAbweichungen[],ROW()-ROW(BüroAbweichungen[[#Headers],[Aug]]),1),INDEX(Büroplan[],,1),0),MATCH(BüroAbweichungen[[#Headers],[Aug]],Büroplan[#Headers],0))-INDEX(BüroTatsächlich[],MATCH(INDEX(BüroAbweichungen[],ROW()-ROW(BüroAbweichungen[[#Headers],[Aug]]),1),INDEX(Büroplan[],,1),0),MATCH(BüroAbweichungen[[#Headers],[Aug]],BüroTatsächlich[#Headers],0))</f>
        <v>300</v>
      </c>
      <c r="K13" s="104">
        <f>INDEX(Büroplan[],MATCH(INDEX(BüroAbweichungen[],ROW()-ROW(BüroAbweichungen[[#Headers],[Sep]]),1),INDEX(Büroplan[],,1),0),MATCH(BüroAbweichungen[[#Headers],[Sep]],Büroplan[#Headers],0))-INDEX(BüroTatsächlich[],MATCH(INDEX(BüroAbweichungen[],ROW()-ROW(BüroAbweichungen[[#Headers],[Sep]]),1),INDEX(Büroplan[],,1),0),MATCH(BüroAbweichungen[[#Headers],[Sep]],BüroTatsächlich[#Headers],0))</f>
        <v>300</v>
      </c>
      <c r="L13" s="104">
        <f>INDEX(Büroplan[],MATCH(INDEX(BüroAbweichungen[],ROW()-ROW(BüroAbweichungen[[#Headers],[Okt]]),1),INDEX(Büroplan[],,1),0),MATCH(BüroAbweichungen[[#Headers],[Okt]],Büroplan[#Headers],0))-INDEX(BüroTatsächlich[],MATCH(INDEX(BüroAbweichungen[],ROW()-ROW(BüroAbweichungen[[#Headers],[Okt]]),1),INDEX(Büroplan[],,1),0),MATCH(BüroAbweichungen[[#Headers],[Okt]],BüroTatsächlich[#Headers],0))</f>
        <v>300</v>
      </c>
      <c r="M13" s="104">
        <f>INDEX(Büroplan[],MATCH(INDEX(BüroAbweichungen[],ROW()-ROW(BüroAbweichungen[[#Headers],[Nov]]),1),INDEX(Büroplan[],,1),0),MATCH(BüroAbweichungen[[#Headers],[Nov]],Büroplan[#Headers],0))-INDEX(BüroTatsächlich[],MATCH(INDEX(BüroAbweichungen[],ROW()-ROW(BüroAbweichungen[[#Headers],[Nov]]),1),INDEX(Büroplan[],,1),0),MATCH(BüroAbweichungen[[#Headers],[Nov]],BüroTatsächlich[#Headers],0))</f>
        <v>300</v>
      </c>
      <c r="N13" s="104">
        <f>INDEX(Büroplan[],MATCH(INDEX(BüroAbweichungen[],ROW()-ROW(BüroAbweichungen[[#Headers],[Dez]]),1),INDEX(Büroplan[],,1),0),MATCH(BüroAbweichungen[[#Headers],[Dez]],Büroplan[#Headers],0))-INDEX(BüroTatsächlich[],MATCH(INDEX(BüroAbweichungen[],ROW()-ROW(BüroAbweichungen[[#Headers],[Dez]]),1),INDEX(Büroplan[],,1),0),MATCH(BüroAbweichungen[[#Headers],[Dez]],BüroTatsächlich[#Headers],0))</f>
        <v>300</v>
      </c>
      <c r="O13" s="105">
        <f>SUM(BüroAbweichungen[[#This Row],[Jan]:[Dez]])</f>
        <v>1871</v>
      </c>
    </row>
    <row r="14" spans="1:16" ht="24.95" customHeight="1" thickBot="1" x14ac:dyDescent="0.35">
      <c r="A14" s="34"/>
      <c r="B14" s="70" t="s">
        <v>22</v>
      </c>
      <c r="C14" s="104">
        <f>INDEX(Büroplan[],MATCH(INDEX(BüroAbweichungen[],ROW()-ROW(BüroAbweichungen[[#Headers],[Jan]]),1),INDEX(Büroplan[],,1),0),MATCH(BüroAbweichungen[[#Headers],[Jan]],Büroplan[#Headers],0))-INDEX(BüroTatsächlich[],MATCH(INDEX(BüroAbweichungen[],ROW()-ROW(BüroAbweichungen[[#Headers],[Jan]]),1),INDEX(Büroplan[],,1),0),MATCH(BüroAbweichungen[[#Headers],[Jan]],BüroTatsächlich[#Headers],0))</f>
        <v>5</v>
      </c>
      <c r="D14" s="104">
        <f>INDEX(Büroplan[],MATCH(INDEX(BüroAbweichungen[],ROW()-ROW(BüroAbweichungen[[#Headers],[Feb]]),1),INDEX(Büroplan[],,1),0),MATCH(BüroAbweichungen[[#Headers],[Feb]],Büroplan[#Headers],0))-INDEX(BüroTatsächlich[],MATCH(INDEX(BüroAbweichungen[],ROW()-ROW(BüroAbweichungen[[#Headers],[Feb]]),1),INDEX(Büroplan[],,1),0),MATCH(BüroAbweichungen[[#Headers],[Feb]],BüroTatsächlich[#Headers],0))</f>
        <v>7</v>
      </c>
      <c r="E14" s="104">
        <f>INDEX(Büroplan[],MATCH(INDEX(BüroAbweichungen[],ROW()-ROW(BüroAbweichungen[[#Headers],[Mrz]]),1),INDEX(Büroplan[],,1),0),MATCH(BüroAbweichungen[[#Headers],[Mrz]],Büroplan[#Headers],0))-INDEX(BüroTatsächlich[],MATCH(INDEX(BüroAbweichungen[],ROW()-ROW(BüroAbweichungen[[#Headers],[Mrz]]),1),INDEX(Büroplan[],,1),0),MATCH(BüroAbweichungen[[#Headers],[Mrz]],BüroTatsächlich[#Headers],0))</f>
        <v>6</v>
      </c>
      <c r="F14" s="104">
        <f>INDEX(Büroplan[],MATCH(INDEX(BüroAbweichungen[],ROW()-ROW(BüroAbweichungen[[#Headers],[Apr]]),1),INDEX(Büroplan[],,1),0),MATCH(BüroAbweichungen[[#Headers],[Apr]],Büroplan[#Headers],0))-INDEX(BüroTatsächlich[],MATCH(INDEX(BüroAbweichungen[],ROW()-ROW(BüroAbweichungen[[#Headers],[Apr]]),1),INDEX(Büroplan[],,1),0),MATCH(BüroAbweichungen[[#Headers],[Apr]],BüroTatsächlich[#Headers],0))</f>
        <v>4</v>
      </c>
      <c r="G14" s="104">
        <f>INDEX(Büroplan[],MATCH(INDEX(BüroAbweichungen[],ROW()-ROW(BüroAbweichungen[[#Headers],[Mai]]),1),INDEX(Büroplan[],,1),0),MATCH(BüroAbweichungen[[#Headers],[Mai]],Büroplan[#Headers],0))-INDEX(BüroTatsächlich[],MATCH(INDEX(BüroAbweichungen[],ROW()-ROW(BüroAbweichungen[[#Headers],[Mai]]),1),INDEX(Büroplan[],,1),0),MATCH(BüroAbweichungen[[#Headers],[Mai]],BüroTatsächlich[#Headers],0))</f>
        <v>6</v>
      </c>
      <c r="H14" s="104">
        <f>INDEX(Büroplan[],MATCH(INDEX(BüroAbweichungen[],ROW()-ROW(BüroAbweichungen[[#Headers],[Jun]]),1),INDEX(Büroplan[],,1),0),MATCH(BüroAbweichungen[[#Headers],[Jun]],Büroplan[#Headers],0))-INDEX(BüroTatsächlich[],MATCH(INDEX(BüroAbweichungen[],ROW()-ROW(BüroAbweichungen[[#Headers],[Jun]]),1),INDEX(Büroplan[],,1),0),MATCH(BüroAbweichungen[[#Headers],[Jun]],BüroTatsächlich[#Headers],0))</f>
        <v>4</v>
      </c>
      <c r="I14" s="104">
        <f>INDEX(Büroplan[],MATCH(INDEX(BüroAbweichungen[],ROW()-ROW(BüroAbweichungen[[#Headers],[Jul]]),1),INDEX(Büroplan[],,1),0),MATCH(BüroAbweichungen[[#Headers],[Jul]],Büroplan[#Headers],0))-INDEX(BüroTatsächlich[],MATCH(INDEX(BüroAbweichungen[],ROW()-ROW(BüroAbweichungen[[#Headers],[Jul]]),1),INDEX(Büroplan[],,1),0),MATCH(BüroAbweichungen[[#Headers],[Jul]],BüroTatsächlich[#Headers],0))</f>
        <v>40</v>
      </c>
      <c r="J14" s="104">
        <f>INDEX(Büroplan[],MATCH(INDEX(BüroAbweichungen[],ROW()-ROW(BüroAbweichungen[[#Headers],[Aug]]),1),INDEX(Büroplan[],,1),0),MATCH(BüroAbweichungen[[#Headers],[Aug]],Büroplan[#Headers],0))-INDEX(BüroTatsächlich[],MATCH(INDEX(BüroAbweichungen[],ROW()-ROW(BüroAbweichungen[[#Headers],[Aug]]),1),INDEX(Büroplan[],,1),0),MATCH(BüroAbweichungen[[#Headers],[Aug]],BüroTatsächlich[#Headers],0))</f>
        <v>40</v>
      </c>
      <c r="K14" s="104">
        <f>INDEX(Büroplan[],MATCH(INDEX(BüroAbweichungen[],ROW()-ROW(BüroAbweichungen[[#Headers],[Sep]]),1),INDEX(Büroplan[],,1),0),MATCH(BüroAbweichungen[[#Headers],[Sep]],Büroplan[#Headers],0))-INDEX(BüroTatsächlich[],MATCH(INDEX(BüroAbweichungen[],ROW()-ROW(BüroAbweichungen[[#Headers],[Sep]]),1),INDEX(Büroplan[],,1),0),MATCH(BüroAbweichungen[[#Headers],[Sep]],BüroTatsächlich[#Headers],0))</f>
        <v>40</v>
      </c>
      <c r="L14" s="104">
        <f>INDEX(Büroplan[],MATCH(INDEX(BüroAbweichungen[],ROW()-ROW(BüroAbweichungen[[#Headers],[Okt]]),1),INDEX(Büroplan[],,1),0),MATCH(BüroAbweichungen[[#Headers],[Okt]],Büroplan[#Headers],0))-INDEX(BüroTatsächlich[],MATCH(INDEX(BüroAbweichungen[],ROW()-ROW(BüroAbweichungen[[#Headers],[Okt]]),1),INDEX(Büroplan[],,1),0),MATCH(BüroAbweichungen[[#Headers],[Okt]],BüroTatsächlich[#Headers],0))</f>
        <v>40</v>
      </c>
      <c r="M14" s="104">
        <f>INDEX(Büroplan[],MATCH(INDEX(BüroAbweichungen[],ROW()-ROW(BüroAbweichungen[[#Headers],[Nov]]),1),INDEX(Büroplan[],,1),0),MATCH(BüroAbweichungen[[#Headers],[Nov]],Büroplan[#Headers],0))-INDEX(BüroTatsächlich[],MATCH(INDEX(BüroAbweichungen[],ROW()-ROW(BüroAbweichungen[[#Headers],[Nov]]),1),INDEX(Büroplan[],,1),0),MATCH(BüroAbweichungen[[#Headers],[Nov]],BüroTatsächlich[#Headers],0))</f>
        <v>40</v>
      </c>
      <c r="N14" s="104">
        <f>INDEX(Büroplan[],MATCH(INDEX(BüroAbweichungen[],ROW()-ROW(BüroAbweichungen[[#Headers],[Dez]]),1),INDEX(Büroplan[],,1),0),MATCH(BüroAbweichungen[[#Headers],[Dez]],Büroplan[#Headers],0))-INDEX(BüroTatsächlich[],MATCH(INDEX(BüroAbweichungen[],ROW()-ROW(BüroAbweichungen[[#Headers],[Dez]]),1),INDEX(Büroplan[],,1),0),MATCH(BüroAbweichungen[[#Headers],[Dez]],BüroTatsächlich[#Headers],0))</f>
        <v>40</v>
      </c>
      <c r="O14" s="105">
        <f>SUM(BüroAbweichungen[[#This Row],[Jan]:[Dez]])</f>
        <v>272</v>
      </c>
    </row>
    <row r="15" spans="1:16" ht="24.95" customHeight="1" thickBot="1" x14ac:dyDescent="0.35">
      <c r="A15" s="34"/>
      <c r="B15" s="70" t="s">
        <v>23</v>
      </c>
      <c r="C15" s="104">
        <f>INDEX(Büroplan[],MATCH(INDEX(BüroAbweichungen[],ROW()-ROW(BüroAbweichungen[[#Headers],[Jan]]),1),INDEX(Büroplan[],,1),0),MATCH(BüroAbweichungen[[#Headers],[Jan]],Büroplan[#Headers],0))-INDEX(BüroTatsächlich[],MATCH(INDEX(BüroAbweichungen[],ROW()-ROW(BüroAbweichungen[[#Headers],[Jan]]),1),INDEX(Büroplan[],,1),0),MATCH(BüroAbweichungen[[#Headers],[Jan]],BüroTatsächlich[#Headers],0))</f>
        <v>26</v>
      </c>
      <c r="D15" s="104">
        <f>INDEX(Büroplan[],MATCH(INDEX(BüroAbweichungen[],ROW()-ROW(BüroAbweichungen[[#Headers],[Feb]]),1),INDEX(Büroplan[],,1),0),MATCH(BüroAbweichungen[[#Headers],[Feb]],Büroplan[#Headers],0))-INDEX(BüroTatsächlich[],MATCH(INDEX(BüroAbweichungen[],ROW()-ROW(BüroAbweichungen[[#Headers],[Feb]]),1),INDEX(Büroplan[],,1),0),MATCH(BüroAbweichungen[[#Headers],[Feb]],BüroTatsächlich[#Headers],0))</f>
        <v>15</v>
      </c>
      <c r="E15" s="104">
        <f>INDEX(Büroplan[],MATCH(INDEX(BüroAbweichungen[],ROW()-ROW(BüroAbweichungen[[#Headers],[Mrz]]),1),INDEX(Büroplan[],,1),0),MATCH(BüroAbweichungen[[#Headers],[Mrz]],Büroplan[#Headers],0))-INDEX(BüroTatsächlich[],MATCH(INDEX(BüroAbweichungen[],ROW()-ROW(BüroAbweichungen[[#Headers],[Mrz]]),1),INDEX(Büroplan[],,1),0),MATCH(BüroAbweichungen[[#Headers],[Mrz]],BüroTatsächlich[#Headers],0))</f>
        <v>-15</v>
      </c>
      <c r="F15" s="104">
        <f>INDEX(Büroplan[],MATCH(INDEX(BüroAbweichungen[],ROW()-ROW(BüroAbweichungen[[#Headers],[Apr]]),1),INDEX(Büroplan[],,1),0),MATCH(BüroAbweichungen[[#Headers],[Apr]],Büroplan[#Headers],0))-INDEX(BüroTatsächlich[],MATCH(INDEX(BüroAbweichungen[],ROW()-ROW(BüroAbweichungen[[#Headers],[Apr]]),1),INDEX(Büroplan[],,1),0),MATCH(BüroAbweichungen[[#Headers],[Apr]],BüroTatsächlich[#Headers],0))</f>
        <v>5</v>
      </c>
      <c r="G15" s="104">
        <f>INDEX(Büroplan[],MATCH(INDEX(BüroAbweichungen[],ROW()-ROW(BüroAbweichungen[[#Headers],[Mai]]),1),INDEX(Büroplan[],,1),0),MATCH(BüroAbweichungen[[#Headers],[Mai]],Büroplan[#Headers],0))-INDEX(BüroTatsächlich[],MATCH(INDEX(BüroAbweichungen[],ROW()-ROW(BüroAbweichungen[[#Headers],[Mai]]),1),INDEX(Büroplan[],,1),0),MATCH(BüroAbweichungen[[#Headers],[Mai]],BüroTatsächlich[#Headers],0))</f>
        <v>5</v>
      </c>
      <c r="H15" s="104">
        <f>INDEX(Büroplan[],MATCH(INDEX(BüroAbweichungen[],ROW()-ROW(BüroAbweichungen[[#Headers],[Jun]]),1),INDEX(Büroplan[],,1),0),MATCH(BüroAbweichungen[[#Headers],[Jun]],Büroplan[#Headers],0))-INDEX(BüroTatsächlich[],MATCH(INDEX(BüroAbweichungen[],ROW()-ROW(BüroAbweichungen[[#Headers],[Jun]]),1),INDEX(Büroplan[],,1),0),MATCH(BüroAbweichungen[[#Headers],[Jun]],BüroTatsächlich[#Headers],0))</f>
        <v>30</v>
      </c>
      <c r="I15" s="104">
        <f>INDEX(Büroplan[],MATCH(INDEX(BüroAbweichungen[],ROW()-ROW(BüroAbweichungen[[#Headers],[Jul]]),1),INDEX(Büroplan[],,1),0),MATCH(BüroAbweichungen[[#Headers],[Jul]],Büroplan[#Headers],0))-INDEX(BüroTatsächlich[],MATCH(INDEX(BüroAbweichungen[],ROW()-ROW(BüroAbweichungen[[#Headers],[Jul]]),1),INDEX(Büroplan[],,1),0),MATCH(BüroAbweichungen[[#Headers],[Jul]],BüroTatsächlich[#Headers],0))</f>
        <v>250</v>
      </c>
      <c r="J15" s="104">
        <f>INDEX(Büroplan[],MATCH(INDEX(BüroAbweichungen[],ROW()-ROW(BüroAbweichungen[[#Headers],[Aug]]),1),INDEX(Büroplan[],,1),0),MATCH(BüroAbweichungen[[#Headers],[Aug]],Büroplan[#Headers],0))-INDEX(BüroTatsächlich[],MATCH(INDEX(BüroAbweichungen[],ROW()-ROW(BüroAbweichungen[[#Headers],[Aug]]),1),INDEX(Büroplan[],,1),0),MATCH(BüroAbweichungen[[#Headers],[Aug]],BüroTatsächlich[#Headers],0))</f>
        <v>250</v>
      </c>
      <c r="K15" s="104">
        <f>INDEX(Büroplan[],MATCH(INDEX(BüroAbweichungen[],ROW()-ROW(BüroAbweichungen[[#Headers],[Sep]]),1),INDEX(Büroplan[],,1),0),MATCH(BüroAbweichungen[[#Headers],[Sep]],Büroplan[#Headers],0))-INDEX(BüroTatsächlich[],MATCH(INDEX(BüroAbweichungen[],ROW()-ROW(BüroAbweichungen[[#Headers],[Sep]]),1),INDEX(Büroplan[],,1),0),MATCH(BüroAbweichungen[[#Headers],[Sep]],BüroTatsächlich[#Headers],0))</f>
        <v>250</v>
      </c>
      <c r="L15" s="104">
        <f>INDEX(Büroplan[],MATCH(INDEX(BüroAbweichungen[],ROW()-ROW(BüroAbweichungen[[#Headers],[Okt]]),1),INDEX(Büroplan[],,1),0),MATCH(BüroAbweichungen[[#Headers],[Okt]],Büroplan[#Headers],0))-INDEX(BüroTatsächlich[],MATCH(INDEX(BüroAbweichungen[],ROW()-ROW(BüroAbweichungen[[#Headers],[Okt]]),1),INDEX(Büroplan[],,1),0),MATCH(BüroAbweichungen[[#Headers],[Okt]],BüroTatsächlich[#Headers],0))</f>
        <v>250</v>
      </c>
      <c r="M15" s="104">
        <f>INDEX(Büroplan[],MATCH(INDEX(BüroAbweichungen[],ROW()-ROW(BüroAbweichungen[[#Headers],[Nov]]),1),INDEX(Büroplan[],,1),0),MATCH(BüroAbweichungen[[#Headers],[Nov]],Büroplan[#Headers],0))-INDEX(BüroTatsächlich[],MATCH(INDEX(BüroAbweichungen[],ROW()-ROW(BüroAbweichungen[[#Headers],[Nov]]),1),INDEX(Büroplan[],,1),0),MATCH(BüroAbweichungen[[#Headers],[Nov]],BüroTatsächlich[#Headers],0))</f>
        <v>250</v>
      </c>
      <c r="N15" s="104">
        <f>INDEX(Büroplan[],MATCH(INDEX(BüroAbweichungen[],ROW()-ROW(BüroAbweichungen[[#Headers],[Dez]]),1),INDEX(Büroplan[],,1),0),MATCH(BüroAbweichungen[[#Headers],[Dez]],Büroplan[#Headers],0))-INDEX(BüroTatsächlich[],MATCH(INDEX(BüroAbweichungen[],ROW()-ROW(BüroAbweichungen[[#Headers],[Dez]]),1),INDEX(Büroplan[],,1),0),MATCH(BüroAbweichungen[[#Headers],[Dez]],BüroTatsächlich[#Headers],0))</f>
        <v>250</v>
      </c>
      <c r="O15" s="105">
        <f>SUM(BüroAbweichungen[[#This Row],[Jan]:[Dez]])</f>
        <v>1566</v>
      </c>
    </row>
    <row r="16" spans="1:16" ht="24.95" customHeight="1" thickBot="1" x14ac:dyDescent="0.35">
      <c r="A16" s="34"/>
      <c r="B16" s="70" t="s">
        <v>24</v>
      </c>
      <c r="C16" s="104">
        <f>INDEX(Büroplan[],MATCH(INDEX(BüroAbweichungen[],ROW()-ROW(BüroAbweichungen[[#Headers],[Jan]]),1),INDEX(Büroplan[],,1),0),MATCH(BüroAbweichungen[[#Headers],[Jan]],Büroplan[#Headers],0))-INDEX(BüroTatsächlich[],MATCH(INDEX(BüroAbweichungen[],ROW()-ROW(BüroAbweichungen[[#Headers],[Jan]]),1),INDEX(Büroplan[],,1),0),MATCH(BüroAbweichungen[[#Headers],[Jan]],BüroTatsächlich[#Headers],0))</f>
        <v>0</v>
      </c>
      <c r="D16" s="104">
        <f>INDEX(Büroplan[],MATCH(INDEX(BüroAbweichungen[],ROW()-ROW(BüroAbweichungen[[#Headers],[Feb]]),1),INDEX(Büroplan[],,1),0),MATCH(BüroAbweichungen[[#Headers],[Feb]],Büroplan[#Headers],0))-INDEX(BüroTatsächlich[],MATCH(INDEX(BüroAbweichungen[],ROW()-ROW(BüroAbweichungen[[#Headers],[Feb]]),1),INDEX(Büroplan[],,1),0),MATCH(BüroAbweichungen[[#Headers],[Feb]],BüroTatsächlich[#Headers],0))</f>
        <v>0</v>
      </c>
      <c r="E16" s="104">
        <f>INDEX(Büroplan[],MATCH(INDEX(BüroAbweichungen[],ROW()-ROW(BüroAbweichungen[[#Headers],[Mrz]]),1),INDEX(Büroplan[],,1),0),MATCH(BüroAbweichungen[[#Headers],[Mrz]],Büroplan[#Headers],0))-INDEX(BüroTatsächlich[],MATCH(INDEX(BüroAbweichungen[],ROW()-ROW(BüroAbweichungen[[#Headers],[Mrz]]),1),INDEX(Büroplan[],,1),0),MATCH(BüroAbweichungen[[#Headers],[Mrz]],BüroTatsächlich[#Headers],0))</f>
        <v>0</v>
      </c>
      <c r="F16" s="104">
        <f>INDEX(Büroplan[],MATCH(INDEX(BüroAbweichungen[],ROW()-ROW(BüroAbweichungen[[#Headers],[Apr]]),1),INDEX(Büroplan[],,1),0),MATCH(BüroAbweichungen[[#Headers],[Apr]],Büroplan[#Headers],0))-INDEX(BüroTatsächlich[],MATCH(INDEX(BüroAbweichungen[],ROW()-ROW(BüroAbweichungen[[#Headers],[Apr]]),1),INDEX(Büroplan[],,1),0),MATCH(BüroAbweichungen[[#Headers],[Apr]],BüroTatsächlich[#Headers],0))</f>
        <v>0</v>
      </c>
      <c r="G16" s="104">
        <f>INDEX(Büroplan[],MATCH(INDEX(BüroAbweichungen[],ROW()-ROW(BüroAbweichungen[[#Headers],[Mai]]),1),INDEX(Büroplan[],,1),0),MATCH(BüroAbweichungen[[#Headers],[Mai]],Büroplan[#Headers],0))-INDEX(BüroTatsächlich[],MATCH(INDEX(BüroAbweichungen[],ROW()-ROW(BüroAbweichungen[[#Headers],[Mai]]),1),INDEX(Büroplan[],,1),0),MATCH(BüroAbweichungen[[#Headers],[Mai]],BüroTatsächlich[#Headers],0))</f>
        <v>0</v>
      </c>
      <c r="H16" s="104">
        <f>INDEX(Büroplan[],MATCH(INDEX(BüroAbweichungen[],ROW()-ROW(BüroAbweichungen[[#Headers],[Jun]]),1),INDEX(Büroplan[],,1),0),MATCH(BüroAbweichungen[[#Headers],[Jun]],Büroplan[#Headers],0))-INDEX(BüroTatsächlich[],MATCH(INDEX(BüroAbweichungen[],ROW()-ROW(BüroAbweichungen[[#Headers],[Jun]]),1),INDEX(Büroplan[],,1),0),MATCH(BüroAbweichungen[[#Headers],[Jun]],BüroTatsächlich[#Headers],0))</f>
        <v>0</v>
      </c>
      <c r="I16" s="104">
        <f>INDEX(Büroplan[],MATCH(INDEX(BüroAbweichungen[],ROW()-ROW(BüroAbweichungen[[#Headers],[Jul]]),1),INDEX(Büroplan[],,1),0),MATCH(BüroAbweichungen[[#Headers],[Jul]],Büroplan[#Headers],0))-INDEX(BüroTatsächlich[],MATCH(INDEX(BüroAbweichungen[],ROW()-ROW(BüroAbweichungen[[#Headers],[Jul]]),1),INDEX(Büroplan[],,1),0),MATCH(BüroAbweichungen[[#Headers],[Jul]],BüroTatsächlich[#Headers],0))</f>
        <v>180</v>
      </c>
      <c r="J16" s="104">
        <f>INDEX(Büroplan[],MATCH(INDEX(BüroAbweichungen[],ROW()-ROW(BüroAbweichungen[[#Headers],[Aug]]),1),INDEX(Büroplan[],,1),0),MATCH(BüroAbweichungen[[#Headers],[Aug]],Büroplan[#Headers],0))-INDEX(BüroTatsächlich[],MATCH(INDEX(BüroAbweichungen[],ROW()-ROW(BüroAbweichungen[[#Headers],[Aug]]),1),INDEX(Büroplan[],,1),0),MATCH(BüroAbweichungen[[#Headers],[Aug]],BüroTatsächlich[#Headers],0))</f>
        <v>180</v>
      </c>
      <c r="K16" s="104">
        <f>INDEX(Büroplan[],MATCH(INDEX(BüroAbweichungen[],ROW()-ROW(BüroAbweichungen[[#Headers],[Sep]]),1),INDEX(Büroplan[],,1),0),MATCH(BüroAbweichungen[[#Headers],[Sep]],Büroplan[#Headers],0))-INDEX(BüroTatsächlich[],MATCH(INDEX(BüroAbweichungen[],ROW()-ROW(BüroAbweichungen[[#Headers],[Sep]]),1),INDEX(Büroplan[],,1),0),MATCH(BüroAbweichungen[[#Headers],[Sep]],BüroTatsächlich[#Headers],0))</f>
        <v>180</v>
      </c>
      <c r="L16" s="104">
        <f>INDEX(Büroplan[],MATCH(INDEX(BüroAbweichungen[],ROW()-ROW(BüroAbweichungen[[#Headers],[Okt]]),1),INDEX(Büroplan[],,1),0),MATCH(BüroAbweichungen[[#Headers],[Okt]],Büroplan[#Headers],0))-INDEX(BüroTatsächlich[],MATCH(INDEX(BüroAbweichungen[],ROW()-ROW(BüroAbweichungen[[#Headers],[Okt]]),1),INDEX(Büroplan[],,1),0),MATCH(BüroAbweichungen[[#Headers],[Okt]],BüroTatsächlich[#Headers],0))</f>
        <v>180</v>
      </c>
      <c r="M16" s="104">
        <f>INDEX(Büroplan[],MATCH(INDEX(BüroAbweichungen[],ROW()-ROW(BüroAbweichungen[[#Headers],[Nov]]),1),INDEX(Büroplan[],,1),0),MATCH(BüroAbweichungen[[#Headers],[Nov]],Büroplan[#Headers],0))-INDEX(BüroTatsächlich[],MATCH(INDEX(BüroAbweichungen[],ROW()-ROW(BüroAbweichungen[[#Headers],[Nov]]),1),INDEX(Büroplan[],,1),0),MATCH(BüroAbweichungen[[#Headers],[Nov]],BüroTatsächlich[#Headers],0))</f>
        <v>180</v>
      </c>
      <c r="N16" s="104">
        <f>INDEX(Büroplan[],MATCH(INDEX(BüroAbweichungen[],ROW()-ROW(BüroAbweichungen[[#Headers],[Dez]]),1),INDEX(Büroplan[],,1),0),MATCH(BüroAbweichungen[[#Headers],[Dez]],Büroplan[#Headers],0))-INDEX(BüroTatsächlich[],MATCH(INDEX(BüroAbweichungen[],ROW()-ROW(BüroAbweichungen[[#Headers],[Dez]]),1),INDEX(Büroplan[],,1),0),MATCH(BüroAbweichungen[[#Headers],[Dez]],BüroTatsächlich[#Headers],0))</f>
        <v>180</v>
      </c>
      <c r="O16" s="105">
        <f>SUM(BüroAbweichungen[[#This Row],[Jan]:[Dez]])</f>
        <v>1080</v>
      </c>
    </row>
    <row r="17" spans="1:15" ht="24.95" customHeight="1" thickBot="1" x14ac:dyDescent="0.35">
      <c r="A17" s="34"/>
      <c r="B17" s="70" t="s">
        <v>25</v>
      </c>
      <c r="C17" s="104">
        <f>INDEX(Büroplan[],MATCH(INDEX(BüroAbweichungen[],ROW()-ROW(BüroAbweichungen[[#Headers],[Jan]]),1),INDEX(Büroplan[],,1),0),MATCH(BüroAbweichungen[[#Headers],[Jan]],Büroplan[#Headers],0))-INDEX(BüroTatsächlich[],MATCH(INDEX(BüroAbweichungen[],ROW()-ROW(BüroAbweichungen[[#Headers],[Jan]]),1),INDEX(Büroplan[],,1),0),MATCH(BüroAbweichungen[[#Headers],[Jan]],BüroTatsächlich[#Headers],0))</f>
        <v>-56</v>
      </c>
      <c r="D17" s="104">
        <f>INDEX(Büroplan[],MATCH(INDEX(BüroAbweichungen[],ROW()-ROW(BüroAbweichungen[[#Headers],[Feb]]),1),INDEX(Büroplan[],,1),0),MATCH(BüroAbweichungen[[#Headers],[Feb]],Büroplan[#Headers],0))-INDEX(BüroTatsächlich[],MATCH(INDEX(BüroAbweichungen[],ROW()-ROW(BüroAbweichungen[[#Headers],[Feb]]),1),INDEX(Büroplan[],,1),0),MATCH(BüroAbweichungen[[#Headers],[Feb]],BüroTatsächlich[#Headers],0))</f>
        <v>58</v>
      </c>
      <c r="E17" s="104">
        <f>INDEX(Büroplan[],MATCH(INDEX(BüroAbweichungen[],ROW()-ROW(BüroAbweichungen[[#Headers],[Mrz]]),1),INDEX(Büroplan[],,1),0),MATCH(BüroAbweichungen[[#Headers],[Mrz]],Büroplan[#Headers],0))-INDEX(BüroTatsächlich[],MATCH(INDEX(BüroAbweichungen[],ROW()-ROW(BüroAbweichungen[[#Headers],[Mrz]]),1),INDEX(Büroplan[],,1),0),MATCH(BüroAbweichungen[[#Headers],[Mrz]],BüroTatsächlich[#Headers],0))</f>
        <v>40</v>
      </c>
      <c r="F17" s="104">
        <f>INDEX(Büroplan[],MATCH(INDEX(BüroAbweichungen[],ROW()-ROW(BüroAbweichungen[[#Headers],[Apr]]),1),INDEX(Büroplan[],,1),0),MATCH(BüroAbweichungen[[#Headers],[Apr]],Büroplan[#Headers],0))-INDEX(BüroTatsächlich[],MATCH(INDEX(BüroAbweichungen[],ROW()-ROW(BüroAbweichungen[[#Headers],[Apr]]),1),INDEX(Büroplan[],,1),0),MATCH(BüroAbweichungen[[#Headers],[Apr]],BüroTatsächlich[#Headers],0))</f>
        <v>-21</v>
      </c>
      <c r="G17" s="104">
        <f>INDEX(Büroplan[],MATCH(INDEX(BüroAbweichungen[],ROW()-ROW(BüroAbweichungen[[#Headers],[Mai]]),1),INDEX(Büroplan[],,1),0),MATCH(BüroAbweichungen[[#Headers],[Mai]],Büroplan[#Headers],0))-INDEX(BüroTatsächlich[],MATCH(INDEX(BüroAbweichungen[],ROW()-ROW(BüroAbweichungen[[#Headers],[Mai]]),1),INDEX(Büroplan[],,1),0),MATCH(BüroAbweichungen[[#Headers],[Mai]],BüroTatsächlich[#Headers],0))</f>
        <v>-56</v>
      </c>
      <c r="H17" s="104">
        <f>INDEX(Büroplan[],MATCH(INDEX(BüroAbweichungen[],ROW()-ROW(BüroAbweichungen[[#Headers],[Jun]]),1),INDEX(Büroplan[],,1),0),MATCH(BüroAbweichungen[[#Headers],[Jun]],Büroplan[#Headers],0))-INDEX(BüroTatsächlich[],MATCH(INDEX(BüroAbweichungen[],ROW()-ROW(BüroAbweichungen[[#Headers],[Jun]]),1),INDEX(Büroplan[],,1),0),MATCH(BüroAbweichungen[[#Headers],[Jun]],BüroTatsächlich[#Headers],0))</f>
        <v>-40</v>
      </c>
      <c r="I17" s="104">
        <f>INDEX(Büroplan[],MATCH(INDEX(BüroAbweichungen[],ROW()-ROW(BüroAbweichungen[[#Headers],[Jul]]),1),INDEX(Büroplan[],,1),0),MATCH(BüroAbweichungen[[#Headers],[Jul]],Büroplan[#Headers],0))-INDEX(BüroTatsächlich[],MATCH(INDEX(BüroAbweichungen[],ROW()-ROW(BüroAbweichungen[[#Headers],[Jul]]),1),INDEX(Büroplan[],,1),0),MATCH(BüroAbweichungen[[#Headers],[Jul]],BüroTatsächlich[#Headers],0))</f>
        <v>200</v>
      </c>
      <c r="J17" s="104">
        <f>INDEX(Büroplan[],MATCH(INDEX(BüroAbweichungen[],ROW()-ROW(BüroAbweichungen[[#Headers],[Aug]]),1),INDEX(Büroplan[],,1),0),MATCH(BüroAbweichungen[[#Headers],[Aug]],Büroplan[#Headers],0))-INDEX(BüroTatsächlich[],MATCH(INDEX(BüroAbweichungen[],ROW()-ROW(BüroAbweichungen[[#Headers],[Aug]]),1),INDEX(Büroplan[],,1),0),MATCH(BüroAbweichungen[[#Headers],[Aug]],BüroTatsächlich[#Headers],0))</f>
        <v>200</v>
      </c>
      <c r="K17" s="104">
        <f>INDEX(Büroplan[],MATCH(INDEX(BüroAbweichungen[],ROW()-ROW(BüroAbweichungen[[#Headers],[Sep]]),1),INDEX(Büroplan[],,1),0),MATCH(BüroAbweichungen[[#Headers],[Sep]],Büroplan[#Headers],0))-INDEX(BüroTatsächlich[],MATCH(INDEX(BüroAbweichungen[],ROW()-ROW(BüroAbweichungen[[#Headers],[Sep]]),1),INDEX(Büroplan[],,1),0),MATCH(BüroAbweichungen[[#Headers],[Sep]],BüroTatsächlich[#Headers],0))</f>
        <v>200</v>
      </c>
      <c r="L17" s="104">
        <f>INDEX(Büroplan[],MATCH(INDEX(BüroAbweichungen[],ROW()-ROW(BüroAbweichungen[[#Headers],[Okt]]),1),INDEX(Büroplan[],,1),0),MATCH(BüroAbweichungen[[#Headers],[Okt]],Büroplan[#Headers],0))-INDEX(BüroTatsächlich[],MATCH(INDEX(BüroAbweichungen[],ROW()-ROW(BüroAbweichungen[[#Headers],[Okt]]),1),INDEX(Büroplan[],,1),0),MATCH(BüroAbweichungen[[#Headers],[Okt]],BüroTatsächlich[#Headers],0))</f>
        <v>200</v>
      </c>
      <c r="M17" s="104">
        <f>INDEX(Büroplan[],MATCH(INDEX(BüroAbweichungen[],ROW()-ROW(BüroAbweichungen[[#Headers],[Nov]]),1),INDEX(Büroplan[],,1),0),MATCH(BüroAbweichungen[[#Headers],[Nov]],Büroplan[#Headers],0))-INDEX(BüroTatsächlich[],MATCH(INDEX(BüroAbweichungen[],ROW()-ROW(BüroAbweichungen[[#Headers],[Nov]]),1),INDEX(Büroplan[],,1),0),MATCH(BüroAbweichungen[[#Headers],[Nov]],BüroTatsächlich[#Headers],0))</f>
        <v>200</v>
      </c>
      <c r="N17" s="104">
        <f>INDEX(Büroplan[],MATCH(INDEX(BüroAbweichungen[],ROW()-ROW(BüroAbweichungen[[#Headers],[Dez]]),1),INDEX(Büroplan[],,1),0),MATCH(BüroAbweichungen[[#Headers],[Dez]],Büroplan[#Headers],0))-INDEX(BüroTatsächlich[],MATCH(INDEX(BüroAbweichungen[],ROW()-ROW(BüroAbweichungen[[#Headers],[Dez]]),1),INDEX(Büroplan[],,1),0),MATCH(BüroAbweichungen[[#Headers],[Dez]],BüroTatsächlich[#Headers],0))</f>
        <v>200</v>
      </c>
      <c r="O17" s="105">
        <f>SUM(BüroAbweichungen[[#This Row],[Jan]:[Dez]])</f>
        <v>1125</v>
      </c>
    </row>
    <row r="18" spans="1:15" ht="24.95" customHeight="1" thickBot="1" x14ac:dyDescent="0.35">
      <c r="A18" s="34"/>
      <c r="B18" s="70" t="s">
        <v>26</v>
      </c>
      <c r="C18" s="104">
        <f>INDEX(Büroplan[],MATCH(INDEX(BüroAbweichungen[],ROW()-ROW(BüroAbweichungen[[#Headers],[Jan]]),1),INDEX(Büroplan[],,1),0),MATCH(BüroAbweichungen[[#Headers],[Jan]],Büroplan[#Headers],0))-INDEX(BüroTatsächlich[],MATCH(INDEX(BüroAbweichungen[],ROW()-ROW(BüroAbweichungen[[#Headers],[Jan]]),1),INDEX(Büroplan[],,1),0),MATCH(BüroAbweichungen[[#Headers],[Jan]],BüroTatsächlich[#Headers],0))</f>
        <v>0</v>
      </c>
      <c r="D18" s="104">
        <f>INDEX(Büroplan[],MATCH(INDEX(BüroAbweichungen[],ROW()-ROW(BüroAbweichungen[[#Headers],[Feb]]),1),INDEX(Büroplan[],,1),0),MATCH(BüroAbweichungen[[#Headers],[Feb]],Büroplan[#Headers],0))-INDEX(BüroTatsächlich[],MATCH(INDEX(BüroAbweichungen[],ROW()-ROW(BüroAbweichungen[[#Headers],[Feb]]),1),INDEX(Büroplan[],,1),0),MATCH(BüroAbweichungen[[#Headers],[Feb]],BüroTatsächlich[#Headers],0))</f>
        <v>0</v>
      </c>
      <c r="E18" s="104">
        <f>INDEX(Büroplan[],MATCH(INDEX(BüroAbweichungen[],ROW()-ROW(BüroAbweichungen[[#Headers],[Mrz]]),1),INDEX(Büroplan[],,1),0),MATCH(BüroAbweichungen[[#Headers],[Mrz]],Büroplan[#Headers],0))-INDEX(BüroTatsächlich[],MATCH(INDEX(BüroAbweichungen[],ROW()-ROW(BüroAbweichungen[[#Headers],[Mrz]]),1),INDEX(Büroplan[],,1),0),MATCH(BüroAbweichungen[[#Headers],[Mrz]],BüroTatsächlich[#Headers],0))</f>
        <v>0</v>
      </c>
      <c r="F18" s="104">
        <f>INDEX(Büroplan[],MATCH(INDEX(BüroAbweichungen[],ROW()-ROW(BüroAbweichungen[[#Headers],[Apr]]),1),INDEX(Büroplan[],,1),0),MATCH(BüroAbweichungen[[#Headers],[Apr]],Büroplan[#Headers],0))-INDEX(BüroTatsächlich[],MATCH(INDEX(BüroAbweichungen[],ROW()-ROW(BüroAbweichungen[[#Headers],[Apr]]),1),INDEX(Büroplan[],,1),0),MATCH(BüroAbweichungen[[#Headers],[Apr]],BüroTatsächlich[#Headers],0))</f>
        <v>0</v>
      </c>
      <c r="G18" s="104">
        <f>INDEX(Büroplan[],MATCH(INDEX(BüroAbweichungen[],ROW()-ROW(BüroAbweichungen[[#Headers],[Mai]]),1),INDEX(Büroplan[],,1),0),MATCH(BüroAbweichungen[[#Headers],[Mai]],Büroplan[#Headers],0))-INDEX(BüroTatsächlich[],MATCH(INDEX(BüroAbweichungen[],ROW()-ROW(BüroAbweichungen[[#Headers],[Mai]]),1),INDEX(Büroplan[],,1),0),MATCH(BüroAbweichungen[[#Headers],[Mai]],BüroTatsächlich[#Headers],0))</f>
        <v>0</v>
      </c>
      <c r="H18" s="104">
        <f>INDEX(Büroplan[],MATCH(INDEX(BüroAbweichungen[],ROW()-ROW(BüroAbweichungen[[#Headers],[Jun]]),1),INDEX(Büroplan[],,1),0),MATCH(BüroAbweichungen[[#Headers],[Jun]],Büroplan[#Headers],0))-INDEX(BüroTatsächlich[],MATCH(INDEX(BüroAbweichungen[],ROW()-ROW(BüroAbweichungen[[#Headers],[Jun]]),1),INDEX(Büroplan[],,1),0),MATCH(BüroAbweichungen[[#Headers],[Jun]],BüroTatsächlich[#Headers],0))</f>
        <v>0</v>
      </c>
      <c r="I18" s="104">
        <f>INDEX(Büroplan[],MATCH(INDEX(BüroAbweichungen[],ROW()-ROW(BüroAbweichungen[[#Headers],[Jul]]),1),INDEX(Büroplan[],,1),0),MATCH(BüroAbweichungen[[#Headers],[Jul]],Büroplan[#Headers],0))-INDEX(BüroTatsächlich[],MATCH(INDEX(BüroAbweichungen[],ROW()-ROW(BüroAbweichungen[[#Headers],[Jul]]),1),INDEX(Büroplan[],,1),0),MATCH(BüroAbweichungen[[#Headers],[Jul]],BüroTatsächlich[#Headers],0))</f>
        <v>600</v>
      </c>
      <c r="J18" s="104">
        <f>INDEX(Büroplan[],MATCH(INDEX(BüroAbweichungen[],ROW()-ROW(BüroAbweichungen[[#Headers],[Aug]]),1),INDEX(Büroplan[],,1),0),MATCH(BüroAbweichungen[[#Headers],[Aug]],Büroplan[#Headers],0))-INDEX(BüroTatsächlich[],MATCH(INDEX(BüroAbweichungen[],ROW()-ROW(BüroAbweichungen[[#Headers],[Aug]]),1),INDEX(Büroplan[],,1),0),MATCH(BüroAbweichungen[[#Headers],[Aug]],BüroTatsächlich[#Headers],0))</f>
        <v>600</v>
      </c>
      <c r="K18" s="104">
        <f>INDEX(Büroplan[],MATCH(INDEX(BüroAbweichungen[],ROW()-ROW(BüroAbweichungen[[#Headers],[Sep]]),1),INDEX(Büroplan[],,1),0),MATCH(BüroAbweichungen[[#Headers],[Sep]],Büroplan[#Headers],0))-INDEX(BüroTatsächlich[],MATCH(INDEX(BüroAbweichungen[],ROW()-ROW(BüroAbweichungen[[#Headers],[Sep]]),1),INDEX(Büroplan[],,1),0),MATCH(BüroAbweichungen[[#Headers],[Sep]],BüroTatsächlich[#Headers],0))</f>
        <v>600</v>
      </c>
      <c r="L18" s="104">
        <f>INDEX(Büroplan[],MATCH(INDEX(BüroAbweichungen[],ROW()-ROW(BüroAbweichungen[[#Headers],[Okt]]),1),INDEX(Büroplan[],,1),0),MATCH(BüroAbweichungen[[#Headers],[Okt]],Büroplan[#Headers],0))-INDEX(BüroTatsächlich[],MATCH(INDEX(BüroAbweichungen[],ROW()-ROW(BüroAbweichungen[[#Headers],[Okt]]),1),INDEX(Büroplan[],,1),0),MATCH(BüroAbweichungen[[#Headers],[Okt]],BüroTatsächlich[#Headers],0))</f>
        <v>600</v>
      </c>
      <c r="M18" s="104">
        <f>INDEX(Büroplan[],MATCH(INDEX(BüroAbweichungen[],ROW()-ROW(BüroAbweichungen[[#Headers],[Nov]]),1),INDEX(Büroplan[],,1),0),MATCH(BüroAbweichungen[[#Headers],[Nov]],Büroplan[#Headers],0))-INDEX(BüroTatsächlich[],MATCH(INDEX(BüroAbweichungen[],ROW()-ROW(BüroAbweichungen[[#Headers],[Nov]]),1),INDEX(Büroplan[],,1),0),MATCH(BüroAbweichungen[[#Headers],[Nov]],BüroTatsächlich[#Headers],0))</f>
        <v>600</v>
      </c>
      <c r="N18" s="104">
        <f>INDEX(Büroplan[],MATCH(INDEX(BüroAbweichungen[],ROW()-ROW(BüroAbweichungen[[#Headers],[Dez]]),1),INDEX(Büroplan[],,1),0),MATCH(BüroAbweichungen[[#Headers],[Dez]],Büroplan[#Headers],0))-INDEX(BüroTatsächlich[],MATCH(INDEX(BüroAbweichungen[],ROW()-ROW(BüroAbweichungen[[#Headers],[Dez]]),1),INDEX(Büroplan[],,1),0),MATCH(BüroAbweichungen[[#Headers],[Dez]],BüroTatsächlich[#Headers],0))</f>
        <v>600</v>
      </c>
      <c r="O18" s="105">
        <f>SUM(BüroAbweichungen[[#This Row],[Jan]:[Dez]])</f>
        <v>3600</v>
      </c>
    </row>
    <row r="19" spans="1:15" ht="24.95" customHeight="1" x14ac:dyDescent="0.3">
      <c r="A19" s="34"/>
      <c r="B19" s="82" t="s">
        <v>17</v>
      </c>
      <c r="C19" s="122">
        <f>SUBTOTAL(109,BüroAbweichungen[Jan])</f>
        <v>-17</v>
      </c>
      <c r="D19" s="112">
        <f>SUBTOTAL(109,BüroAbweichungen[Feb])</f>
        <v>72</v>
      </c>
      <c r="E19" s="112">
        <f>SUBTOTAL(109,BüroAbweichungen[Mrz])</f>
        <v>78</v>
      </c>
      <c r="F19" s="112">
        <f>SUBTOTAL(109,BüroAbweichungen[Apr])</f>
        <v>-141</v>
      </c>
      <c r="G19" s="112">
        <f>SUBTOTAL(109,BüroAbweichungen[Mai])</f>
        <v>-38</v>
      </c>
      <c r="H19" s="112">
        <f>SUBTOTAL(109,BüroAbweichungen[Jun])</f>
        <v>16</v>
      </c>
      <c r="I19" s="112">
        <f>SUBTOTAL(109,BüroAbweichungen[Jul])</f>
        <v>11470</v>
      </c>
      <c r="J19" s="112">
        <f>SUBTOTAL(109,BüroAbweichungen[Aug])</f>
        <v>11470</v>
      </c>
      <c r="K19" s="112">
        <f>SUBTOTAL(109,BüroAbweichungen[Sep])</f>
        <v>11470</v>
      </c>
      <c r="L19" s="112">
        <f>SUBTOTAL(109,BüroAbweichungen[Okt])</f>
        <v>11470</v>
      </c>
      <c r="M19" s="112">
        <f>SUBTOTAL(109,BüroAbweichungen[Nov])</f>
        <v>11770</v>
      </c>
      <c r="N19" s="112">
        <f>SUBTOTAL(109,BüroAbweichungen[Dez])</f>
        <v>11770</v>
      </c>
      <c r="O19" s="113">
        <f>SUBTOTAL(109,BüroAbweichungen[JAHR])</f>
        <v>69390</v>
      </c>
    </row>
    <row r="20" spans="1:15" ht="21" customHeight="1" x14ac:dyDescent="0.3">
      <c r="A20" s="34"/>
      <c r="B20" s="135"/>
      <c r="C20" s="135"/>
      <c r="D20" s="145"/>
      <c r="E20" s="145"/>
      <c r="F20" s="147"/>
      <c r="G20" s="147"/>
      <c r="H20" s="147"/>
      <c r="I20" s="147"/>
      <c r="J20" s="147"/>
      <c r="K20" s="147"/>
      <c r="L20" s="147"/>
      <c r="M20" s="147"/>
      <c r="N20" s="147"/>
      <c r="O20" s="146"/>
    </row>
    <row r="21" spans="1:15" ht="24.95" customHeight="1" thickBot="1" x14ac:dyDescent="0.35">
      <c r="A21" s="34" t="s">
        <v>102</v>
      </c>
      <c r="B21" s="60" t="s">
        <v>27</v>
      </c>
      <c r="C21" s="68" t="s">
        <v>41</v>
      </c>
      <c r="D21" s="68" t="s">
        <v>43</v>
      </c>
      <c r="E21" s="91" t="s">
        <v>45</v>
      </c>
      <c r="F21" s="68" t="s">
        <v>47</v>
      </c>
      <c r="G21" s="68" t="s">
        <v>49</v>
      </c>
      <c r="H21" s="68" t="s">
        <v>51</v>
      </c>
      <c r="I21" s="68" t="s">
        <v>53</v>
      </c>
      <c r="J21" s="68" t="s">
        <v>55</v>
      </c>
      <c r="K21" s="68" t="s">
        <v>59</v>
      </c>
      <c r="L21" s="68" t="s">
        <v>61</v>
      </c>
      <c r="M21" s="68" t="s">
        <v>63</v>
      </c>
      <c r="N21" s="68" t="s">
        <v>66</v>
      </c>
      <c r="O21" s="69" t="s">
        <v>67</v>
      </c>
    </row>
    <row r="22" spans="1:15" ht="24.95" customHeight="1" thickBot="1" x14ac:dyDescent="0.35">
      <c r="A22" s="34"/>
      <c r="B22" s="70" t="s">
        <v>28</v>
      </c>
      <c r="C22" s="104">
        <f>INDEX(MarketingPlan[],MATCH(INDEX(MarketingAbweichungen[],ROW()-ROW(MarketingAbweichungen[[#Headers],[Jan]]),1),INDEX(MarketingPlan[],,1),0),MATCH(MarketingAbweichungen[[#Headers],[Jan]],MarketingPlan[#Headers],0))-INDEX(MarketingTatsächlich[],MATCH(INDEX(MarketingAbweichungen[],ROW()-ROW(MarketingAbweichungen[[#Headers],[Jan]]),1),INDEX(MarketingPlan[],,1),0),MATCH(MarketingAbweichungen[[#Headers],[Jan]],MarketingTatsächlich[#Headers],0))</f>
        <v>0</v>
      </c>
      <c r="D22" s="104">
        <f>INDEX(MarketingPlan[],MATCH(INDEX(MarketingAbweichungen[],ROW()-ROW(MarketingAbweichungen[[#Headers],[Feb]]),1),INDEX(MarketingPlan[],,1),0),MATCH(MarketingAbweichungen[[#Headers],[Feb]],MarketingPlan[#Headers],0))-INDEX(MarketingTatsächlich[],MATCH(INDEX(MarketingAbweichungen[],ROW()-ROW(MarketingAbweichungen[[#Headers],[Feb]]),1),INDEX(MarketingPlan[],,1),0),MATCH(MarketingAbweichungen[[#Headers],[Feb]],MarketingTatsächlich[#Headers],0))</f>
        <v>0</v>
      </c>
      <c r="E22" s="104">
        <f>INDEX(MarketingPlan[],MATCH(INDEX(MarketingAbweichungen[],ROW()-ROW(MarketingAbweichungen[[#Headers],[Mrz]]),1),INDEX(MarketingPlan[],,1),0),MATCH(MarketingAbweichungen[[#Headers],[Mrz]],MarketingPlan[#Headers],0))-INDEX(MarketingTatsächlich[],MATCH(INDEX(MarketingAbweichungen[],ROW()-ROW(MarketingAbweichungen[[#Headers],[Mrz]]),1),INDEX(MarketingPlan[],,1),0),MATCH(MarketingAbweichungen[[#Headers],[Mrz]],MarketingTatsächlich[#Headers],0))</f>
        <v>0</v>
      </c>
      <c r="F22" s="104">
        <f>INDEX(MarketingPlan[],MATCH(INDEX(MarketingAbweichungen[],ROW()-ROW(MarketingAbweichungen[[#Headers],[Apr]]),1),INDEX(MarketingPlan[],,1),0),MATCH(MarketingAbweichungen[[#Headers],[Apr]],MarketingPlan[#Headers],0))-INDEX(MarketingTatsächlich[],MATCH(INDEX(MarketingAbweichungen[],ROW()-ROW(MarketingAbweichungen[[#Headers],[Apr]]),1),INDEX(MarketingPlan[],,1),0),MATCH(MarketingAbweichungen[[#Headers],[Apr]],MarketingTatsächlich[#Headers],0))</f>
        <v>0</v>
      </c>
      <c r="G22" s="104">
        <f>INDEX(MarketingPlan[],MATCH(INDEX(MarketingAbweichungen[],ROW()-ROW(MarketingAbweichungen[[#Headers],[Mai]]),1),INDEX(MarketingPlan[],,1),0),MATCH(MarketingAbweichungen[[#Headers],[Mai]],MarketingPlan[#Headers],0))-INDEX(MarketingTatsächlich[],MATCH(INDEX(MarketingAbweichungen[],ROW()-ROW(MarketingAbweichungen[[#Headers],[Mai]]),1),INDEX(MarketingPlan[],,1),0),MATCH(MarketingAbweichungen[[#Headers],[Mai]],MarketingTatsächlich[#Headers],0))</f>
        <v>0</v>
      </c>
      <c r="H22" s="104">
        <f>INDEX(MarketingPlan[],MATCH(INDEX(MarketingAbweichungen[],ROW()-ROW(MarketingAbweichungen[[#Headers],[Jun]]),1),INDEX(MarketingPlan[],,1),0),MATCH(MarketingAbweichungen[[#Headers],[Jun]],MarketingPlan[#Headers],0))-INDEX(MarketingTatsächlich[],MATCH(INDEX(MarketingAbweichungen[],ROW()-ROW(MarketingAbweichungen[[#Headers],[Jun]]),1),INDEX(MarketingPlan[],,1),0),MATCH(MarketingAbweichungen[[#Headers],[Jun]],MarketingTatsächlich[#Headers],0))</f>
        <v>0</v>
      </c>
      <c r="I22" s="104">
        <f>INDEX(MarketingPlan[],MATCH(INDEX(MarketingAbweichungen[],ROW()-ROW(MarketingAbweichungen[[#Headers],[Jul]]),1),INDEX(MarketingPlan[],,1),0),MATCH(MarketingAbweichungen[[#Headers],[Jul]],MarketingPlan[#Headers],0))-INDEX(MarketingTatsächlich[],MATCH(INDEX(MarketingAbweichungen[],ROW()-ROW(MarketingAbweichungen[[#Headers],[Jul]]),1),INDEX(MarketingPlan[],,1),0),MATCH(MarketingAbweichungen[[#Headers],[Jul]],MarketingTatsächlich[#Headers],0))</f>
        <v>500</v>
      </c>
      <c r="J22" s="104">
        <f>INDEX(MarketingPlan[],MATCH(INDEX(MarketingAbweichungen[],ROW()-ROW(MarketingAbweichungen[[#Headers],[Aug]]),1),INDEX(MarketingPlan[],,1),0),MATCH(MarketingAbweichungen[[#Headers],[Aug]],MarketingPlan[#Headers],0))-INDEX(MarketingTatsächlich[],MATCH(INDEX(MarketingAbweichungen[],ROW()-ROW(MarketingAbweichungen[[#Headers],[Aug]]),1),INDEX(MarketingPlan[],,1),0),MATCH(MarketingAbweichungen[[#Headers],[Aug]],MarketingTatsächlich[#Headers],0))</f>
        <v>500</v>
      </c>
      <c r="K22" s="104">
        <f>INDEX(MarketingPlan[],MATCH(INDEX(MarketingAbweichungen[],ROW()-ROW(MarketingAbweichungen[[#Headers],[Sep]]),1),INDEX(MarketingPlan[],,1),0),MATCH(MarketingAbweichungen[[#Headers],[Sep]],MarketingPlan[#Headers],0))-INDEX(MarketingTatsächlich[],MATCH(INDEX(MarketingAbweichungen[],ROW()-ROW(MarketingAbweichungen[[#Headers],[Sep]]),1),INDEX(MarketingPlan[],,1),0),MATCH(MarketingAbweichungen[[#Headers],[Sep]],MarketingTatsächlich[#Headers],0))</f>
        <v>500</v>
      </c>
      <c r="L22" s="104">
        <f>INDEX(MarketingPlan[],MATCH(INDEX(MarketingAbweichungen[],ROW()-ROW(MarketingAbweichungen[[#Headers],[Okt]]),1),INDEX(MarketingPlan[],,1),0),MATCH(MarketingAbweichungen[[#Headers],[Okt]],MarketingPlan[#Headers],0))-INDEX(MarketingTatsächlich[],MATCH(INDEX(MarketingAbweichungen[],ROW()-ROW(MarketingAbweichungen[[#Headers],[Okt]]),1),INDEX(MarketingPlan[],,1),0),MATCH(MarketingAbweichungen[[#Headers],[Okt]],MarketingTatsächlich[#Headers],0))</f>
        <v>500</v>
      </c>
      <c r="M22" s="104">
        <f>INDEX(MarketingPlan[],MATCH(INDEX(MarketingAbweichungen[],ROW()-ROW(MarketingAbweichungen[[#Headers],[Nov]]),1),INDEX(MarketingPlan[],,1),0),MATCH(MarketingAbweichungen[[#Headers],[Nov]],MarketingPlan[#Headers],0))-INDEX(MarketingTatsächlich[],MATCH(INDEX(MarketingAbweichungen[],ROW()-ROW(MarketingAbweichungen[[#Headers],[Nov]]),1),INDEX(MarketingPlan[],,1),0),MATCH(MarketingAbweichungen[[#Headers],[Nov]],MarketingTatsächlich[#Headers],0))</f>
        <v>500</v>
      </c>
      <c r="N22" s="104">
        <f>INDEX(MarketingPlan[],MATCH(INDEX(MarketingAbweichungen[],ROW()-ROW(MarketingAbweichungen[[#Headers],[Dez]]),1),INDEX(MarketingPlan[],,1),0),MATCH(MarketingAbweichungen[[#Headers],[Dez]],MarketingPlan[#Headers],0))-INDEX(MarketingTatsächlich[],MATCH(INDEX(MarketingAbweichungen[],ROW()-ROW(MarketingAbweichungen[[#Headers],[Dez]]),1),INDEX(MarketingPlan[],,1),0),MATCH(MarketingAbweichungen[[#Headers],[Dez]],MarketingTatsächlich[#Headers],0))</f>
        <v>500</v>
      </c>
      <c r="O22" s="105">
        <f>SUM(MarketingAbweichungen[[#This Row],[Jan]:[Dez]])</f>
        <v>3000</v>
      </c>
    </row>
    <row r="23" spans="1:15" ht="24.95" customHeight="1" thickBot="1" x14ac:dyDescent="0.35">
      <c r="A23" s="34"/>
      <c r="B23" s="70" t="s">
        <v>29</v>
      </c>
      <c r="C23" s="104">
        <f>INDEX(MarketingPlan[],MATCH(INDEX(MarketingAbweichungen[],ROW()-ROW(MarketingAbweichungen[[#Headers],[Jan]]),1),INDEX(MarketingPlan[],,1),0),MATCH(MarketingAbweichungen[[#Headers],[Jan]],MarketingPlan[#Headers],0))-INDEX(MarketingTatsächlich[],MATCH(INDEX(MarketingAbweichungen[],ROW()-ROW(MarketingAbweichungen[[#Headers],[Jan]]),1),INDEX(MarketingPlan[],,1),0),MATCH(MarketingAbweichungen[[#Headers],[Jan]],MarketingTatsächlich[#Headers],0))</f>
        <v>0</v>
      </c>
      <c r="D23" s="104">
        <f>INDEX(MarketingPlan[],MATCH(INDEX(MarketingAbweichungen[],ROW()-ROW(MarketingAbweichungen[[#Headers],[Feb]]),1),INDEX(MarketingPlan[],,1),0),MATCH(MarketingAbweichungen[[#Headers],[Feb]],MarketingPlan[#Headers],0))-INDEX(MarketingTatsächlich[],MATCH(INDEX(MarketingAbweichungen[],ROW()-ROW(MarketingAbweichungen[[#Headers],[Feb]]),1),INDEX(MarketingPlan[],,1),0),MATCH(MarketingAbweichungen[[#Headers],[Feb]],MarketingTatsächlich[#Headers],0))</f>
        <v>0</v>
      </c>
      <c r="E23" s="104">
        <f>INDEX(MarketingPlan[],MATCH(INDEX(MarketingAbweichungen[],ROW()-ROW(MarketingAbweichungen[[#Headers],[Mrz]]),1),INDEX(MarketingPlan[],,1),0),MATCH(MarketingAbweichungen[[#Headers],[Mrz]],MarketingPlan[#Headers],0))-INDEX(MarketingTatsächlich[],MATCH(INDEX(MarketingAbweichungen[],ROW()-ROW(MarketingAbweichungen[[#Headers],[Mrz]]),1),INDEX(MarketingPlan[],,1),0),MATCH(MarketingAbweichungen[[#Headers],[Mrz]],MarketingTatsächlich[#Headers],0))</f>
        <v>0</v>
      </c>
      <c r="F23" s="104">
        <f>INDEX(MarketingPlan[],MATCH(INDEX(MarketingAbweichungen[],ROW()-ROW(MarketingAbweichungen[[#Headers],[Apr]]),1),INDEX(MarketingPlan[],,1),0),MATCH(MarketingAbweichungen[[#Headers],[Apr]],MarketingPlan[#Headers],0))-INDEX(MarketingTatsächlich[],MATCH(INDEX(MarketingAbweichungen[],ROW()-ROW(MarketingAbweichungen[[#Headers],[Apr]]),1),INDEX(MarketingPlan[],,1),0),MATCH(MarketingAbweichungen[[#Headers],[Apr]],MarketingTatsächlich[#Headers],0))</f>
        <v>0</v>
      </c>
      <c r="G23" s="104">
        <f>INDEX(MarketingPlan[],MATCH(INDEX(MarketingAbweichungen[],ROW()-ROW(MarketingAbweichungen[[#Headers],[Mai]]),1),INDEX(MarketingPlan[],,1),0),MATCH(MarketingAbweichungen[[#Headers],[Mai]],MarketingPlan[#Headers],0))-INDEX(MarketingTatsächlich[],MATCH(INDEX(MarketingAbweichungen[],ROW()-ROW(MarketingAbweichungen[[#Headers],[Mai]]),1),INDEX(MarketingPlan[],,1),0),MATCH(MarketingAbweichungen[[#Headers],[Mai]],MarketingTatsächlich[#Headers],0))</f>
        <v>0</v>
      </c>
      <c r="H23" s="104">
        <f>INDEX(MarketingPlan[],MATCH(INDEX(MarketingAbweichungen[],ROW()-ROW(MarketingAbweichungen[[#Headers],[Jun]]),1),INDEX(MarketingPlan[],,1),0),MATCH(MarketingAbweichungen[[#Headers],[Jun]],MarketingPlan[#Headers],0))-INDEX(MarketingTatsächlich[],MATCH(INDEX(MarketingAbweichungen[],ROW()-ROW(MarketingAbweichungen[[#Headers],[Jun]]),1),INDEX(MarketingPlan[],,1),0),MATCH(MarketingAbweichungen[[#Headers],[Jun]],MarketingTatsächlich[#Headers],0))</f>
        <v>-500</v>
      </c>
      <c r="I23" s="104">
        <f>INDEX(MarketingPlan[],MATCH(INDEX(MarketingAbweichungen[],ROW()-ROW(MarketingAbweichungen[[#Headers],[Jul]]),1),INDEX(MarketingPlan[],,1),0),MATCH(MarketingAbweichungen[[#Headers],[Jul]],MarketingPlan[#Headers],0))-INDEX(MarketingTatsächlich[],MATCH(INDEX(MarketingAbweichungen[],ROW()-ROW(MarketingAbweichungen[[#Headers],[Jul]]),1),INDEX(MarketingPlan[],,1),0),MATCH(MarketingAbweichungen[[#Headers],[Jul]],MarketingTatsächlich[#Headers],0))</f>
        <v>200</v>
      </c>
      <c r="J23" s="104">
        <f>INDEX(MarketingPlan[],MATCH(INDEX(MarketingAbweichungen[],ROW()-ROW(MarketingAbweichungen[[#Headers],[Aug]]),1),INDEX(MarketingPlan[],,1),0),MATCH(MarketingAbweichungen[[#Headers],[Aug]],MarketingPlan[#Headers],0))-INDEX(MarketingTatsächlich[],MATCH(INDEX(MarketingAbweichungen[],ROW()-ROW(MarketingAbweichungen[[#Headers],[Aug]]),1),INDEX(MarketingPlan[],,1),0),MATCH(MarketingAbweichungen[[#Headers],[Aug]],MarketingTatsächlich[#Headers],0))</f>
        <v>200</v>
      </c>
      <c r="K23" s="104">
        <f>INDEX(MarketingPlan[],MATCH(INDEX(MarketingAbweichungen[],ROW()-ROW(MarketingAbweichungen[[#Headers],[Sep]]),1),INDEX(MarketingPlan[],,1),0),MATCH(MarketingAbweichungen[[#Headers],[Sep]],MarketingPlan[#Headers],0))-INDEX(MarketingTatsächlich[],MATCH(INDEX(MarketingAbweichungen[],ROW()-ROW(MarketingAbweichungen[[#Headers],[Sep]]),1),INDEX(MarketingPlan[],,1),0),MATCH(MarketingAbweichungen[[#Headers],[Sep]],MarketingTatsächlich[#Headers],0))</f>
        <v>200</v>
      </c>
      <c r="L23" s="104">
        <f>INDEX(MarketingPlan[],MATCH(INDEX(MarketingAbweichungen[],ROW()-ROW(MarketingAbweichungen[[#Headers],[Okt]]),1),INDEX(MarketingPlan[],,1),0),MATCH(MarketingAbweichungen[[#Headers],[Okt]],MarketingPlan[#Headers],0))-INDEX(MarketingTatsächlich[],MATCH(INDEX(MarketingAbweichungen[],ROW()-ROW(MarketingAbweichungen[[#Headers],[Okt]]),1),INDEX(MarketingPlan[],,1),0),MATCH(MarketingAbweichungen[[#Headers],[Okt]],MarketingTatsächlich[#Headers],0))</f>
        <v>200</v>
      </c>
      <c r="M23" s="104">
        <f>INDEX(MarketingPlan[],MATCH(INDEX(MarketingAbweichungen[],ROW()-ROW(MarketingAbweichungen[[#Headers],[Nov]]),1),INDEX(MarketingPlan[],,1),0),MATCH(MarketingAbweichungen[[#Headers],[Nov]],MarketingPlan[#Headers],0))-INDEX(MarketingTatsächlich[],MATCH(INDEX(MarketingAbweichungen[],ROW()-ROW(MarketingAbweichungen[[#Headers],[Nov]]),1),INDEX(MarketingPlan[],,1),0),MATCH(MarketingAbweichungen[[#Headers],[Nov]],MarketingTatsächlich[#Headers],0))</f>
        <v>200</v>
      </c>
      <c r="N23" s="104">
        <f>INDEX(MarketingPlan[],MATCH(INDEX(MarketingAbweichungen[],ROW()-ROW(MarketingAbweichungen[[#Headers],[Dez]]),1),INDEX(MarketingPlan[],,1),0),MATCH(MarketingAbweichungen[[#Headers],[Dez]],MarketingPlan[#Headers],0))-INDEX(MarketingTatsächlich[],MATCH(INDEX(MarketingAbweichungen[],ROW()-ROW(MarketingAbweichungen[[#Headers],[Dez]]),1),INDEX(MarketingPlan[],,1),0),MATCH(MarketingAbweichungen[[#Headers],[Dez]],MarketingTatsächlich[#Headers],0))</f>
        <v>1000</v>
      </c>
      <c r="O23" s="105">
        <f>SUM(MarketingAbweichungen[[#This Row],[Jan]:[Dez]])</f>
        <v>1500</v>
      </c>
    </row>
    <row r="24" spans="1:15" ht="24.95" customHeight="1" thickBot="1" x14ac:dyDescent="0.35">
      <c r="A24" s="34"/>
      <c r="B24" s="70" t="s">
        <v>30</v>
      </c>
      <c r="C24" s="104">
        <f>INDEX(MarketingPlan[],MATCH(INDEX(MarketingAbweichungen[],ROW()-ROW(MarketingAbweichungen[[#Headers],[Jan]]),1),INDEX(MarketingPlan[],,1),0),MATCH(MarketingAbweichungen[[#Headers],[Jan]],MarketingPlan[#Headers],0))-INDEX(MarketingTatsächlich[],MATCH(INDEX(MarketingAbweichungen[],ROW()-ROW(MarketingAbweichungen[[#Headers],[Jan]]),1),INDEX(MarketingPlan[],,1),0),MATCH(MarketingAbweichungen[[#Headers],[Jan]],MarketingTatsächlich[#Headers],0))</f>
        <v>200</v>
      </c>
      <c r="D24" s="104">
        <f>INDEX(MarketingPlan[],MATCH(INDEX(MarketingAbweichungen[],ROW()-ROW(MarketingAbweichungen[[#Headers],[Feb]]),1),INDEX(MarketingPlan[],,1),0),MATCH(MarketingAbweichungen[[#Headers],[Feb]],MarketingPlan[#Headers],0))-INDEX(MarketingTatsächlich[],MATCH(INDEX(MarketingAbweichungen[],ROW()-ROW(MarketingAbweichungen[[#Headers],[Feb]]),1),INDEX(MarketingPlan[],,1),0),MATCH(MarketingAbweichungen[[#Headers],[Feb]],MarketingTatsächlich[#Headers],0))</f>
        <v>0</v>
      </c>
      <c r="E24" s="104">
        <f>INDEX(MarketingPlan[],MATCH(INDEX(MarketingAbweichungen[],ROW()-ROW(MarketingAbweichungen[[#Headers],[Mrz]]),1),INDEX(MarketingPlan[],,1),0),MATCH(MarketingAbweichungen[[#Headers],[Mrz]],MarketingPlan[#Headers],0))-INDEX(MarketingTatsächlich[],MATCH(INDEX(MarketingAbweichungen[],ROW()-ROW(MarketingAbweichungen[[#Headers],[Mrz]]),1),INDEX(MarketingPlan[],,1),0),MATCH(MarketingAbweichungen[[#Headers],[Mrz]],MarketingTatsächlich[#Headers],0))</f>
        <v>0</v>
      </c>
      <c r="F24" s="104">
        <f>INDEX(MarketingPlan[],MATCH(INDEX(MarketingAbweichungen[],ROW()-ROW(MarketingAbweichungen[[#Headers],[Apr]]),1),INDEX(MarketingPlan[],,1),0),MATCH(MarketingAbweichungen[[#Headers],[Apr]],MarketingPlan[#Headers],0))-INDEX(MarketingTatsächlich[],MATCH(INDEX(MarketingAbweichungen[],ROW()-ROW(MarketingAbweichungen[[#Headers],[Apr]]),1),INDEX(MarketingPlan[],,1),0),MATCH(MarketingAbweichungen[[#Headers],[Apr]],MarketingTatsächlich[#Headers],0))</f>
        <v>-500</v>
      </c>
      <c r="G24" s="104">
        <f>INDEX(MarketingPlan[],MATCH(INDEX(MarketingAbweichungen[],ROW()-ROW(MarketingAbweichungen[[#Headers],[Mai]]),1),INDEX(MarketingPlan[],,1),0),MATCH(MarketingAbweichungen[[#Headers],[Mai]],MarketingPlan[#Headers],0))-INDEX(MarketingTatsächlich[],MATCH(INDEX(MarketingAbweichungen[],ROW()-ROW(MarketingAbweichungen[[#Headers],[Mai]]),1),INDEX(MarketingPlan[],,1),0),MATCH(MarketingAbweichungen[[#Headers],[Mai]],MarketingTatsächlich[#Headers],0))</f>
        <v>0</v>
      </c>
      <c r="H24" s="104">
        <f>INDEX(MarketingPlan[],MATCH(INDEX(MarketingAbweichungen[],ROW()-ROW(MarketingAbweichungen[[#Headers],[Jun]]),1),INDEX(MarketingPlan[],,1),0),MATCH(MarketingAbweichungen[[#Headers],[Jun]],MarketingPlan[#Headers],0))-INDEX(MarketingTatsächlich[],MATCH(INDEX(MarketingAbweichungen[],ROW()-ROW(MarketingAbweichungen[[#Headers],[Jun]]),1),INDEX(MarketingPlan[],,1),0),MATCH(MarketingAbweichungen[[#Headers],[Jun]],MarketingTatsächlich[#Headers],0))</f>
        <v>0</v>
      </c>
      <c r="I24" s="104">
        <f>INDEX(MarketingPlan[],MATCH(INDEX(MarketingAbweichungen[],ROW()-ROW(MarketingAbweichungen[[#Headers],[Jul]]),1),INDEX(MarketingPlan[],,1),0),MATCH(MarketingAbweichungen[[#Headers],[Jul]],MarketingPlan[#Headers],0))-INDEX(MarketingTatsächlich[],MATCH(INDEX(MarketingAbweichungen[],ROW()-ROW(MarketingAbweichungen[[#Headers],[Jul]]),1),INDEX(MarketingPlan[],,1),0),MATCH(MarketingAbweichungen[[#Headers],[Jul]],MarketingTatsächlich[#Headers],0))</f>
        <v>5000</v>
      </c>
      <c r="J24" s="104">
        <f>INDEX(MarketingPlan[],MATCH(INDEX(MarketingAbweichungen[],ROW()-ROW(MarketingAbweichungen[[#Headers],[Aug]]),1),INDEX(MarketingPlan[],,1),0),MATCH(MarketingAbweichungen[[#Headers],[Aug]],MarketingPlan[#Headers],0))-INDEX(MarketingTatsächlich[],MATCH(INDEX(MarketingAbweichungen[],ROW()-ROW(MarketingAbweichungen[[#Headers],[Aug]]),1),INDEX(MarketingPlan[],,1),0),MATCH(MarketingAbweichungen[[#Headers],[Aug]],MarketingTatsächlich[#Headers],0))</f>
        <v>0</v>
      </c>
      <c r="K24" s="104">
        <f>INDEX(MarketingPlan[],MATCH(INDEX(MarketingAbweichungen[],ROW()-ROW(MarketingAbweichungen[[#Headers],[Sep]]),1),INDEX(MarketingPlan[],,1),0),MATCH(MarketingAbweichungen[[#Headers],[Sep]],MarketingPlan[#Headers],0))-INDEX(MarketingTatsächlich[],MATCH(INDEX(MarketingAbweichungen[],ROW()-ROW(MarketingAbweichungen[[#Headers],[Sep]]),1),INDEX(MarketingPlan[],,1),0),MATCH(MarketingAbweichungen[[#Headers],[Sep]],MarketingTatsächlich[#Headers],0))</f>
        <v>0</v>
      </c>
      <c r="L24" s="104">
        <f>INDEX(MarketingPlan[],MATCH(INDEX(MarketingAbweichungen[],ROW()-ROW(MarketingAbweichungen[[#Headers],[Okt]]),1),INDEX(MarketingPlan[],,1),0),MATCH(MarketingAbweichungen[[#Headers],[Okt]],MarketingPlan[#Headers],0))-INDEX(MarketingTatsächlich[],MATCH(INDEX(MarketingAbweichungen[],ROW()-ROW(MarketingAbweichungen[[#Headers],[Okt]]),1),INDEX(MarketingPlan[],,1),0),MATCH(MarketingAbweichungen[[#Headers],[Okt]],MarketingTatsächlich[#Headers],0))</f>
        <v>5000</v>
      </c>
      <c r="M24" s="104">
        <f>INDEX(MarketingPlan[],MATCH(INDEX(MarketingAbweichungen[],ROW()-ROW(MarketingAbweichungen[[#Headers],[Nov]]),1),INDEX(MarketingPlan[],,1),0),MATCH(MarketingAbweichungen[[#Headers],[Nov]],MarketingPlan[#Headers],0))-INDEX(MarketingTatsächlich[],MATCH(INDEX(MarketingAbweichungen[],ROW()-ROW(MarketingAbweichungen[[#Headers],[Nov]]),1),INDEX(MarketingPlan[],,1),0),MATCH(MarketingAbweichungen[[#Headers],[Nov]],MarketingTatsächlich[#Headers],0))</f>
        <v>0</v>
      </c>
      <c r="N24" s="104">
        <f>INDEX(MarketingPlan[],MATCH(INDEX(MarketingAbweichungen[],ROW()-ROW(MarketingAbweichungen[[#Headers],[Dez]]),1),INDEX(MarketingPlan[],,1),0),MATCH(MarketingAbweichungen[[#Headers],[Dez]],MarketingPlan[#Headers],0))-INDEX(MarketingTatsächlich[],MATCH(INDEX(MarketingAbweichungen[],ROW()-ROW(MarketingAbweichungen[[#Headers],[Dez]]),1),INDEX(MarketingPlan[],,1),0),MATCH(MarketingAbweichungen[[#Headers],[Dez]],MarketingTatsächlich[#Headers],0))</f>
        <v>0</v>
      </c>
      <c r="O24" s="105">
        <f>SUM(MarketingAbweichungen[[#This Row],[Jan]:[Dez]])</f>
        <v>9700</v>
      </c>
    </row>
    <row r="25" spans="1:15" ht="24.95" customHeight="1" thickBot="1" x14ac:dyDescent="0.35">
      <c r="A25" s="34"/>
      <c r="B25" s="70" t="s">
        <v>31</v>
      </c>
      <c r="C25" s="104">
        <f>INDEX(MarketingPlan[],MATCH(INDEX(MarketingAbweichungen[],ROW()-ROW(MarketingAbweichungen[[#Headers],[Jan]]),1),INDEX(MarketingPlan[],,1),0),MATCH(MarketingAbweichungen[[#Headers],[Jan]],MarketingPlan[#Headers],0))-INDEX(MarketingTatsächlich[],MATCH(INDEX(MarketingAbweichungen[],ROW()-ROW(MarketingAbweichungen[[#Headers],[Jan]]),1),INDEX(MarketingPlan[],,1),0),MATCH(MarketingAbweichungen[[#Headers],[Jan]],MarketingTatsächlich[#Headers],0))</f>
        <v>100</v>
      </c>
      <c r="D25" s="104">
        <f>INDEX(MarketingPlan[],MATCH(INDEX(MarketingAbweichungen[],ROW()-ROW(MarketingAbweichungen[[#Headers],[Feb]]),1),INDEX(MarketingPlan[],,1),0),MATCH(MarketingAbweichungen[[#Headers],[Feb]],MarketingPlan[#Headers],0))-INDEX(MarketingTatsächlich[],MATCH(INDEX(MarketingAbweichungen[],ROW()-ROW(MarketingAbweichungen[[#Headers],[Feb]]),1),INDEX(MarketingPlan[],,1),0),MATCH(MarketingAbweichungen[[#Headers],[Feb]],MarketingTatsächlich[#Headers],0))</f>
        <v>-300</v>
      </c>
      <c r="E25" s="104">
        <f>INDEX(MarketingPlan[],MATCH(INDEX(MarketingAbweichungen[],ROW()-ROW(MarketingAbweichungen[[#Headers],[Mrz]]),1),INDEX(MarketingPlan[],,1),0),MATCH(MarketingAbweichungen[[#Headers],[Mrz]],MarketingPlan[#Headers],0))-INDEX(MarketingTatsächlich[],MATCH(INDEX(MarketingAbweichungen[],ROW()-ROW(MarketingAbweichungen[[#Headers],[Mrz]]),1),INDEX(MarketingPlan[],,1),0),MATCH(MarketingAbweichungen[[#Headers],[Mrz]],MarketingTatsächlich[#Headers],0))</f>
        <v>100</v>
      </c>
      <c r="F25" s="104">
        <f>INDEX(MarketingPlan[],MATCH(INDEX(MarketingAbweichungen[],ROW()-ROW(MarketingAbweichungen[[#Headers],[Apr]]),1),INDEX(MarketingPlan[],,1),0),MATCH(MarketingAbweichungen[[#Headers],[Apr]],MarketingPlan[#Headers],0))-INDEX(MarketingTatsächlich[],MATCH(INDEX(MarketingAbweichungen[],ROW()-ROW(MarketingAbweichungen[[#Headers],[Apr]]),1),INDEX(MarketingPlan[],,1),0),MATCH(MarketingAbweichungen[[#Headers],[Apr]],MarketingTatsächlich[#Headers],0))</f>
        <v>100</v>
      </c>
      <c r="G25" s="104">
        <f>INDEX(MarketingPlan[],MATCH(INDEX(MarketingAbweichungen[],ROW()-ROW(MarketingAbweichungen[[#Headers],[Mai]]),1),INDEX(MarketingPlan[],,1),0),MATCH(MarketingAbweichungen[[#Headers],[Mai]],MarketingPlan[#Headers],0))-INDEX(MarketingTatsächlich[],MATCH(INDEX(MarketingAbweichungen[],ROW()-ROW(MarketingAbweichungen[[#Headers],[Mai]]),1),INDEX(MarketingPlan[],,1),0),MATCH(MarketingAbweichungen[[#Headers],[Mai]],MarketingTatsächlich[#Headers],0))</f>
        <v>-400</v>
      </c>
      <c r="H25" s="104">
        <f>INDEX(MarketingPlan[],MATCH(INDEX(MarketingAbweichungen[],ROW()-ROW(MarketingAbweichungen[[#Headers],[Jun]]),1),INDEX(MarketingPlan[],,1),0),MATCH(MarketingAbweichungen[[#Headers],[Jun]],MarketingPlan[#Headers],0))-INDEX(MarketingTatsächlich[],MATCH(INDEX(MarketingAbweichungen[],ROW()-ROW(MarketingAbweichungen[[#Headers],[Jun]]),1),INDEX(MarketingPlan[],,1),0),MATCH(MarketingAbweichungen[[#Headers],[Jun]],MarketingTatsächlich[#Headers],0))</f>
        <v>20</v>
      </c>
      <c r="I25" s="104">
        <f>INDEX(MarketingPlan[],MATCH(INDEX(MarketingAbweichungen[],ROW()-ROW(MarketingAbweichungen[[#Headers],[Jul]]),1),INDEX(MarketingPlan[],,1),0),MATCH(MarketingAbweichungen[[#Headers],[Jul]],MarketingPlan[#Headers],0))-INDEX(MarketingTatsächlich[],MATCH(INDEX(MarketingAbweichungen[],ROW()-ROW(MarketingAbweichungen[[#Headers],[Jul]]),1),INDEX(MarketingPlan[],,1),0),MATCH(MarketingAbweichungen[[#Headers],[Jul]],MarketingTatsächlich[#Headers],0))</f>
        <v>200</v>
      </c>
      <c r="J25" s="104">
        <f>INDEX(MarketingPlan[],MATCH(INDEX(MarketingAbweichungen[],ROW()-ROW(MarketingAbweichungen[[#Headers],[Aug]]),1),INDEX(MarketingPlan[],,1),0),MATCH(MarketingAbweichungen[[#Headers],[Aug]],MarketingPlan[#Headers],0))-INDEX(MarketingTatsächlich[],MATCH(INDEX(MarketingAbweichungen[],ROW()-ROW(MarketingAbweichungen[[#Headers],[Aug]]),1),INDEX(MarketingPlan[],,1),0),MATCH(MarketingAbweichungen[[#Headers],[Aug]],MarketingTatsächlich[#Headers],0))</f>
        <v>200</v>
      </c>
      <c r="K25" s="104">
        <f>INDEX(MarketingPlan[],MATCH(INDEX(MarketingAbweichungen[],ROW()-ROW(MarketingAbweichungen[[#Headers],[Sep]]),1),INDEX(MarketingPlan[],,1),0),MATCH(MarketingAbweichungen[[#Headers],[Sep]],MarketingPlan[#Headers],0))-INDEX(MarketingTatsächlich[],MATCH(INDEX(MarketingAbweichungen[],ROW()-ROW(MarketingAbweichungen[[#Headers],[Sep]]),1),INDEX(MarketingPlan[],,1),0),MATCH(MarketingAbweichungen[[#Headers],[Sep]],MarketingTatsächlich[#Headers],0))</f>
        <v>200</v>
      </c>
      <c r="L25" s="104">
        <f>INDEX(MarketingPlan[],MATCH(INDEX(MarketingAbweichungen[],ROW()-ROW(MarketingAbweichungen[[#Headers],[Okt]]),1),INDEX(MarketingPlan[],,1),0),MATCH(MarketingAbweichungen[[#Headers],[Okt]],MarketingPlan[#Headers],0))-INDEX(MarketingTatsächlich[],MATCH(INDEX(MarketingAbweichungen[],ROW()-ROW(MarketingAbweichungen[[#Headers],[Okt]]),1),INDEX(MarketingPlan[],,1),0),MATCH(MarketingAbweichungen[[#Headers],[Okt]],MarketingTatsächlich[#Headers],0))</f>
        <v>200</v>
      </c>
      <c r="M25" s="104">
        <f>INDEX(MarketingPlan[],MATCH(INDEX(MarketingAbweichungen[],ROW()-ROW(MarketingAbweichungen[[#Headers],[Nov]]),1),INDEX(MarketingPlan[],,1),0),MATCH(MarketingAbweichungen[[#Headers],[Nov]],MarketingPlan[#Headers],0))-INDEX(MarketingTatsächlich[],MATCH(INDEX(MarketingAbweichungen[],ROW()-ROW(MarketingAbweichungen[[#Headers],[Nov]]),1),INDEX(MarketingPlan[],,1),0),MATCH(MarketingAbweichungen[[#Headers],[Nov]],MarketingTatsächlich[#Headers],0))</f>
        <v>200</v>
      </c>
      <c r="N25" s="104">
        <f>INDEX(MarketingPlan[],MATCH(INDEX(MarketingAbweichungen[],ROW()-ROW(MarketingAbweichungen[[#Headers],[Dez]]),1),INDEX(MarketingPlan[],,1),0),MATCH(MarketingAbweichungen[[#Headers],[Dez]],MarketingPlan[#Headers],0))-INDEX(MarketingTatsächlich[],MATCH(INDEX(MarketingAbweichungen[],ROW()-ROW(MarketingAbweichungen[[#Headers],[Dez]]),1),INDEX(MarketingPlan[],,1),0),MATCH(MarketingAbweichungen[[#Headers],[Dez]],MarketingTatsächlich[#Headers],0))</f>
        <v>200</v>
      </c>
      <c r="O25" s="105">
        <f>SUM(MarketingAbweichungen[[#This Row],[Jan]:[Dez]])</f>
        <v>820</v>
      </c>
    </row>
    <row r="26" spans="1:15" ht="24.95" customHeight="1" thickBot="1" x14ac:dyDescent="0.35">
      <c r="A26" s="34"/>
      <c r="B26" s="70" t="s">
        <v>32</v>
      </c>
      <c r="C26" s="104">
        <f>INDEX(MarketingPlan[],MATCH(INDEX(MarketingAbweichungen[],ROW()-ROW(MarketingAbweichungen[[#Headers],[Jan]]),1),INDEX(MarketingPlan[],,1),0),MATCH(MarketingAbweichungen[[#Headers],[Jan]],MarketingPlan[#Headers],0))-INDEX(MarketingTatsächlich[],MATCH(INDEX(MarketingAbweichungen[],ROW()-ROW(MarketingAbweichungen[[#Headers],[Jan]]),1),INDEX(MarketingPlan[],,1),0),MATCH(MarketingAbweichungen[[#Headers],[Jan]],MarketingTatsächlich[#Headers],0))</f>
        <v>200</v>
      </c>
      <c r="D26" s="104">
        <f>INDEX(MarketingPlan[],MATCH(INDEX(MarketingAbweichungen[],ROW()-ROW(MarketingAbweichungen[[#Headers],[Feb]]),1),INDEX(MarketingPlan[],,1),0),MATCH(MarketingAbweichungen[[#Headers],[Feb]],MarketingPlan[#Headers],0))-INDEX(MarketingTatsächlich[],MATCH(INDEX(MarketingAbweichungen[],ROW()-ROW(MarketingAbweichungen[[#Headers],[Feb]]),1),INDEX(MarketingPlan[],,1),0),MATCH(MarketingAbweichungen[[#Headers],[Feb]],MarketingTatsächlich[#Headers],0))</f>
        <v>-200</v>
      </c>
      <c r="E26" s="104">
        <f>INDEX(MarketingPlan[],MATCH(INDEX(MarketingAbweichungen[],ROW()-ROW(MarketingAbweichungen[[#Headers],[Mrz]]),1),INDEX(MarketingPlan[],,1),0),MATCH(MarketingAbweichungen[[#Headers],[Mrz]],MarketingPlan[#Headers],0))-INDEX(MarketingTatsächlich[],MATCH(INDEX(MarketingAbweichungen[],ROW()-ROW(MarketingAbweichungen[[#Headers],[Mrz]]),1),INDEX(MarketingPlan[],,1),0),MATCH(MarketingAbweichungen[[#Headers],[Mrz]],MarketingTatsächlich[#Headers],0))</f>
        <v>-200</v>
      </c>
      <c r="F26" s="104">
        <f>INDEX(MarketingPlan[],MATCH(INDEX(MarketingAbweichungen[],ROW()-ROW(MarketingAbweichungen[[#Headers],[Apr]]),1),INDEX(MarketingPlan[],,1),0),MATCH(MarketingAbweichungen[[#Headers],[Apr]],MarketingPlan[#Headers],0))-INDEX(MarketingTatsächlich[],MATCH(INDEX(MarketingAbweichungen[],ROW()-ROW(MarketingAbweichungen[[#Headers],[Apr]]),1),INDEX(MarketingPlan[],,1),0),MATCH(MarketingAbweichungen[[#Headers],[Apr]],MarketingTatsächlich[#Headers],0))</f>
        <v>300</v>
      </c>
      <c r="G26" s="104">
        <f>INDEX(MarketingPlan[],MATCH(INDEX(MarketingAbweichungen[],ROW()-ROW(MarketingAbweichungen[[#Headers],[Mai]]),1),INDEX(MarketingPlan[],,1),0),MATCH(MarketingAbweichungen[[#Headers],[Mai]],MarketingPlan[#Headers],0))-INDEX(MarketingTatsächlich[],MATCH(INDEX(MarketingAbweichungen[],ROW()-ROW(MarketingAbweichungen[[#Headers],[Mai]]),1),INDEX(MarketingPlan[],,1),0),MATCH(MarketingAbweichungen[[#Headers],[Mai]],MarketingTatsächlich[#Headers],0))</f>
        <v>500</v>
      </c>
      <c r="H26" s="104">
        <f>INDEX(MarketingPlan[],MATCH(INDEX(MarketingAbweichungen[],ROW()-ROW(MarketingAbweichungen[[#Headers],[Jun]]),1),INDEX(MarketingPlan[],,1),0),MATCH(MarketingAbweichungen[[#Headers],[Jun]],MarketingPlan[#Headers],0))-INDEX(MarketingTatsächlich[],MATCH(INDEX(MarketingAbweichungen[],ROW()-ROW(MarketingAbweichungen[[#Headers],[Jun]]),1),INDEX(MarketingPlan[],,1),0),MATCH(MarketingAbweichungen[[#Headers],[Jun]],MarketingTatsächlich[#Headers],0))</f>
        <v>-300</v>
      </c>
      <c r="I26" s="104">
        <f>INDEX(MarketingPlan[],MATCH(INDEX(MarketingAbweichungen[],ROW()-ROW(MarketingAbweichungen[[#Headers],[Jul]]),1),INDEX(MarketingPlan[],,1),0),MATCH(MarketingAbweichungen[[#Headers],[Jul]],MarketingPlan[#Headers],0))-INDEX(MarketingTatsächlich[],MATCH(INDEX(MarketingAbweichungen[],ROW()-ROW(MarketingAbweichungen[[#Headers],[Jul]]),1),INDEX(MarketingPlan[],,1),0),MATCH(MarketingAbweichungen[[#Headers],[Jul]],MarketingTatsächlich[#Headers],0))</f>
        <v>2000</v>
      </c>
      <c r="J26" s="104">
        <f>INDEX(MarketingPlan[],MATCH(INDEX(MarketingAbweichungen[],ROW()-ROW(MarketingAbweichungen[[#Headers],[Aug]]),1),INDEX(MarketingPlan[],,1),0),MATCH(MarketingAbweichungen[[#Headers],[Aug]],MarketingPlan[#Headers],0))-INDEX(MarketingTatsächlich[],MATCH(INDEX(MarketingAbweichungen[],ROW()-ROW(MarketingAbweichungen[[#Headers],[Aug]]),1),INDEX(MarketingPlan[],,1),0),MATCH(MarketingAbweichungen[[#Headers],[Aug]],MarketingTatsächlich[#Headers],0))</f>
        <v>5000</v>
      </c>
      <c r="K26" s="104">
        <f>INDEX(MarketingPlan[],MATCH(INDEX(MarketingAbweichungen[],ROW()-ROW(MarketingAbweichungen[[#Headers],[Sep]]),1),INDEX(MarketingPlan[],,1),0),MATCH(MarketingAbweichungen[[#Headers],[Sep]],MarketingPlan[#Headers],0))-INDEX(MarketingTatsächlich[],MATCH(INDEX(MarketingAbweichungen[],ROW()-ROW(MarketingAbweichungen[[#Headers],[Sep]]),1),INDEX(MarketingPlan[],,1),0),MATCH(MarketingAbweichungen[[#Headers],[Sep]],MarketingTatsächlich[#Headers],0))</f>
        <v>2000</v>
      </c>
      <c r="L26" s="104">
        <f>INDEX(MarketingPlan[],MATCH(INDEX(MarketingAbweichungen[],ROW()-ROW(MarketingAbweichungen[[#Headers],[Okt]]),1),INDEX(MarketingPlan[],,1),0),MATCH(MarketingAbweichungen[[#Headers],[Okt]],MarketingPlan[#Headers],0))-INDEX(MarketingTatsächlich[],MATCH(INDEX(MarketingAbweichungen[],ROW()-ROW(MarketingAbweichungen[[#Headers],[Okt]]),1),INDEX(MarketingPlan[],,1),0),MATCH(MarketingAbweichungen[[#Headers],[Okt]],MarketingTatsächlich[#Headers],0))</f>
        <v>2000</v>
      </c>
      <c r="M26" s="104">
        <f>INDEX(MarketingPlan[],MATCH(INDEX(MarketingAbweichungen[],ROW()-ROW(MarketingAbweichungen[[#Headers],[Nov]]),1),INDEX(MarketingPlan[],,1),0),MATCH(MarketingAbweichungen[[#Headers],[Nov]],MarketingPlan[#Headers],0))-INDEX(MarketingTatsächlich[],MATCH(INDEX(MarketingAbweichungen[],ROW()-ROW(MarketingAbweichungen[[#Headers],[Nov]]),1),INDEX(MarketingPlan[],,1),0),MATCH(MarketingAbweichungen[[#Headers],[Nov]],MarketingTatsächlich[#Headers],0))</f>
        <v>2000</v>
      </c>
      <c r="N26" s="104">
        <f>INDEX(MarketingPlan[],MATCH(INDEX(MarketingAbweichungen[],ROW()-ROW(MarketingAbweichungen[[#Headers],[Dez]]),1),INDEX(MarketingPlan[],,1),0),MATCH(MarketingAbweichungen[[#Headers],[Dez]],MarketingPlan[#Headers],0))-INDEX(MarketingTatsächlich[],MATCH(INDEX(MarketingAbweichungen[],ROW()-ROW(MarketingAbweichungen[[#Headers],[Dez]]),1),INDEX(MarketingPlan[],,1),0),MATCH(MarketingAbweichungen[[#Headers],[Dez]],MarketingTatsächlich[#Headers],0))</f>
        <v>5000</v>
      </c>
      <c r="O26" s="105">
        <f>SUM(MarketingAbweichungen[[#This Row],[Jan]:[Dez]])</f>
        <v>18300</v>
      </c>
    </row>
    <row r="27" spans="1:15" ht="24.95" customHeight="1" thickBot="1" x14ac:dyDescent="0.35">
      <c r="A27" s="34"/>
      <c r="B27" s="70" t="s">
        <v>33</v>
      </c>
      <c r="C27" s="104">
        <f>INDEX(MarketingPlan[],MATCH(INDEX(MarketingAbweichungen[],ROW()-ROW(MarketingAbweichungen[[#Headers],[Jan]]),1),INDEX(MarketingPlan[],,1),0),MATCH(MarketingAbweichungen[[#Headers],[Jan]],MarketingPlan[#Headers],0))-INDEX(MarketingTatsächlich[],MATCH(INDEX(MarketingAbweichungen[],ROW()-ROW(MarketingAbweichungen[[#Headers],[Jan]]),1),INDEX(MarketingPlan[],,1),0),MATCH(MarketingAbweichungen[[#Headers],[Jan]],MarketingTatsächlich[#Headers],0))</f>
        <v>55</v>
      </c>
      <c r="D27" s="104">
        <f>INDEX(MarketingPlan[],MATCH(INDEX(MarketingAbweichungen[],ROW()-ROW(MarketingAbweichungen[[#Headers],[Feb]]),1),INDEX(MarketingPlan[],,1),0),MATCH(MarketingAbweichungen[[#Headers],[Feb]],MarketingPlan[#Headers],0))-INDEX(MarketingTatsächlich[],MATCH(INDEX(MarketingAbweichungen[],ROW()-ROW(MarketingAbweichungen[[#Headers],[Feb]]),1),INDEX(MarketingPlan[],,1),0),MATCH(MarketingAbweichungen[[#Headers],[Feb]],MarketingTatsächlich[#Headers],0))</f>
        <v>44</v>
      </c>
      <c r="E27" s="104">
        <f>INDEX(MarketingPlan[],MATCH(INDEX(MarketingAbweichungen[],ROW()-ROW(MarketingAbweichungen[[#Headers],[Mrz]]),1),INDEX(MarketingPlan[],,1),0),MATCH(MarketingAbweichungen[[#Headers],[Mrz]],MarketingPlan[#Headers],0))-INDEX(MarketingTatsächlich[],MATCH(INDEX(MarketingAbweichungen[],ROW()-ROW(MarketingAbweichungen[[#Headers],[Mrz]]),1),INDEX(MarketingPlan[],,1),0),MATCH(MarketingAbweichungen[[#Headers],[Mrz]],MarketingTatsächlich[#Headers],0))</f>
        <v>77</v>
      </c>
      <c r="F27" s="104">
        <f>INDEX(MarketingPlan[],MATCH(INDEX(MarketingAbweichungen[],ROW()-ROW(MarketingAbweichungen[[#Headers],[Apr]]),1),INDEX(MarketingPlan[],,1),0),MATCH(MarketingAbweichungen[[#Headers],[Apr]],MarketingPlan[#Headers],0))-INDEX(MarketingTatsächlich[],MATCH(INDEX(MarketingAbweichungen[],ROW()-ROW(MarketingAbweichungen[[#Headers],[Apr]]),1),INDEX(MarketingPlan[],,1),0),MATCH(MarketingAbweichungen[[#Headers],[Apr]],MarketingTatsächlich[#Headers],0))</f>
        <v>-23</v>
      </c>
      <c r="G27" s="104">
        <f>INDEX(MarketingPlan[],MATCH(INDEX(MarketingAbweichungen[],ROW()-ROW(MarketingAbweichungen[[#Headers],[Mai]]),1),INDEX(MarketingPlan[],,1),0),MATCH(MarketingAbweichungen[[#Headers],[Mai]],MarketingPlan[#Headers],0))-INDEX(MarketingTatsächlich[],MATCH(INDEX(MarketingAbweichungen[],ROW()-ROW(MarketingAbweichungen[[#Headers],[Mai]]),1),INDEX(MarketingPlan[],,1),0),MATCH(MarketingAbweichungen[[#Headers],[Mai]],MarketingTatsächlich[#Headers],0))</f>
        <v>13</v>
      </c>
      <c r="H27" s="104">
        <f>INDEX(MarketingPlan[],MATCH(INDEX(MarketingAbweichungen[],ROW()-ROW(MarketingAbweichungen[[#Headers],[Jun]]),1),INDEX(MarketingPlan[],,1),0),MATCH(MarketingAbweichungen[[#Headers],[Jun]],MarketingPlan[#Headers],0))-INDEX(MarketingTatsächlich[],MATCH(INDEX(MarketingAbweichungen[],ROW()-ROW(MarketingAbweichungen[[#Headers],[Jun]]),1),INDEX(MarketingPlan[],,1),0),MATCH(MarketingAbweichungen[[#Headers],[Jun]],MarketingTatsächlich[#Headers],0))</f>
        <v>-45</v>
      </c>
      <c r="I27" s="104">
        <f>INDEX(MarketingPlan[],MATCH(INDEX(MarketingAbweichungen[],ROW()-ROW(MarketingAbweichungen[[#Headers],[Jul]]),1),INDEX(MarketingPlan[],,1),0),MATCH(MarketingAbweichungen[[#Headers],[Jul]],MarketingPlan[#Headers],0))-INDEX(MarketingTatsächlich[],MATCH(INDEX(MarketingAbweichungen[],ROW()-ROW(MarketingAbweichungen[[#Headers],[Jul]]),1),INDEX(MarketingPlan[],,1),0),MATCH(MarketingAbweichungen[[#Headers],[Jul]],MarketingTatsächlich[#Headers],0))</f>
        <v>200</v>
      </c>
      <c r="J27" s="104">
        <f>INDEX(MarketingPlan[],MATCH(INDEX(MarketingAbweichungen[],ROW()-ROW(MarketingAbweichungen[[#Headers],[Aug]]),1),INDEX(MarketingPlan[],,1),0),MATCH(MarketingAbweichungen[[#Headers],[Aug]],MarketingPlan[#Headers],0))-INDEX(MarketingTatsächlich[],MATCH(INDEX(MarketingAbweichungen[],ROW()-ROW(MarketingAbweichungen[[#Headers],[Aug]]),1),INDEX(MarketingPlan[],,1),0),MATCH(MarketingAbweichungen[[#Headers],[Aug]],MarketingTatsächlich[#Headers],0))</f>
        <v>200</v>
      </c>
      <c r="K27" s="104">
        <f>INDEX(MarketingPlan[],MATCH(INDEX(MarketingAbweichungen[],ROW()-ROW(MarketingAbweichungen[[#Headers],[Sep]]),1),INDEX(MarketingPlan[],,1),0),MATCH(MarketingAbweichungen[[#Headers],[Sep]],MarketingPlan[#Headers],0))-INDEX(MarketingTatsächlich[],MATCH(INDEX(MarketingAbweichungen[],ROW()-ROW(MarketingAbweichungen[[#Headers],[Sep]]),1),INDEX(MarketingPlan[],,1),0),MATCH(MarketingAbweichungen[[#Headers],[Sep]],MarketingTatsächlich[#Headers],0))</f>
        <v>200</v>
      </c>
      <c r="L27" s="104">
        <f>INDEX(MarketingPlan[],MATCH(INDEX(MarketingAbweichungen[],ROW()-ROW(MarketingAbweichungen[[#Headers],[Okt]]),1),INDEX(MarketingPlan[],,1),0),MATCH(MarketingAbweichungen[[#Headers],[Okt]],MarketingPlan[#Headers],0))-INDEX(MarketingTatsächlich[],MATCH(INDEX(MarketingAbweichungen[],ROW()-ROW(MarketingAbweichungen[[#Headers],[Okt]]),1),INDEX(MarketingPlan[],,1),0),MATCH(MarketingAbweichungen[[#Headers],[Okt]],MarketingTatsächlich[#Headers],0))</f>
        <v>200</v>
      </c>
      <c r="M27" s="104">
        <f>INDEX(MarketingPlan[],MATCH(INDEX(MarketingAbweichungen[],ROW()-ROW(MarketingAbweichungen[[#Headers],[Nov]]),1),INDEX(MarketingPlan[],,1),0),MATCH(MarketingAbweichungen[[#Headers],[Nov]],MarketingPlan[#Headers],0))-INDEX(MarketingTatsächlich[],MATCH(INDEX(MarketingAbweichungen[],ROW()-ROW(MarketingAbweichungen[[#Headers],[Nov]]),1),INDEX(MarketingPlan[],,1),0),MATCH(MarketingAbweichungen[[#Headers],[Nov]],MarketingTatsächlich[#Headers],0))</f>
        <v>200</v>
      </c>
      <c r="N27" s="104">
        <f>INDEX(MarketingPlan[],MATCH(INDEX(MarketingAbweichungen[],ROW()-ROW(MarketingAbweichungen[[#Headers],[Dez]]),1),INDEX(MarketingPlan[],,1),0),MATCH(MarketingAbweichungen[[#Headers],[Dez]],MarketingPlan[#Headers],0))-INDEX(MarketingTatsächlich[],MATCH(INDEX(MarketingAbweichungen[],ROW()-ROW(MarketingAbweichungen[[#Headers],[Dez]]),1),INDEX(MarketingPlan[],,1),0),MATCH(MarketingAbweichungen[[#Headers],[Dez]],MarketingTatsächlich[#Headers],0))</f>
        <v>200</v>
      </c>
      <c r="O27" s="105">
        <f>SUM(MarketingAbweichungen[[#This Row],[Jan]:[Dez]])</f>
        <v>1321</v>
      </c>
    </row>
    <row r="28" spans="1:15" ht="24.95" customHeight="1" x14ac:dyDescent="0.3">
      <c r="A28" s="34"/>
      <c r="B28" s="81" t="s">
        <v>17</v>
      </c>
      <c r="C28" s="112">
        <f>SUBTOTAL(109,MarketingAbweichungen[Jan])</f>
        <v>555</v>
      </c>
      <c r="D28" s="112">
        <f>SUBTOTAL(109,MarketingAbweichungen[Feb])</f>
        <v>-456</v>
      </c>
      <c r="E28" s="112">
        <f>SUBTOTAL(109,MarketingAbweichungen[Mrz])</f>
        <v>-23</v>
      </c>
      <c r="F28" s="112">
        <f>SUBTOTAL(109,MarketingAbweichungen[Apr])</f>
        <v>-123</v>
      </c>
      <c r="G28" s="112">
        <f>SUBTOTAL(109,MarketingAbweichungen[Mai])</f>
        <v>113</v>
      </c>
      <c r="H28" s="112">
        <f>SUBTOTAL(109,MarketingAbweichungen[Jun])</f>
        <v>-825</v>
      </c>
      <c r="I28" s="112">
        <f>SUBTOTAL(109,MarketingAbweichungen[Jul])</f>
        <v>8100</v>
      </c>
      <c r="J28" s="112">
        <f>SUBTOTAL(109,MarketingAbweichungen[Aug])</f>
        <v>6100</v>
      </c>
      <c r="K28" s="112">
        <f>SUBTOTAL(109,MarketingAbweichungen[Sep])</f>
        <v>3100</v>
      </c>
      <c r="L28" s="112">
        <f>SUBTOTAL(109,MarketingAbweichungen[Okt])</f>
        <v>8100</v>
      </c>
      <c r="M28" s="112">
        <f>SUBTOTAL(109,MarketingAbweichungen[Nov])</f>
        <v>3100</v>
      </c>
      <c r="N28" s="112">
        <f>SUBTOTAL(109,MarketingAbweichungen[Dez])</f>
        <v>6900</v>
      </c>
      <c r="O28" s="113">
        <f>SUBTOTAL(109,MarketingAbweichungen[JAHR])</f>
        <v>34641</v>
      </c>
    </row>
    <row r="29" spans="1:15" ht="21" customHeight="1" x14ac:dyDescent="0.3">
      <c r="A29" s="34"/>
      <c r="B29" s="134"/>
      <c r="C29" s="134"/>
      <c r="D29" s="147"/>
      <c r="E29" s="147"/>
      <c r="F29" s="147"/>
      <c r="G29" s="147"/>
      <c r="H29" s="147"/>
      <c r="I29" s="147"/>
      <c r="J29" s="147"/>
      <c r="K29" s="147"/>
      <c r="L29" s="147"/>
      <c r="M29" s="147"/>
      <c r="N29" s="147"/>
      <c r="O29" s="146"/>
    </row>
    <row r="30" spans="1:15" ht="24.95" customHeight="1" thickBot="1" x14ac:dyDescent="0.35">
      <c r="A30" s="34" t="s">
        <v>103</v>
      </c>
      <c r="B30" s="61" t="s">
        <v>34</v>
      </c>
      <c r="C30" s="68" t="s">
        <v>41</v>
      </c>
      <c r="D30" s="68" t="s">
        <v>43</v>
      </c>
      <c r="E30" s="91" t="s">
        <v>45</v>
      </c>
      <c r="F30" s="68" t="s">
        <v>47</v>
      </c>
      <c r="G30" s="68" t="s">
        <v>49</v>
      </c>
      <c r="H30" s="68" t="s">
        <v>51</v>
      </c>
      <c r="I30" s="68" t="s">
        <v>53</v>
      </c>
      <c r="J30" s="68" t="s">
        <v>55</v>
      </c>
      <c r="K30" s="68" t="s">
        <v>59</v>
      </c>
      <c r="L30" s="68" t="s">
        <v>61</v>
      </c>
      <c r="M30" s="68" t="s">
        <v>63</v>
      </c>
      <c r="N30" s="68" t="s">
        <v>66</v>
      </c>
      <c r="O30" s="69" t="s">
        <v>67</v>
      </c>
    </row>
    <row r="31" spans="1:15" ht="24.95" customHeight="1" thickBot="1" x14ac:dyDescent="0.35">
      <c r="A31" s="34"/>
      <c r="B31" s="70" t="s">
        <v>35</v>
      </c>
      <c r="C31" s="104">
        <f>INDEX(SchulungsUndReisePlan[],MATCH(INDEX(SchulungsUndReiseAbweichungen[],ROW()-ROW(SchulungsUndReiseAbweichungen[[#Headers],[Jan]]),1),INDEX(SchulungsUndReisePlan[],,1),0),MATCH(SchulungsUndReiseAbweichungen[[#Headers],[Jan]],SchulungsUndReisePlan[#Headers],0))-INDEX(SchulungUndReiseTatsächlich[],MATCH(INDEX(SchulungsUndReiseAbweichungen[],ROW()-ROW(SchulungsUndReiseAbweichungen[[#Headers],[Jan]]),1),INDEX(SchulungsUndReisePlan[],,1),0),MATCH(SchulungsUndReiseAbweichungen[[#Headers],[Jan]],SchulungUndReiseTatsächlich[#Headers],0))</f>
        <v>400</v>
      </c>
      <c r="D31" s="104">
        <f>INDEX(SchulungsUndReisePlan[],MATCH(INDEX(SchulungsUndReiseAbweichungen[],ROW()-ROW(SchulungsUndReiseAbweichungen[[#Headers],[Feb]]),1),INDEX(SchulungsUndReisePlan[],,1),0),MATCH(SchulungsUndReiseAbweichungen[[#Headers],[Feb]],SchulungsUndReisePlan[#Headers],0))-INDEX(SchulungUndReiseTatsächlich[],MATCH(INDEX(SchulungsUndReiseAbweichungen[],ROW()-ROW(SchulungsUndReiseAbweichungen[[#Headers],[Feb]]),1),INDEX(SchulungsUndReisePlan[],,1),0),MATCH(SchulungsUndReiseAbweichungen[[#Headers],[Feb]],SchulungUndReiseTatsächlich[#Headers],0))</f>
        <v>-400</v>
      </c>
      <c r="E31" s="104">
        <f>INDEX(SchulungsUndReisePlan[],MATCH(INDEX(SchulungsUndReiseAbweichungen[],ROW()-ROW(SchulungsUndReiseAbweichungen[[#Headers],[Mrz]]),1),INDEX(SchulungsUndReisePlan[],,1),0),MATCH(SchulungsUndReiseAbweichungen[[#Headers],[Mrz]],SchulungsUndReisePlan[#Headers],0))-INDEX(SchulungUndReiseTatsächlich[],MATCH(INDEX(SchulungsUndReiseAbweichungen[],ROW()-ROW(SchulungsUndReiseAbweichungen[[#Headers],[Mrz]]),1),INDEX(SchulungsUndReisePlan[],,1),0),MATCH(SchulungsUndReiseAbweichungen[[#Headers],[Mrz]],SchulungUndReiseTatsächlich[#Headers],0))</f>
        <v>600</v>
      </c>
      <c r="F31" s="104">
        <f>INDEX(SchulungsUndReisePlan[],MATCH(INDEX(SchulungsUndReiseAbweichungen[],ROW()-ROW(SchulungsUndReiseAbweichungen[[#Headers],[Apr]]),1),INDEX(SchulungsUndReisePlan[],,1),0),MATCH(SchulungsUndReiseAbweichungen[[#Headers],[Apr]],SchulungsUndReisePlan[#Headers],0))-INDEX(SchulungUndReiseTatsächlich[],MATCH(INDEX(SchulungsUndReiseAbweichungen[],ROW()-ROW(SchulungsUndReiseAbweichungen[[#Headers],[Apr]]),1),INDEX(SchulungsUndReisePlan[],,1),0),MATCH(SchulungsUndReiseAbweichungen[[#Headers],[Apr]],SchulungUndReiseTatsächlich[#Headers],0))</f>
        <v>400</v>
      </c>
      <c r="G31" s="104">
        <f>INDEX(SchulungsUndReisePlan[],MATCH(INDEX(SchulungsUndReiseAbweichungen[],ROW()-ROW(SchulungsUndReiseAbweichungen[[#Headers],[Mai]]),1),INDEX(SchulungsUndReisePlan[],,1),0),MATCH(SchulungsUndReiseAbweichungen[[#Headers],[Mai]],SchulungsUndReisePlan[#Headers],0))-INDEX(SchulungUndReiseTatsächlich[],MATCH(INDEX(SchulungsUndReiseAbweichungen[],ROW()-ROW(SchulungsUndReiseAbweichungen[[#Headers],[Mai]]),1),INDEX(SchulungsUndReisePlan[],,1),0),MATCH(SchulungsUndReiseAbweichungen[[#Headers],[Mai]],SchulungUndReiseTatsächlich[#Headers],0))</f>
        <v>800</v>
      </c>
      <c r="H31" s="104">
        <f>INDEX(SchulungsUndReisePlan[],MATCH(INDEX(SchulungsUndReiseAbweichungen[],ROW()-ROW(SchulungsUndReiseAbweichungen[[#Headers],[Jun]]),1),INDEX(SchulungsUndReisePlan[],,1),0),MATCH(SchulungsUndReiseAbweichungen[[#Headers],[Jun]],SchulungsUndReisePlan[#Headers],0))-INDEX(SchulungUndReiseTatsächlich[],MATCH(INDEX(SchulungsUndReiseAbweichungen[],ROW()-ROW(SchulungsUndReiseAbweichungen[[#Headers],[Jun]]),1),INDEX(SchulungsUndReisePlan[],,1),0),MATCH(SchulungsUndReiseAbweichungen[[#Headers],[Jun]],SchulungUndReiseTatsächlich[#Headers],0))</f>
        <v>-800</v>
      </c>
      <c r="I31" s="104">
        <f>INDEX(SchulungsUndReisePlan[],MATCH(INDEX(SchulungsUndReiseAbweichungen[],ROW()-ROW(SchulungsUndReiseAbweichungen[[#Headers],[Jul]]),1),INDEX(SchulungsUndReisePlan[],,1),0),MATCH(SchulungsUndReiseAbweichungen[[#Headers],[Jul]],SchulungsUndReisePlan[#Headers],0))-INDEX(SchulungUndReiseTatsächlich[],MATCH(INDEX(SchulungsUndReiseAbweichungen[],ROW()-ROW(SchulungsUndReiseAbweichungen[[#Headers],[Jul]]),1),INDEX(SchulungsUndReisePlan[],,1),0),MATCH(SchulungsUndReiseAbweichungen[[#Headers],[Jul]],SchulungUndReiseTatsächlich[#Headers],0))</f>
        <v>2000</v>
      </c>
      <c r="J31" s="104">
        <f>INDEX(SchulungsUndReisePlan[],MATCH(INDEX(SchulungsUndReiseAbweichungen[],ROW()-ROW(SchulungsUndReiseAbweichungen[[#Headers],[Aug]]),1),INDEX(SchulungsUndReisePlan[],,1),0),MATCH(SchulungsUndReiseAbweichungen[[#Headers],[Aug]],SchulungsUndReisePlan[#Headers],0))-INDEX(SchulungUndReiseTatsächlich[],MATCH(INDEX(SchulungsUndReiseAbweichungen[],ROW()-ROW(SchulungsUndReiseAbweichungen[[#Headers],[Aug]]),1),INDEX(SchulungsUndReisePlan[],,1),0),MATCH(SchulungsUndReiseAbweichungen[[#Headers],[Aug]],SchulungUndReiseTatsächlich[#Headers],0))</f>
        <v>2000</v>
      </c>
      <c r="K31" s="104">
        <f>INDEX(SchulungsUndReisePlan[],MATCH(INDEX(SchulungsUndReiseAbweichungen[],ROW()-ROW(SchulungsUndReiseAbweichungen[[#Headers],[Sep]]),1),INDEX(SchulungsUndReisePlan[],,1),0),MATCH(SchulungsUndReiseAbweichungen[[#Headers],[Sep]],SchulungsUndReisePlan[#Headers],0))-INDEX(SchulungUndReiseTatsächlich[],MATCH(INDEX(SchulungsUndReiseAbweichungen[],ROW()-ROW(SchulungsUndReiseAbweichungen[[#Headers],[Sep]]),1),INDEX(SchulungsUndReisePlan[],,1),0),MATCH(SchulungsUndReiseAbweichungen[[#Headers],[Sep]],SchulungUndReiseTatsächlich[#Headers],0))</f>
        <v>2000</v>
      </c>
      <c r="L31" s="104">
        <f>INDEX(SchulungsUndReisePlan[],MATCH(INDEX(SchulungsUndReiseAbweichungen[],ROW()-ROW(SchulungsUndReiseAbweichungen[[#Headers],[Okt]]),1),INDEX(SchulungsUndReisePlan[],,1),0),MATCH(SchulungsUndReiseAbweichungen[[#Headers],[Okt]],SchulungsUndReisePlan[#Headers],0))-INDEX(SchulungUndReiseTatsächlich[],MATCH(INDEX(SchulungsUndReiseAbweichungen[],ROW()-ROW(SchulungsUndReiseAbweichungen[[#Headers],[Okt]]),1),INDEX(SchulungsUndReisePlan[],,1),0),MATCH(SchulungsUndReiseAbweichungen[[#Headers],[Okt]],SchulungUndReiseTatsächlich[#Headers],0))</f>
        <v>2000</v>
      </c>
      <c r="M31" s="104">
        <f>INDEX(SchulungsUndReisePlan[],MATCH(INDEX(SchulungsUndReiseAbweichungen[],ROW()-ROW(SchulungsUndReiseAbweichungen[[#Headers],[Nov]]),1),INDEX(SchulungsUndReisePlan[],,1),0),MATCH(SchulungsUndReiseAbweichungen[[#Headers],[Nov]],SchulungsUndReisePlan[#Headers],0))-INDEX(SchulungUndReiseTatsächlich[],MATCH(INDEX(SchulungsUndReiseAbweichungen[],ROW()-ROW(SchulungsUndReiseAbweichungen[[#Headers],[Nov]]),1),INDEX(SchulungsUndReisePlan[],,1),0),MATCH(SchulungsUndReiseAbweichungen[[#Headers],[Nov]],SchulungUndReiseTatsächlich[#Headers],0))</f>
        <v>2000</v>
      </c>
      <c r="N31" s="104">
        <f>INDEX(SchulungsUndReisePlan[],MATCH(INDEX(SchulungsUndReiseAbweichungen[],ROW()-ROW(SchulungsUndReiseAbweichungen[[#Headers],[Dez]]),1),INDEX(SchulungsUndReisePlan[],,1),0),MATCH(SchulungsUndReiseAbweichungen[[#Headers],[Dez]],SchulungsUndReisePlan[#Headers],0))-INDEX(SchulungUndReiseTatsächlich[],MATCH(INDEX(SchulungsUndReiseAbweichungen[],ROW()-ROW(SchulungsUndReiseAbweichungen[[#Headers],[Dez]]),1),INDEX(SchulungsUndReisePlan[],,1),0),MATCH(SchulungsUndReiseAbweichungen[[#Headers],[Dez]],SchulungUndReiseTatsächlich[#Headers],0))</f>
        <v>2000</v>
      </c>
      <c r="O31" s="105">
        <f>SUM(SchulungsUndReiseAbweichungen[[#This Row],[Jan]:[Dez]])</f>
        <v>13000</v>
      </c>
    </row>
    <row r="32" spans="1:15" ht="24.95" customHeight="1" thickBot="1" x14ac:dyDescent="0.35">
      <c r="A32" s="34"/>
      <c r="B32" s="70" t="s">
        <v>36</v>
      </c>
      <c r="C32" s="104">
        <f>INDEX(SchulungsUndReisePlan[],MATCH(INDEX(SchulungsUndReiseAbweichungen[],ROW()-ROW(SchulungsUndReiseAbweichungen[[#Headers],[Jan]]),1),INDEX(SchulungsUndReisePlan[],,1),0),MATCH(SchulungsUndReiseAbweichungen[[#Headers],[Jan]],SchulungsUndReisePlan[#Headers],0))-INDEX(SchulungUndReiseTatsächlich[],MATCH(INDEX(SchulungsUndReiseAbweichungen[],ROW()-ROW(SchulungsUndReiseAbweichungen[[#Headers],[Jan]]),1),INDEX(SchulungsUndReisePlan[],,1),0),MATCH(SchulungsUndReiseAbweichungen[[#Headers],[Jan]],SchulungUndReiseTatsächlich[#Headers],0))</f>
        <v>800</v>
      </c>
      <c r="D32" s="104">
        <f>INDEX(SchulungsUndReisePlan[],MATCH(INDEX(SchulungsUndReiseAbweichungen[],ROW()-ROW(SchulungsUndReiseAbweichungen[[#Headers],[Feb]]),1),INDEX(SchulungsUndReisePlan[],,1),0),MATCH(SchulungsUndReiseAbweichungen[[#Headers],[Feb]],SchulungsUndReisePlan[#Headers],0))-INDEX(SchulungUndReiseTatsächlich[],MATCH(INDEX(SchulungsUndReiseAbweichungen[],ROW()-ROW(SchulungsUndReiseAbweichungen[[#Headers],[Feb]]),1),INDEX(SchulungsUndReisePlan[],,1),0),MATCH(SchulungsUndReiseAbweichungen[[#Headers],[Feb]],SchulungUndReiseTatsächlich[#Headers],0))</f>
        <v>-200</v>
      </c>
      <c r="E32" s="104">
        <f>INDEX(SchulungsUndReisePlan[],MATCH(INDEX(SchulungsUndReiseAbweichungen[],ROW()-ROW(SchulungsUndReiseAbweichungen[[#Headers],[Mrz]]),1),INDEX(SchulungsUndReisePlan[],,1),0),MATCH(SchulungsUndReiseAbweichungen[[#Headers],[Mrz]],SchulungsUndReisePlan[#Headers],0))-INDEX(SchulungUndReiseTatsächlich[],MATCH(INDEX(SchulungsUndReiseAbweichungen[],ROW()-ROW(SchulungsUndReiseAbweichungen[[#Headers],[Mrz]]),1),INDEX(SchulungsUndReisePlan[],,1),0),MATCH(SchulungsUndReiseAbweichungen[[#Headers],[Mrz]],SchulungUndReiseTatsächlich[#Headers],0))</f>
        <v>600</v>
      </c>
      <c r="F32" s="104">
        <f>INDEX(SchulungsUndReisePlan[],MATCH(INDEX(SchulungsUndReiseAbweichungen[],ROW()-ROW(SchulungsUndReiseAbweichungen[[#Headers],[Apr]]),1),INDEX(SchulungsUndReisePlan[],,1),0),MATCH(SchulungsUndReiseAbweichungen[[#Headers],[Apr]],SchulungsUndReisePlan[#Headers],0))-INDEX(SchulungUndReiseTatsächlich[],MATCH(INDEX(SchulungsUndReiseAbweichungen[],ROW()-ROW(SchulungsUndReiseAbweichungen[[#Headers],[Apr]]),1),INDEX(SchulungsUndReisePlan[],,1),0),MATCH(SchulungsUndReiseAbweichungen[[#Headers],[Apr]],SchulungUndReiseTatsächlich[#Headers],0))</f>
        <v>800</v>
      </c>
      <c r="G32" s="104">
        <f>INDEX(SchulungsUndReisePlan[],MATCH(INDEX(SchulungsUndReiseAbweichungen[],ROW()-ROW(SchulungsUndReiseAbweichungen[[#Headers],[Mai]]),1),INDEX(SchulungsUndReisePlan[],,1),0),MATCH(SchulungsUndReiseAbweichungen[[#Headers],[Mai]],SchulungsUndReisePlan[#Headers],0))-INDEX(SchulungUndReiseTatsächlich[],MATCH(INDEX(SchulungsUndReiseAbweichungen[],ROW()-ROW(SchulungsUndReiseAbweichungen[[#Headers],[Mai]]),1),INDEX(SchulungsUndReisePlan[],,1),0),MATCH(SchulungsUndReiseAbweichungen[[#Headers],[Mai]],SchulungUndReiseTatsächlich[#Headers],0))</f>
        <v>1200</v>
      </c>
      <c r="H32" s="104">
        <f>INDEX(SchulungsUndReisePlan[],MATCH(INDEX(SchulungsUndReiseAbweichungen[],ROW()-ROW(SchulungsUndReiseAbweichungen[[#Headers],[Jun]]),1),INDEX(SchulungsUndReisePlan[],,1),0),MATCH(SchulungsUndReiseAbweichungen[[#Headers],[Jun]],SchulungsUndReisePlan[#Headers],0))-INDEX(SchulungUndReiseTatsächlich[],MATCH(INDEX(SchulungsUndReiseAbweichungen[],ROW()-ROW(SchulungsUndReiseAbweichungen[[#Headers],[Jun]]),1),INDEX(SchulungsUndReisePlan[],,1),0),MATCH(SchulungsUndReiseAbweichungen[[#Headers],[Jun]],SchulungUndReiseTatsächlich[#Headers],0))</f>
        <v>-1500</v>
      </c>
      <c r="I32" s="104">
        <f>INDEX(SchulungsUndReisePlan[],MATCH(INDEX(SchulungsUndReiseAbweichungen[],ROW()-ROW(SchulungsUndReiseAbweichungen[[#Headers],[Jul]]),1),INDEX(SchulungsUndReisePlan[],,1),0),MATCH(SchulungsUndReiseAbweichungen[[#Headers],[Jul]],SchulungsUndReisePlan[#Headers],0))-INDEX(SchulungUndReiseTatsächlich[],MATCH(INDEX(SchulungsUndReiseAbweichungen[],ROW()-ROW(SchulungsUndReiseAbweichungen[[#Headers],[Jul]]),1),INDEX(SchulungsUndReisePlan[],,1),0),MATCH(SchulungsUndReiseAbweichungen[[#Headers],[Jul]],SchulungUndReiseTatsächlich[#Headers],0))</f>
        <v>2000</v>
      </c>
      <c r="J32" s="104">
        <f>INDEX(SchulungsUndReisePlan[],MATCH(INDEX(SchulungsUndReiseAbweichungen[],ROW()-ROW(SchulungsUndReiseAbweichungen[[#Headers],[Aug]]),1),INDEX(SchulungsUndReisePlan[],,1),0),MATCH(SchulungsUndReiseAbweichungen[[#Headers],[Aug]],SchulungsUndReisePlan[#Headers],0))-INDEX(SchulungUndReiseTatsächlich[],MATCH(INDEX(SchulungsUndReiseAbweichungen[],ROW()-ROW(SchulungsUndReiseAbweichungen[[#Headers],[Aug]]),1),INDEX(SchulungsUndReisePlan[],,1),0),MATCH(SchulungsUndReiseAbweichungen[[#Headers],[Aug]],SchulungUndReiseTatsächlich[#Headers],0))</f>
        <v>2000</v>
      </c>
      <c r="K32" s="104">
        <f>INDEX(SchulungsUndReisePlan[],MATCH(INDEX(SchulungsUndReiseAbweichungen[],ROW()-ROW(SchulungsUndReiseAbweichungen[[#Headers],[Sep]]),1),INDEX(SchulungsUndReisePlan[],,1),0),MATCH(SchulungsUndReiseAbweichungen[[#Headers],[Sep]],SchulungsUndReisePlan[#Headers],0))-INDEX(SchulungUndReiseTatsächlich[],MATCH(INDEX(SchulungsUndReiseAbweichungen[],ROW()-ROW(SchulungsUndReiseAbweichungen[[#Headers],[Sep]]),1),INDEX(SchulungsUndReisePlan[],,1),0),MATCH(SchulungsUndReiseAbweichungen[[#Headers],[Sep]],SchulungUndReiseTatsächlich[#Headers],0))</f>
        <v>2000</v>
      </c>
      <c r="L32" s="104">
        <f>INDEX(SchulungsUndReisePlan[],MATCH(INDEX(SchulungsUndReiseAbweichungen[],ROW()-ROW(SchulungsUndReiseAbweichungen[[#Headers],[Okt]]),1),INDEX(SchulungsUndReisePlan[],,1),0),MATCH(SchulungsUndReiseAbweichungen[[#Headers],[Okt]],SchulungsUndReisePlan[#Headers],0))-INDEX(SchulungUndReiseTatsächlich[],MATCH(INDEX(SchulungsUndReiseAbweichungen[],ROW()-ROW(SchulungsUndReiseAbweichungen[[#Headers],[Okt]]),1),INDEX(SchulungsUndReisePlan[],,1),0),MATCH(SchulungsUndReiseAbweichungen[[#Headers],[Okt]],SchulungUndReiseTatsächlich[#Headers],0))</f>
        <v>2000</v>
      </c>
      <c r="M32" s="104">
        <f>INDEX(SchulungsUndReisePlan[],MATCH(INDEX(SchulungsUndReiseAbweichungen[],ROW()-ROW(SchulungsUndReiseAbweichungen[[#Headers],[Nov]]),1),INDEX(SchulungsUndReisePlan[],,1),0),MATCH(SchulungsUndReiseAbweichungen[[#Headers],[Nov]],SchulungsUndReisePlan[#Headers],0))-INDEX(SchulungUndReiseTatsächlich[],MATCH(INDEX(SchulungsUndReiseAbweichungen[],ROW()-ROW(SchulungsUndReiseAbweichungen[[#Headers],[Nov]]),1),INDEX(SchulungsUndReisePlan[],,1),0),MATCH(SchulungsUndReiseAbweichungen[[#Headers],[Nov]],SchulungUndReiseTatsächlich[#Headers],0))</f>
        <v>2000</v>
      </c>
      <c r="N32" s="104">
        <f>INDEX(SchulungsUndReisePlan[],MATCH(INDEX(SchulungsUndReiseAbweichungen[],ROW()-ROW(SchulungsUndReiseAbweichungen[[#Headers],[Dez]]),1),INDEX(SchulungsUndReisePlan[],,1),0),MATCH(SchulungsUndReiseAbweichungen[[#Headers],[Dez]],SchulungsUndReisePlan[#Headers],0))-INDEX(SchulungUndReiseTatsächlich[],MATCH(INDEX(SchulungsUndReiseAbweichungen[],ROW()-ROW(SchulungsUndReiseAbweichungen[[#Headers],[Dez]]),1),INDEX(SchulungsUndReisePlan[],,1),0),MATCH(SchulungsUndReiseAbweichungen[[#Headers],[Dez]],SchulungUndReiseTatsächlich[#Headers],0))</f>
        <v>2000</v>
      </c>
      <c r="O32" s="105">
        <f>SUM(SchulungsUndReiseAbweichungen[[#This Row],[Jan]:[Dez]])</f>
        <v>13700</v>
      </c>
    </row>
    <row r="33" spans="1:15" ht="24.95" customHeight="1" x14ac:dyDescent="0.3">
      <c r="A33" s="34"/>
      <c r="B33" s="83" t="s">
        <v>17</v>
      </c>
      <c r="C33" s="112">
        <f>SUBTOTAL(109,SchulungsUndReiseAbweichungen[Jan])</f>
        <v>1200</v>
      </c>
      <c r="D33" s="112">
        <f>SUBTOTAL(109,SchulungsUndReiseAbweichungen[Feb])</f>
        <v>-600</v>
      </c>
      <c r="E33" s="112">
        <f>SUBTOTAL(109,SchulungsUndReiseAbweichungen[Mrz])</f>
        <v>1200</v>
      </c>
      <c r="F33" s="112">
        <f>SUBTOTAL(109,SchulungsUndReiseAbweichungen[Apr])</f>
        <v>1200</v>
      </c>
      <c r="G33" s="112">
        <f>SUBTOTAL(109,SchulungsUndReiseAbweichungen[Mai])</f>
        <v>2000</v>
      </c>
      <c r="H33" s="112">
        <f>SUBTOTAL(109,SchulungsUndReiseAbweichungen[Jun])</f>
        <v>-2300</v>
      </c>
      <c r="I33" s="112">
        <f>SUBTOTAL(109,SchulungsUndReiseAbweichungen[Jul])</f>
        <v>4000</v>
      </c>
      <c r="J33" s="112">
        <f>SUBTOTAL(109,SchulungsUndReiseAbweichungen[Aug])</f>
        <v>4000</v>
      </c>
      <c r="K33" s="112">
        <f>SUBTOTAL(109,SchulungsUndReiseAbweichungen[Sep])</f>
        <v>4000</v>
      </c>
      <c r="L33" s="112">
        <f>SUBTOTAL(109,SchulungsUndReiseAbweichungen[Okt])</f>
        <v>4000</v>
      </c>
      <c r="M33" s="112">
        <f>SUBTOTAL(109,SchulungsUndReiseAbweichungen[Nov])</f>
        <v>4000</v>
      </c>
      <c r="N33" s="112">
        <f>SUBTOTAL(109,SchulungsUndReiseAbweichungen[Dez])</f>
        <v>4000</v>
      </c>
      <c r="O33" s="113">
        <f>SUBTOTAL(109,SchulungsUndReiseAbweichungen[JAHR])</f>
        <v>26700</v>
      </c>
    </row>
    <row r="34" spans="1:15" ht="21" customHeight="1" x14ac:dyDescent="0.3">
      <c r="A34" s="34"/>
      <c r="B34" s="134"/>
      <c r="C34" s="134"/>
      <c r="D34" s="146"/>
      <c r="E34" s="146"/>
      <c r="F34" s="146"/>
      <c r="G34" s="146"/>
      <c r="H34" s="146"/>
      <c r="I34" s="146"/>
      <c r="J34" s="146"/>
      <c r="K34" s="146"/>
      <c r="L34" s="146"/>
      <c r="M34" s="146"/>
      <c r="N34" s="146"/>
      <c r="O34" s="146"/>
    </row>
    <row r="35" spans="1:15" ht="24.95" customHeight="1" thickBot="1" x14ac:dyDescent="0.35">
      <c r="A35" s="44" t="s">
        <v>104</v>
      </c>
      <c r="B35" s="12" t="s">
        <v>37</v>
      </c>
      <c r="C35" s="30" t="s">
        <v>41</v>
      </c>
      <c r="D35" s="30" t="s">
        <v>43</v>
      </c>
      <c r="E35" s="30" t="s">
        <v>45</v>
      </c>
      <c r="F35" s="30" t="s">
        <v>47</v>
      </c>
      <c r="G35" s="30" t="s">
        <v>49</v>
      </c>
      <c r="H35" s="30" t="s">
        <v>51</v>
      </c>
      <c r="I35" s="30" t="s">
        <v>53</v>
      </c>
      <c r="J35" s="30" t="s">
        <v>55</v>
      </c>
      <c r="K35" s="30" t="s">
        <v>59</v>
      </c>
      <c r="L35" s="30" t="s">
        <v>61</v>
      </c>
      <c r="M35" s="30" t="s">
        <v>63</v>
      </c>
      <c r="N35" s="30" t="s">
        <v>66</v>
      </c>
      <c r="O35" s="30" t="s">
        <v>68</v>
      </c>
    </row>
    <row r="36" spans="1:15" ht="24.95" customHeight="1" thickBot="1" x14ac:dyDescent="0.35">
      <c r="A36" s="34"/>
      <c r="B36" s="13" t="s">
        <v>73</v>
      </c>
      <c r="C36" s="120">
        <f>SchulungsUndReiseAbweichungen[[#Totals],[Jan]]+MarketingAbweichungen[[#Totals],[Jan]]+BüroAbweichungen[[#Totals],[Jan]]+MitarbeiterAbweichungen[[#Totals],[Jan]]</f>
        <v>1738</v>
      </c>
      <c r="D36" s="120">
        <f>SchulungsUndReiseAbweichungen[[#Totals],[Feb]]+MarketingAbweichungen[[#Totals],[Feb]]+BüroAbweichungen[[#Totals],[Feb]]+MitarbeiterAbweichungen[[#Totals],[Feb]]</f>
        <v>-984</v>
      </c>
      <c r="E36" s="120">
        <f>SchulungsUndReiseAbweichungen[[#Totals],[Mrz]]+MarketingAbweichungen[[#Totals],[Mrz]]+BüroAbweichungen[[#Totals],[Mrz]]+MitarbeiterAbweichungen[[#Totals],[Mrz]]</f>
        <v>1255</v>
      </c>
      <c r="F36" s="120">
        <f>SchulungsUndReiseAbweichungen[[#Totals],[Apr]]+MarketingAbweichungen[[#Totals],[Apr]]+BüroAbweichungen[[#Totals],[Apr]]+MitarbeiterAbweichungen[[#Totals],[Apr]]</f>
        <v>301</v>
      </c>
      <c r="G36" s="120">
        <f>SchulungsUndReiseAbweichungen[[#Totals],[Mai]]+MarketingAbweichungen[[#Totals],[Mai]]+BüroAbweichungen[[#Totals],[Mai]]+MitarbeiterAbweichungen[[#Totals],[Mai]]</f>
        <v>1440</v>
      </c>
      <c r="H36" s="120">
        <f>SchulungsUndReiseAbweichungen[[#Totals],[Jun]]+MarketingAbweichungen[[#Totals],[Jun]]+BüroAbweichungen[[#Totals],[Jun]]+MitarbeiterAbweichungen[[#Totals],[Jun]]</f>
        <v>-3744</v>
      </c>
      <c r="I36" s="120">
        <f>SchulungsUndReiseAbweichungen[[#Totals],[Jul]]+MarketingAbweichungen[[#Totals],[Jul]]+BüroAbweichungen[[#Totals],[Jul]]+MitarbeiterAbweichungen[[#Totals],[Jul]]</f>
        <v>134695</v>
      </c>
      <c r="J36" s="120">
        <f>SchulungsUndReiseAbweichungen[[#Totals],[Aug]]+MarketingAbweichungen[[#Totals],[Aug]]+BüroAbweichungen[[#Totals],[Aug]]+MitarbeiterAbweichungen[[#Totals],[Aug]]</f>
        <v>138918</v>
      </c>
      <c r="K36" s="120">
        <f>SchulungsUndReiseAbweichungen[[#Totals],[Sep]]+MarketingAbweichungen[[#Totals],[Sep]]+BüroAbweichungen[[#Totals],[Sep]]+MitarbeiterAbweichungen[[#Totals],[Sep]]</f>
        <v>135918</v>
      </c>
      <c r="L36" s="120">
        <f>SchulungsUndReiseAbweichungen[[#Totals],[Okt]]+MarketingAbweichungen[[#Totals],[Okt]]+BüroAbweichungen[[#Totals],[Okt]]+MitarbeiterAbweichungen[[#Totals],[Okt]]</f>
        <v>140918</v>
      </c>
      <c r="M36" s="120">
        <f>SchulungsUndReiseAbweichungen[[#Totals],[Nov]]+MarketingAbweichungen[[#Totals],[Nov]]+BüroAbweichungen[[#Totals],[Nov]]+MitarbeiterAbweichungen[[#Totals],[Nov]]</f>
        <v>136218</v>
      </c>
      <c r="N36" s="120">
        <f>SchulungsUndReiseAbweichungen[[#Totals],[Dez]]+MarketingAbweichungen[[#Totals],[Dez]]+BüroAbweichungen[[#Totals],[Dez]]+MitarbeiterAbweichungen[[#Totals],[Dez]]</f>
        <v>140018</v>
      </c>
      <c r="O36" s="120">
        <f>SchulungsUndReiseAbweichungen[[#Totals],[JAHR]]+MarketingAbweichungen[[#Totals],[JAHR]]+BüroAbweichungen[[#Totals],[JAHR]]+MitarbeiterAbweichungen[[#Totals],[JAHR]]</f>
        <v>826691</v>
      </c>
    </row>
    <row r="37" spans="1:15" ht="24.95" customHeight="1" thickBot="1" x14ac:dyDescent="0.35">
      <c r="A37" s="34"/>
      <c r="B37" s="13" t="s">
        <v>74</v>
      </c>
      <c r="C37" s="121">
        <f>SUM($C$36:C36)</f>
        <v>1738</v>
      </c>
      <c r="D37" s="121">
        <f>SUM($C$36:D36)</f>
        <v>754</v>
      </c>
      <c r="E37" s="121">
        <f>SUM($C$36:E36)</f>
        <v>2009</v>
      </c>
      <c r="F37" s="121">
        <f>SUM($C$36:F36)</f>
        <v>2310</v>
      </c>
      <c r="G37" s="121">
        <f>SUM($C$36:G36)</f>
        <v>3750</v>
      </c>
      <c r="H37" s="121">
        <f>SUM($C$36:H36)</f>
        <v>6</v>
      </c>
      <c r="I37" s="121">
        <f>SUM($C$36:I36)</f>
        <v>134701</v>
      </c>
      <c r="J37" s="121">
        <f>SUM($C$36:J36)</f>
        <v>273619</v>
      </c>
      <c r="K37" s="121">
        <f>SUM($C$36:K36)</f>
        <v>409537</v>
      </c>
      <c r="L37" s="121">
        <f>SUM($C$36:L36)</f>
        <v>550455</v>
      </c>
      <c r="M37" s="121">
        <f>SUM($C$36:M36)</f>
        <v>686673</v>
      </c>
      <c r="N37" s="121">
        <f>SUM($C$36:N36)</f>
        <v>826691</v>
      </c>
      <c r="O37" s="121"/>
    </row>
    <row r="38" spans="1:15" ht="21" customHeight="1" x14ac:dyDescent="0.3">
      <c r="A38" s="34"/>
      <c r="B38" s="2"/>
      <c r="C38" s="2"/>
      <c r="D38" s="14"/>
      <c r="E38" s="2"/>
      <c r="F38" s="2"/>
      <c r="G38" s="2"/>
      <c r="H38" s="2"/>
      <c r="I38" s="2"/>
      <c r="J38" s="2"/>
      <c r="K38" s="2"/>
      <c r="L38" s="2"/>
      <c r="M38" s="2"/>
      <c r="N38" s="2"/>
      <c r="O38" s="2"/>
    </row>
  </sheetData>
  <mergeCells count="8">
    <mergeCell ref="N2:O3"/>
    <mergeCell ref="B34:C34"/>
    <mergeCell ref="B29:C29"/>
    <mergeCell ref="B20:C20"/>
    <mergeCell ref="B9:C9"/>
    <mergeCell ref="B2:D3"/>
    <mergeCell ref="J2:M2"/>
    <mergeCell ref="J3:M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emptyCellReference="1"/>
    <ignoredError sqref="C36:O37"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pageSetUpPr autoPageBreaks="0" fitToPage="1"/>
  </sheetPr>
  <dimension ref="A1:P39"/>
  <sheetViews>
    <sheetView showGridLines="0" workbookViewId="0"/>
  </sheetViews>
  <sheetFormatPr baseColWidth="10" defaultColWidth="9.140625" defaultRowHeight="18.75" x14ac:dyDescent="0.3"/>
  <cols>
    <col min="1" max="1" width="4.7109375" style="40" customWidth="1"/>
    <col min="2" max="2" width="26.28515625" style="4" customWidth="1"/>
    <col min="3" max="3" width="23.28515625" style="4" customWidth="1"/>
    <col min="4" max="4" width="24.28515625" style="4" customWidth="1"/>
    <col min="5" max="5" width="25.140625" style="4" customWidth="1"/>
    <col min="6" max="6" width="31.140625" style="4" customWidth="1"/>
    <col min="7" max="7" width="4.7109375" style="1" customWidth="1"/>
    <col min="8" max="8" width="8.85546875" customWidth="1"/>
    <col min="9" max="16384" width="9.140625" style="4"/>
  </cols>
  <sheetData>
    <row r="1" spans="1:16" s="1" customFormat="1" ht="24" customHeight="1" x14ac:dyDescent="0.3">
      <c r="A1" s="37" t="s">
        <v>105</v>
      </c>
      <c r="B1" s="10"/>
      <c r="C1" s="10"/>
      <c r="D1" s="10"/>
      <c r="E1" s="7"/>
      <c r="F1" s="7"/>
      <c r="G1" s="67" t="s">
        <v>69</v>
      </c>
      <c r="I1"/>
      <c r="J1"/>
      <c r="K1"/>
      <c r="L1"/>
      <c r="M1"/>
      <c r="N1"/>
      <c r="O1"/>
      <c r="P1" t="s">
        <v>69</v>
      </c>
    </row>
    <row r="2" spans="1:16" s="1" customFormat="1" ht="45" customHeight="1" x14ac:dyDescent="0.35">
      <c r="A2" s="37" t="s">
        <v>78</v>
      </c>
      <c r="B2" s="130" t="str">
        <f>'GEPLANTE KOSTEN'!B2:D3</f>
        <v>Firmenname</v>
      </c>
      <c r="C2" s="130"/>
      <c r="D2" s="130"/>
      <c r="E2" s="15"/>
      <c r="F2" s="142" t="s">
        <v>64</v>
      </c>
      <c r="G2" s="142"/>
      <c r="I2"/>
      <c r="J2"/>
      <c r="K2"/>
      <c r="L2"/>
      <c r="M2"/>
      <c r="N2"/>
      <c r="O2"/>
      <c r="P2"/>
    </row>
    <row r="3" spans="1:16" s="1" customFormat="1" ht="30" customHeight="1" x14ac:dyDescent="0.3">
      <c r="A3" s="37" t="s">
        <v>79</v>
      </c>
      <c r="B3" s="130"/>
      <c r="C3" s="130"/>
      <c r="D3" s="130"/>
      <c r="E3" s="141" t="str">
        <f>Arbeitsblatt_Titel</f>
        <v>Detaillierte Kostenschätzungen</v>
      </c>
      <c r="F3" s="141"/>
      <c r="G3" s="141"/>
      <c r="I3"/>
      <c r="J3"/>
      <c r="K3"/>
      <c r="L3"/>
      <c r="M3"/>
      <c r="N3"/>
      <c r="O3"/>
      <c r="P3"/>
    </row>
    <row r="4" spans="1:16" customFormat="1" ht="18.75" customHeight="1" x14ac:dyDescent="0.2">
      <c r="A4" s="28"/>
    </row>
    <row r="5" spans="1:16" ht="24.95" customHeight="1" thickBot="1" x14ac:dyDescent="0.35">
      <c r="A5" s="38" t="s">
        <v>80</v>
      </c>
      <c r="B5" s="16" t="s">
        <v>82</v>
      </c>
      <c r="C5" s="17" t="s">
        <v>84</v>
      </c>
      <c r="D5" s="18" t="s">
        <v>85</v>
      </c>
      <c r="E5" s="16" t="s">
        <v>87</v>
      </c>
      <c r="F5" s="19" t="s">
        <v>88</v>
      </c>
      <c r="G5" s="11"/>
      <c r="I5"/>
      <c r="J5"/>
      <c r="K5"/>
      <c r="L5"/>
      <c r="M5"/>
      <c r="N5"/>
      <c r="O5"/>
      <c r="P5"/>
    </row>
    <row r="6" spans="1:16" ht="24.95" customHeight="1" thickBot="1" x14ac:dyDescent="0.35">
      <c r="A6" s="39"/>
      <c r="B6" s="84" t="s">
        <v>14</v>
      </c>
      <c r="C6" s="123">
        <f>MitarbeiterPlan[[#Totals],[JAHR]]</f>
        <v>1355090</v>
      </c>
      <c r="D6" s="123">
        <f>MitarbeiterTatsächlich[[#Totals],[JAHR]]</f>
        <v>659130</v>
      </c>
      <c r="E6" s="123">
        <f>C6-D6</f>
        <v>695960</v>
      </c>
      <c r="F6" s="21">
        <f>E6/C6</f>
        <v>0.5135895032802249</v>
      </c>
      <c r="G6" s="3"/>
    </row>
    <row r="7" spans="1:16" ht="24.95" customHeight="1" thickBot="1" x14ac:dyDescent="0.35">
      <c r="A7" s="38"/>
      <c r="B7" s="84" t="str">
        <f>'GEPLANTE KOSTEN'!B10</f>
        <v>Bürokosten</v>
      </c>
      <c r="C7" s="123">
        <f>Büroplan[[#Totals],[JAHR]]</f>
        <v>138740</v>
      </c>
      <c r="D7" s="123">
        <f>BüroTatsächlich[[#Totals],[JAHR]]</f>
        <v>69350</v>
      </c>
      <c r="E7" s="123">
        <f>C7-D7</f>
        <v>69390</v>
      </c>
      <c r="F7" s="21">
        <f>E7/C7</f>
        <v>0.50014415453366012</v>
      </c>
    </row>
    <row r="8" spans="1:16" ht="24.95" customHeight="1" thickBot="1" x14ac:dyDescent="0.35">
      <c r="A8" s="38"/>
      <c r="B8" s="20" t="str">
        <f>'GEPLANTE KOSTEN'!B21</f>
        <v>Marketingkosten</v>
      </c>
      <c r="C8" s="123">
        <f>MarketingPlan[[#Totals],[JAHR]]</f>
        <v>67800</v>
      </c>
      <c r="D8" s="123">
        <f>MarketingTatsächlich[[#Totals],[JAHR]]</f>
        <v>33159</v>
      </c>
      <c r="E8" s="123">
        <f>C8-D8</f>
        <v>34641</v>
      </c>
      <c r="F8" s="21">
        <f>E8/C8</f>
        <v>0.51092920353982296</v>
      </c>
    </row>
    <row r="9" spans="1:16" ht="24.95" customHeight="1" thickBot="1" x14ac:dyDescent="0.35">
      <c r="A9" s="38"/>
      <c r="B9" s="20" t="str">
        <f>'GEPLANTE KOSTEN'!B30</f>
        <v>Schulung/Reisen</v>
      </c>
      <c r="C9" s="123">
        <f>SchulungsUndReisePlan[[#Totals],[JAHR]]</f>
        <v>48000</v>
      </c>
      <c r="D9" s="123">
        <f>SchulungUndReiseTatsächlich[[#Totals],[JAHR]]</f>
        <v>21300</v>
      </c>
      <c r="E9" s="123">
        <f>C9-D9</f>
        <v>26700</v>
      </c>
      <c r="F9" s="21">
        <f>E9/C9</f>
        <v>0.55625000000000002</v>
      </c>
    </row>
    <row r="10" spans="1:16" ht="24.95" customHeight="1" x14ac:dyDescent="0.3">
      <c r="A10" s="38"/>
      <c r="B10" s="41" t="str">
        <f>'GEPLANTE KOSTEN'!B35</f>
        <v>SUMMEN</v>
      </c>
      <c r="C10" s="124">
        <f>'GEPLANTE KOSTEN'!O36</f>
        <v>1609630</v>
      </c>
      <c r="D10" s="124">
        <f>'TATSÄCHLICHE KOSTEN'!O36</f>
        <v>782939</v>
      </c>
      <c r="E10" s="124">
        <f>C10-D10</f>
        <v>826691</v>
      </c>
      <c r="F10" s="42">
        <f>E10/C10</f>
        <v>0.51359070096854553</v>
      </c>
    </row>
    <row r="11" spans="1:16" x14ac:dyDescent="0.3">
      <c r="A11" s="38"/>
      <c r="B11" s="86"/>
      <c r="C11" s="93"/>
      <c r="D11" s="93"/>
      <c r="E11" s="93"/>
      <c r="F11" s="6"/>
    </row>
    <row r="12" spans="1:16" ht="300" customHeight="1" x14ac:dyDescent="0.3">
      <c r="A12" s="38" t="s">
        <v>81</v>
      </c>
      <c r="B12" s="137" t="s">
        <v>83</v>
      </c>
      <c r="C12" s="136"/>
      <c r="D12" s="136" t="s">
        <v>86</v>
      </c>
      <c r="E12" s="136"/>
      <c r="F12" s="136"/>
      <c r="G12"/>
    </row>
    <row r="13" spans="1:16" ht="18.75" customHeight="1" x14ac:dyDescent="0.3">
      <c r="A13" s="38"/>
      <c r="B13" s="87"/>
    </row>
    <row r="14" spans="1:16" ht="409.5" x14ac:dyDescent="0.3">
      <c r="A14" s="38" t="s">
        <v>106</v>
      </c>
      <c r="B14" s="138"/>
      <c r="C14" s="139"/>
      <c r="D14" s="139"/>
      <c r="E14" s="139"/>
      <c r="F14" s="139"/>
    </row>
    <row r="15" spans="1:16" x14ac:dyDescent="0.3">
      <c r="A15" s="38"/>
      <c r="B15" s="138"/>
      <c r="C15" s="139"/>
      <c r="D15" s="139"/>
      <c r="E15" s="139"/>
      <c r="F15" s="139"/>
    </row>
    <row r="16" spans="1:16" x14ac:dyDescent="0.3">
      <c r="A16" s="38"/>
      <c r="B16" s="138"/>
      <c r="C16" s="139"/>
      <c r="D16" s="139"/>
      <c r="E16" s="139"/>
      <c r="F16" s="139"/>
    </row>
    <row r="17" spans="1:6" x14ac:dyDescent="0.3">
      <c r="A17" s="38"/>
      <c r="B17" s="138"/>
      <c r="C17" s="139"/>
      <c r="D17" s="139"/>
      <c r="E17" s="139"/>
      <c r="F17" s="139"/>
    </row>
    <row r="18" spans="1:6" x14ac:dyDescent="0.3">
      <c r="A18" s="38"/>
      <c r="B18" s="138"/>
      <c r="C18" s="139"/>
      <c r="D18" s="139"/>
      <c r="E18" s="139"/>
      <c r="F18" s="139"/>
    </row>
    <row r="19" spans="1:6" x14ac:dyDescent="0.3">
      <c r="A19" s="38"/>
      <c r="B19" s="139"/>
      <c r="C19" s="139"/>
      <c r="D19" s="139"/>
      <c r="E19" s="139"/>
      <c r="F19" s="139"/>
    </row>
    <row r="20" spans="1:6" x14ac:dyDescent="0.3">
      <c r="A20" s="38"/>
      <c r="B20" s="139"/>
      <c r="C20" s="139"/>
      <c r="D20" s="139"/>
      <c r="E20" s="139"/>
      <c r="F20" s="139"/>
    </row>
    <row r="21" spans="1:6" x14ac:dyDescent="0.3">
      <c r="A21" s="38"/>
      <c r="B21" s="139"/>
      <c r="C21" s="139"/>
      <c r="D21" s="139"/>
      <c r="E21" s="139"/>
      <c r="F21" s="139"/>
    </row>
    <row r="22" spans="1:6" x14ac:dyDescent="0.3">
      <c r="A22" s="38"/>
      <c r="B22" s="138"/>
      <c r="C22" s="139"/>
      <c r="D22" s="139"/>
      <c r="E22" s="139"/>
      <c r="F22" s="139"/>
    </row>
    <row r="23" spans="1:6" x14ac:dyDescent="0.3">
      <c r="A23" s="38"/>
      <c r="B23" s="138"/>
      <c r="C23" s="139"/>
      <c r="D23" s="139"/>
      <c r="E23" s="139"/>
      <c r="F23" s="139"/>
    </row>
    <row r="24" spans="1:6" x14ac:dyDescent="0.3">
      <c r="A24" s="38"/>
      <c r="B24" s="138"/>
      <c r="C24" s="139"/>
      <c r="D24" s="139"/>
      <c r="E24" s="139"/>
      <c r="F24" s="139"/>
    </row>
    <row r="25" spans="1:6" x14ac:dyDescent="0.3">
      <c r="A25" s="38"/>
      <c r="B25" s="138"/>
      <c r="C25" s="139"/>
      <c r="D25" s="139"/>
      <c r="E25" s="139"/>
      <c r="F25" s="139"/>
    </row>
    <row r="26" spans="1:6" x14ac:dyDescent="0.3">
      <c r="A26" s="38"/>
      <c r="B26" s="138"/>
      <c r="C26" s="139"/>
      <c r="D26" s="139"/>
      <c r="E26" s="139"/>
      <c r="F26" s="139"/>
    </row>
    <row r="27" spans="1:6" x14ac:dyDescent="0.3">
      <c r="A27" s="38"/>
      <c r="B27" s="138"/>
      <c r="C27" s="139"/>
      <c r="D27" s="139"/>
      <c r="E27" s="139"/>
      <c r="F27" s="139"/>
    </row>
    <row r="28" spans="1:6" x14ac:dyDescent="0.3">
      <c r="A28" s="38"/>
      <c r="B28" s="139"/>
      <c r="C28" s="139"/>
      <c r="D28" s="139"/>
      <c r="E28" s="139"/>
      <c r="F28" s="139"/>
    </row>
    <row r="29" spans="1:6" x14ac:dyDescent="0.3">
      <c r="A29" s="38"/>
      <c r="B29" s="139"/>
      <c r="C29" s="139"/>
      <c r="D29" s="139"/>
      <c r="E29" s="139"/>
      <c r="F29" s="139"/>
    </row>
    <row r="30" spans="1:6" x14ac:dyDescent="0.3">
      <c r="A30" s="38"/>
      <c r="B30" s="139"/>
      <c r="C30" s="139"/>
      <c r="D30" s="139"/>
      <c r="E30" s="139"/>
      <c r="F30" s="139"/>
    </row>
    <row r="31" spans="1:6" x14ac:dyDescent="0.3">
      <c r="A31" s="38"/>
      <c r="B31" s="138"/>
      <c r="C31" s="139"/>
      <c r="D31" s="139"/>
      <c r="E31" s="139"/>
      <c r="F31" s="139"/>
    </row>
    <row r="32" spans="1:6" x14ac:dyDescent="0.3">
      <c r="A32" s="38"/>
      <c r="B32" s="138"/>
      <c r="C32" s="139"/>
      <c r="D32" s="139"/>
      <c r="E32" s="139"/>
      <c r="F32" s="139"/>
    </row>
    <row r="33" spans="1:6" x14ac:dyDescent="0.3">
      <c r="A33" s="38"/>
      <c r="B33" s="139"/>
      <c r="C33" s="139"/>
      <c r="D33" s="139"/>
      <c r="E33" s="139"/>
      <c r="F33" s="139"/>
    </row>
    <row r="34" spans="1:6" x14ac:dyDescent="0.3">
      <c r="A34" s="38"/>
      <c r="B34" s="139"/>
      <c r="C34" s="139"/>
      <c r="D34" s="139"/>
      <c r="E34" s="139"/>
      <c r="F34" s="139"/>
    </row>
    <row r="35" spans="1:6" x14ac:dyDescent="0.3">
      <c r="A35" s="38"/>
      <c r="B35" s="139"/>
      <c r="C35" s="139"/>
      <c r="D35" s="139"/>
      <c r="E35" s="139"/>
      <c r="F35" s="139"/>
    </row>
    <row r="36" spans="1:6" x14ac:dyDescent="0.3">
      <c r="A36" s="38"/>
      <c r="B36" s="140"/>
      <c r="C36" s="139"/>
      <c r="D36" s="139"/>
      <c r="E36" s="139"/>
      <c r="F36" s="139"/>
    </row>
    <row r="37" spans="1:6" x14ac:dyDescent="0.3">
      <c r="A37" s="38"/>
      <c r="B37" s="140"/>
      <c r="C37" s="139"/>
      <c r="D37" s="139"/>
      <c r="E37" s="139"/>
      <c r="F37" s="139"/>
    </row>
    <row r="38" spans="1:6" x14ac:dyDescent="0.3">
      <c r="A38" s="38"/>
    </row>
    <row r="39" spans="1:6" x14ac:dyDescent="0.3">
      <c r="A39" s="38"/>
    </row>
  </sheetData>
  <mergeCells count="6">
    <mergeCell ref="D12:F12"/>
    <mergeCell ref="B12:C12"/>
    <mergeCell ref="B14:F37"/>
    <mergeCell ref="B2:D3"/>
    <mergeCell ref="E3:G3"/>
    <mergeCell ref="F2:G2"/>
  </mergeCells>
  <printOptions horizontalCentered="1"/>
  <pageMargins left="0.4" right="0.4" top="0.4" bottom="0.4" header="0.3" footer="0.3"/>
  <pageSetup paperSize="9" orientation="portrait" r:id="rId1"/>
  <ignoredErrors>
    <ignoredError sqref="B2"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START</vt:lpstr>
      <vt:lpstr>GEPLANTE KOSTEN</vt:lpstr>
      <vt:lpstr>TATSÄCHLICHE KOSTEN</vt:lpstr>
      <vt:lpstr>KOSTENABWEICHUNGEN</vt:lpstr>
      <vt:lpstr>AUSGABENANALYSE</vt:lpstr>
      <vt:lpstr>Arbeitsblatt_Titel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2018-05-30T05:56:59Z</dcterms:created>
  <dcterms:modified xsi:type="dcterms:W3CDTF">2018-09-18T09:54:27Z</dcterms:modified>
</cp:coreProperties>
</file>

<file path=docProps/custom.xml><?xml version="1.0" encoding="utf-8"?>
<Properties xmlns="http://schemas.openxmlformats.org/officeDocument/2006/custom-properties" xmlns:vt="http://schemas.openxmlformats.org/officeDocument/2006/docPropsVTypes"/>
</file>