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8325" tabRatio="756" xr2:uid="{00000000-000D-0000-FFFF-FFFF00000000}"/>
  </bookViews>
  <sheets>
    <sheet name="SĀKUMS" sheetId="6" r:id="rId1"/>
    <sheet name="PLĀNOTIE IZDEVUMI" sheetId="2" r:id="rId2"/>
    <sheet name="FAKTISKIE IZDEVUMI" sheetId="3" r:id="rId3"/>
    <sheet name="IZDEVUMU NOVIRZES" sheetId="4" r:id="rId4"/>
    <sheet name="IZDEVUMU ANALĪZE" sheetId="5" r:id="rId5"/>
  </sheets>
  <definedNames>
    <definedName name="darblapas_nosaukums">'PLĀNOTIE IZDEVUMI'!$K$2</definedName>
  </definedNames>
  <calcPr calcId="162913"/>
</workbook>
</file>

<file path=xl/calcChain.xml><?xml version="1.0" encoding="utf-8"?>
<calcChain xmlns="http://schemas.openxmlformats.org/spreadsheetml/2006/main">
  <c r="K2" i="3" l="1"/>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<sst xmlns="http://schemas.openxmlformats.org/spreadsheetml/2006/main" count="388" uniqueCount="108">
  <si>
    <t>PAR ŠO VEIDNI</t>
  </si>
  <si>
    <t>Izmantojiet šo uzņēmuma izdevumu budžeta darbgrāmatu, lai sekotu plānotajiem un faktiskajiem izdevumiem un novirzēm.</t>
  </si>
  <si>
    <t>Aizpildiet uzņēmuma nosaukumu un pievienojiet logotipu.</t>
  </si>
  <si>
    <t>Ievadiet detalizētu informāciju tabulās darblapās Plānotie izdevumi un Faktiskie izdevumi.</t>
  </si>
  <si>
    <t>Tabulas tiek automātiski atjauninātas darblapā Izdevumu novirzes un diagrammās darblapā Izdevumu analīze</t>
  </si>
  <si>
    <t>Piezīme. </t>
  </si>
  <si>
    <t>Papildu norādījumi ir sniegti kolonnā A katrā darblapā. Šis teksts ir paslēpts ar nolūku. Lai tekstu noņemtu, atlasiet kolonnu A, pēc tam atlasiet DZĒST. Lai parādītu slēpto tekstu, atlasiet kolonnu A, pēc tam nomainiet fonta krāsu.</t>
  </si>
  <si>
    <t>Lai iegūtu papildinformāciju par tabulām, nospiediet taustiņu SHIFT un pēc tam F10 tabulā, atlasiet opciju TABULA un pēc tam atlasiet ALTERNATĪVAIS TEKSTS</t>
  </si>
  <si>
    <t>Ievadiet plānotās darbinieku izmaksas, biroja izmaksas, mārketinga izmaksas un apmācību vai komandējumu izmaksas attiecīgajās tabulās šajā darblapā. Kopsummas tiek aprēķinātas automātiski. Noderīgi norādījumi par to, kā lietot šo darblapu, ir šīs kolonnas šūnās. Bultiņa uz leju, lai sāktu darbu.</t>
  </si>
  <si>
    <t>Ievadiet uzņēmuma nosaukumu šūnā pa labi un logotipu šūnā N2. Šūnā K2 ir šīs darblapas nosaukums.</t>
  </si>
  <si>
    <t>Padoms ir šūnā K3</t>
  </si>
  <si>
    <t>Etiķete Plānotie izdevumi ir šūnā pa labi, mēneši šūnās no C4 līdz N4, etiķete Gads šūnā O4 un norādījumi par šīs veidnes lietošanu šūnā R4.</t>
  </si>
  <si>
    <t>Ievadiet darbinieku izmaksas tabulā Darbinieku plāns, sākot ar šūnu pa labi. Nākamais norādījums ir šūnā A10.</t>
  </si>
  <si>
    <t>Ievadiet biroja izmaksas tabulā Biroja plāns, sākot ar šūnu pa labi. Nākamais norādījums ir šūnā A21.</t>
  </si>
  <si>
    <t>Ievadiet mārketinga izmaksas tabulā Mārketinga plāns, sākot ar šūnu pa labi. Nākamais norādījums ir šūnā A30.</t>
  </si>
  <si>
    <t>Ievadiet apmācību un komandējumu izmaksas tabulā Apmācību un komandējumu plāns, sākot ar šūnu pa labi. Nākamais norādījums ir šūnā A35.</t>
  </si>
  <si>
    <t>Kopsummas tiek automātiski aprēķinātas tabulā Plānotā kopsumma, sākot ar šūnu pa labi.</t>
  </si>
  <si>
    <t>PLĀNOTIE IZDEVUMI</t>
  </si>
  <si>
    <t>Darbinieku izmaksas</t>
  </si>
  <si>
    <t>Alga</t>
  </si>
  <si>
    <t>Labumi</t>
  </si>
  <si>
    <t>Starpsumma</t>
  </si>
  <si>
    <t>Biroja izmaksas</t>
  </si>
  <si>
    <t>Biroja noma</t>
  </si>
  <si>
    <t>Gāze</t>
  </si>
  <si>
    <t>Elektrība</t>
  </si>
  <si>
    <t>Ūdens</t>
  </si>
  <si>
    <t>Tālrunis</t>
  </si>
  <si>
    <t>Interneta piekļuve</t>
  </si>
  <si>
    <t>Biroja piederumi</t>
  </si>
  <si>
    <t>Drošība</t>
  </si>
  <si>
    <t>Mārketinga izmaksas</t>
  </si>
  <si>
    <t>Tīmekļa vietnes viesošana</t>
  </si>
  <si>
    <t>Tīmekļa vietnes atjauninājumi</t>
  </si>
  <si>
    <t>Papildu sagatavošana</t>
  </si>
  <si>
    <t>Papildu drukāšana</t>
  </si>
  <si>
    <t>Mārketinga pasākumi</t>
  </si>
  <si>
    <t>Dažādi izdevumi</t>
  </si>
  <si>
    <t>Apmācības/komandējumi</t>
  </si>
  <si>
    <t>Apmācību nodarbības</t>
  </si>
  <si>
    <t>Ar apmācībām saistītu komandējumu izmaksas</t>
  </si>
  <si>
    <t>KOPSUMMAS</t>
  </si>
  <si>
    <t>Ikmēneša plānotie izdevumi</t>
  </si>
  <si>
    <t>KOPĒJIE plānotie izdevumi</t>
  </si>
  <si>
    <t>JAN</t>
  </si>
  <si>
    <t>Jan</t>
  </si>
  <si>
    <t>FEB</t>
  </si>
  <si>
    <t>Feb</t>
  </si>
  <si>
    <t>MAR</t>
  </si>
  <si>
    <t>Mar</t>
  </si>
  <si>
    <t>APR</t>
  </si>
  <si>
    <t>Apr</t>
  </si>
  <si>
    <t>MAI</t>
  </si>
  <si>
    <t>Maijs</t>
  </si>
  <si>
    <t>JŪN</t>
  </si>
  <si>
    <t>Jūn</t>
  </si>
  <si>
    <t>JŪL</t>
  </si>
  <si>
    <t>Jūl</t>
  </si>
  <si>
    <t>AUG</t>
  </si>
  <si>
    <t>Aug</t>
  </si>
  <si>
    <t>Detalizēti izdevumu aprēķini</t>
  </si>
  <si>
    <t>Ēnotās šūnas ir aprēķini.</t>
  </si>
  <si>
    <t>SEPT</t>
  </si>
  <si>
    <t>Sep</t>
  </si>
  <si>
    <t>OKT</t>
  </si>
  <si>
    <t>Okt</t>
  </si>
  <si>
    <t>NOV</t>
  </si>
  <si>
    <t>Nov</t>
  </si>
  <si>
    <t>Logotipa vietturis ir šajā šūnā.</t>
  </si>
  <si>
    <t>DEC</t>
  </si>
  <si>
    <t>Dec</t>
  </si>
  <si>
    <t>GADS</t>
  </si>
  <si>
    <t>Gads</t>
  </si>
  <si>
    <t xml:space="preserve"> </t>
  </si>
  <si>
    <t>Padoms. KĀ IZMANTOT ŠO VEIDNI
Ievadiet datus baltajās šūnās darblapās PLĀNOTIE IZDEVUMI un FAKTISKIE IZDEVUMI, un IZDEVUMU NOVIRZES un IZDEVUMU ANALĪZE tiks aprēķinātas jūsu vietā. Ja pievienojat rindu vienā lapā, pārējām lapām ir jābūt atbilstošām.</t>
  </si>
  <si>
    <t>Ievadiet faktiskās darbinieku izmaksas, biroja izmaksas, mārketinga izmaksas un apmācību vai komandējumu izmaksas attiecīgajās tabulās šajā darblapā. Kopsummas tiek aprēķinātas automātiski. Noderīgi norādījumi par to, kā lietot šo darblapu, ir šīs kolonnas šūnās. Bultiņa uz leju, lai sāktu darbu.</t>
  </si>
  <si>
    <t>Etiķete Faktiskie izdevumi ir šūnā pa labi, mēneši šūnās no C4 līdz N4 un etiķete Gads šūnā O4.</t>
  </si>
  <si>
    <t>Ievadiet darbinieku izmaksas tabulā Darbinieku faktiskās izmaksas, sākot ar šūnu pa labi. Nākamais norādījums ir šūnā A10.</t>
  </si>
  <si>
    <t>Ievadiet biroja izmaksas tabulā Biroja faktiskās izmaksas, sākot ar šūnu pa labi. Nākamais norādījums ir šūnā A21.</t>
  </si>
  <si>
    <t>Ievadiet mārketinga izmaksas tabulā Mārketinga faktiskās izmaksas, sākot ar šūnu pa labi. Nākamais norādījums ir šūnā A30.</t>
  </si>
  <si>
    <t>Ievadiet apmācību vai komandējumu izmaksas tabulā Apmācību un komandējumu faktiskās izmaksas, sākot ar šūnu pa labi. Nākamais norādījums ir šūnā A35.</t>
  </si>
  <si>
    <t>Kopējie faktiskie izdevumi tiek automātiski aprēķināti tabulā Kopējās faktiskās izmaksas, sākot ar šūnu pa labi.</t>
  </si>
  <si>
    <t>FAKTISKIE IZDEVUMI</t>
  </si>
  <si>
    <t>Mēneša faktiskie izdevumi</t>
  </si>
  <si>
    <t>KOPĒJIE faktiskie izdevumi</t>
  </si>
  <si>
    <t>Izdevumu novirzes tiek automātiski aprēķinātas tabulā Kopējā novirze, sākot ar šūnu pa labi.</t>
  </si>
  <si>
    <t>IZDEVUMU NOVIRZES</t>
  </si>
  <si>
    <t>Šūnā E3 ir šīs darblapas nosaukums. Nākamais norādījums ir šūnā A5.</t>
  </si>
  <si>
    <t>Sektoru diagramma Plānotie izdevumi ir šūnā pa labi un sektoru diagramma Faktiskie izdevumi ir šūnā D12. Nākamais norādījums ir šūnā A14.</t>
  </si>
  <si>
    <t>Izdevumu kategorija</t>
  </si>
  <si>
    <t>Sektoru diagramma, kur redzami plānotie izdevumi dažādās kategorijās, ir šajā šūnā.</t>
  </si>
  <si>
    <t>Plānotie izdevumi</t>
  </si>
  <si>
    <t>Faktiskie izdevumi</t>
  </si>
  <si>
    <t>Sektoru diagramma, kur redzami faktiskie izdevumi, kas rodas dažādās kategorijās, ir šajā šūnā.</t>
  </si>
  <si>
    <t>Izdevumu novirzes</t>
  </si>
  <si>
    <t>Novirzes procentuālā attiecība</t>
  </si>
  <si>
    <t>Uzņēmuma nosaukumu</t>
  </si>
  <si>
    <t>Šūnā pa labi tiek automātiski atjaunināts uzņēmuma nosaukumu. Šūnā K2 ir šīs darblapas nosaukums. Ievadiet logotipu šūnā N2.</t>
  </si>
  <si>
    <t>Izdevumu novirze arī tiek automātiski aprēķināta šajā darblapā par darbinieku izmaksas, biroja izmaksas, mārketinga izmaksas un apmācību vai komandējumu izmaksas attiecīgajās tabulās šajā darblapā. Noderīgi norādījumi par to, kā lietot šo darblapu, ir šīs kolonnas šūnās. Bultiņa uz leju, lai sāktu darbu.</t>
  </si>
  <si>
    <t>Etiķete Izdevumu novirzes ir šūnā pa labi, mēneši šūnās no C4 līdz N4 un etiķete Gads šūnā O4.</t>
  </si>
  <si>
    <t>Darbinieku izmaksas novirze tiek automātiski aprēķināta tabulā Darbinieku vērtību novirzes, sākot ar šūnu pa labi. Nākamais norādījums ir šūnā A10.</t>
  </si>
  <si>
    <t>Biroja izmaksas novirze tiek automātiski aprēķināta tabulā Biroja vērtību novirzes, sākot ar šūnu pa labi. Nākamais norādījums ir šūnā A21.</t>
  </si>
  <si>
    <t>Mārketinga izmaksas novirze tiek automātiski aprēķināta tabulā Mārketinga vērtību novirzes, sākot ar šūnu pa labi. Nākamais norādījums ir šūnā A30.</t>
  </si>
  <si>
    <t>Apmācību vai komandējumu izmaksas novirze tiek automātiski aprēķināta tabulā Apmācību vai komandējumu vērtību novirzes, sākot ar šūnu pa labi. Nākamais norādījums ir šūnā A35.</t>
  </si>
  <si>
    <t xml:space="preserve">Gada plānotās izmaksas un faktiskie izdevumi, izdevumu novirzes un novirzes procentuālā attiecība tiek automātiski atjaunināta katrai izdevumu kategorija šajā darblapā. Noderīgi norādījumi par to, kā lietot šo darblapu, ir šīs kolonnas šūnās. Bultiņa uz leju, lai sāktu darbu. </t>
  </si>
  <si>
    <t>Šūnā pa labi tiek automātiski atjaunināts uzņēmuma nosaukumu. Ievadiet logotipu šūnā F2.</t>
  </si>
  <si>
    <t>Plānotie izdevumi, faktiskie izdevumi, izdevumu novirzes un novirzes procentuālā attiecība tiek automātiski aprēķināta tabulā Analīze, sākot ar šūnu pa labi. Nākamais norādījums ir šūnā A12.</t>
  </si>
  <si>
    <t>Diagramma, kurā redzamas plānotāis izmaksas, faktiskāis izmaksas un novirze ikmēneša izdevumi, ir šūnā pa labi.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</si>
</sst>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Red]#,##0.00\ &quot;€&quot;"/>
    <numFmt numFmtId="167" formatCode="#,##0.00\ [$EUR];[Red]\-#,##0.00\ [$EUR]"/>
  </numFmts>
  <fonts count="54" x14ac:knownFonts="1">
    <font>
      <sz val="9"/>
      <color theme="1" tint="0.24994659260841701"/>
      <name val="Microsoft Sans Serif"/>
      <family val="2"/>
      <scheme val="minor"/>
    </font>
    <font>
      <sz val="11"/>
      <color theme="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2"/>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sz val="9"/>
      <color theme="6" tint="0.39997558519241921"/>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0"/>
      <color theme="3" tint="-0.499984740745262"/>
      <name val="Franklin Gothic Book"/>
      <family val="2"/>
      <scheme val="major"/>
    </font>
    <font>
      <b/>
      <sz val="14"/>
      <color theme="3"/>
      <name val="Microsoft Sans Serif"/>
      <family val="2"/>
      <scheme val="minor"/>
    </font>
    <font>
      <b/>
      <sz val="14"/>
      <color theme="3" tint="-0.499984740745262"/>
      <name val="Franklin Gothic Book"/>
      <family val="2"/>
      <scheme val="major"/>
    </font>
    <font>
      <sz val="10"/>
      <color theme="5" tint="0.79998168889431442"/>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1"/>
      <name val="Microsoft Sans Serif"/>
      <family val="2"/>
      <scheme val="minor"/>
    </font>
    <font>
      <sz val="11"/>
      <color theme="6" tint="0.39997558519241921"/>
      <name val="Calibri"/>
      <family val="2"/>
    </font>
    <font>
      <sz val="11"/>
      <color theme="1" tint="4.9989318521683403E-2"/>
      <name val="Calibri"/>
      <family val="2"/>
    </font>
    <font>
      <b/>
      <sz val="11"/>
      <color theme="1" tint="4.9989318521683403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
      <sz val="9"/>
      <color theme="1" tint="0.24994659260841701"/>
      <name val="Microsoft Sans Serif"/>
      <family val="2"/>
      <scheme val="minor"/>
    </font>
    <font>
      <sz val="18"/>
      <color theme="3"/>
      <name val="Franklin Gothic Book"/>
      <family val="2"/>
      <scheme val="maj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b/>
      <sz val="11"/>
      <color theme="1"/>
      <name val="Microsoft Sans Serif"/>
      <family val="2"/>
      <scheme val="minor"/>
    </font>
    <font>
      <sz val="11"/>
      <color theme="0"/>
      <name val="Microsoft Sans Serif"/>
      <family val="2"/>
      <scheme val="minor"/>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8" fillId="0" borderId="0" applyNumberFormat="0" applyFill="0" applyProtection="0">
      <alignment vertical="center"/>
    </xf>
    <xf numFmtId="0" fontId="17" fillId="4" borderId="0" applyNumberFormat="0" applyProtection="0">
      <alignment vertical="center"/>
    </xf>
    <xf numFmtId="0" fontId="10" fillId="2" borderId="0" applyNumberFormat="0" applyProtection="0">
      <alignment vertical="center"/>
    </xf>
    <xf numFmtId="0" fontId="9" fillId="3" borderId="1" applyNumberFormat="0" applyProtection="0">
      <alignment horizontal="left" vertical="center" indent="1"/>
    </xf>
    <xf numFmtId="0" fontId="12" fillId="0" borderId="0" applyNumberForma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6" fillId="17" borderId="33" applyNumberFormat="0" applyAlignment="0" applyProtection="0"/>
    <xf numFmtId="0" fontId="47" fillId="18" borderId="34" applyNumberFormat="0" applyAlignment="0" applyProtection="0"/>
    <xf numFmtId="0" fontId="48" fillId="18" borderId="33" applyNumberFormat="0" applyAlignment="0" applyProtection="0"/>
    <xf numFmtId="0" fontId="49" fillId="0" borderId="35" applyNumberFormat="0" applyFill="0" applyAlignment="0" applyProtection="0"/>
    <xf numFmtId="0" fontId="50" fillId="19" borderId="36" applyNumberFormat="0" applyAlignment="0" applyProtection="0"/>
    <xf numFmtId="0" fontId="51" fillId="0" borderId="0" applyNumberFormat="0" applyFill="0" applyBorder="0" applyAlignment="0" applyProtection="0"/>
    <xf numFmtId="0" fontId="41" fillId="20" borderId="37" applyNumberFormat="0" applyFont="0" applyAlignment="0" applyProtection="0"/>
    <xf numFmtId="0" fontId="52" fillId="0" borderId="38" applyNumberFormat="0" applyFill="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52">
    <xf numFmtId="0" fontId="0" fillId="10" borderId="0" xfId="0"/>
    <xf numFmtId="0" fontId="2" fillId="10" borderId="0" xfId="0" applyFont="1"/>
    <xf numFmtId="0" fontId="4" fillId="10" borderId="0" xfId="0" applyNumberFormat="1" applyFont="1" applyAlignment="1"/>
    <xf numFmtId="0" fontId="2" fillId="10" borderId="0" xfId="0" applyFont="1" applyBorder="1"/>
    <xf numFmtId="37" fontId="6" fillId="10" borderId="0" xfId="0" applyNumberFormat="1" applyFont="1" applyAlignment="1">
      <alignment horizontal="right"/>
    </xf>
    <xf numFmtId="0" fontId="4" fillId="10" borderId="0" xfId="0" applyFont="1"/>
    <xf numFmtId="0" fontId="4" fillId="10" borderId="0" xfId="0" applyFont="1" applyBorder="1"/>
    <xf numFmtId="9" fontId="0" fillId="10" borderId="0" xfId="0" applyNumberFormat="1" applyFont="1" applyBorder="1" applyAlignment="1">
      <alignment horizontal="right"/>
    </xf>
    <xf numFmtId="0" fontId="2" fillId="4" borderId="0" xfId="0" applyFont="1" applyFill="1" applyAlignment="1">
      <alignment horizontal="left" vertical="top" indent="1"/>
    </xf>
    <xf numFmtId="0" fontId="3" fillId="4" borderId="0" xfId="0" applyNumberFormat="1" applyFont="1" applyFill="1" applyAlignment="1">
      <alignment horizontal="left" vertical="top" indent="1"/>
    </xf>
    <xf numFmtId="0" fontId="5" fillId="4" borderId="0" xfId="0" applyNumberFormat="1" applyFont="1" applyFill="1" applyAlignment="1">
      <alignment horizontal="left" vertical="top" indent="1"/>
    </xf>
    <xf numFmtId="0" fontId="2" fillId="8" borderId="0" xfId="0" applyFont="1" applyFill="1" applyAlignment="1">
      <alignment horizontal="left" vertical="top" indent="1"/>
    </xf>
    <xf numFmtId="0" fontId="22" fillId="10" borderId="0" xfId="0" applyFont="1"/>
    <xf numFmtId="0" fontId="21" fillId="9" borderId="0" xfId="3" applyNumberFormat="1" applyFont="1" applyFill="1" applyAlignment="1">
      <alignment horizontal="left" vertical="center" indent="1"/>
    </xf>
    <xf numFmtId="0" fontId="16" fillId="4" borderId="5" xfId="0" applyNumberFormat="1" applyFont="1" applyFill="1" applyBorder="1" applyAlignment="1">
      <alignment horizontal="left" vertical="center" indent="1"/>
    </xf>
    <xf numFmtId="0" fontId="4" fillId="10" borderId="4" xfId="0" applyNumberFormat="1" applyFont="1" applyBorder="1" applyAlignment="1"/>
    <xf numFmtId="0" fontId="17" fillId="4" borderId="0" xfId="2" applyNumberFormat="1" applyFont="1" applyFill="1" applyAlignment="1"/>
    <xf numFmtId="0" fontId="10" fillId="6" borderId="0" xfId="3" applyNumberFormat="1" applyFill="1" applyAlignment="1">
      <alignment horizontal="left" vertical="center" indent="2"/>
    </xf>
    <xf numFmtId="0" fontId="10" fillId="5" borderId="0" xfId="3" applyNumberFormat="1" applyFill="1" applyAlignment="1">
      <alignment horizontal="left" vertical="center" indent="2"/>
    </xf>
    <xf numFmtId="0" fontId="10" fillId="7" borderId="0" xfId="3" applyNumberFormat="1" applyFill="1" applyAlignment="1">
      <alignment horizontal="left" vertical="center" indent="2"/>
    </xf>
    <xf numFmtId="0" fontId="10" fillId="4" borderId="0" xfId="3" applyNumberFormat="1" applyFill="1" applyAlignment="1">
      <alignment horizontal="left" vertical="center" indent="2"/>
    </xf>
    <xf numFmtId="0" fontId="0" fillId="11" borderId="2" xfId="0" applyNumberFormat="1" applyFont="1" applyFill="1" applyBorder="1" applyAlignment="1">
      <alignment horizontal="left" vertical="center" indent="2"/>
    </xf>
    <xf numFmtId="9" fontId="0" fillId="11" borderId="2" xfId="0" applyNumberFormat="1" applyFont="1" applyFill="1" applyBorder="1" applyAlignment="1">
      <alignment horizontal="right" vertical="center" indent="2"/>
    </xf>
    <xf numFmtId="0" fontId="22" fillId="10" borderId="0" xfId="0" applyFont="1" applyAlignment="1"/>
    <xf numFmtId="0" fontId="23" fillId="12" borderId="0" xfId="3" applyNumberFormat="1" applyFont="1" applyFill="1" applyAlignment="1">
      <alignment horizontal="left"/>
    </xf>
    <xf numFmtId="0" fontId="23" fillId="12" borderId="0" xfId="3" applyNumberFormat="1" applyFont="1" applyFill="1" applyAlignment="1">
      <alignment horizontal="center"/>
    </xf>
    <xf numFmtId="0" fontId="11" fillId="9" borderId="3" xfId="3" applyNumberFormat="1" applyFont="1" applyFill="1" applyBorder="1" applyAlignment="1">
      <alignment horizontal="left" vertical="center" indent="1"/>
    </xf>
    <xf numFmtId="0" fontId="16" fillId="4" borderId="7" xfId="0" applyNumberFormat="1" applyFont="1" applyFill="1" applyBorder="1" applyAlignment="1">
      <alignment horizontal="left" vertical="center" indent="1"/>
    </xf>
    <xf numFmtId="0" fontId="28" fillId="9" borderId="3" xfId="3" applyNumberFormat="1" applyFont="1" applyFill="1" applyBorder="1" applyAlignment="1">
      <alignment vertical="center"/>
    </xf>
    <xf numFmtId="0" fontId="20" fillId="10" borderId="0" xfId="0" applyFont="1" applyAlignment="1">
      <alignment wrapText="1"/>
    </xf>
    <xf numFmtId="0" fontId="21" fillId="9" borderId="3" xfId="3" applyNumberFormat="1" applyFont="1" applyFill="1" applyBorder="1" applyAlignment="1">
      <alignment horizontal="left" vertical="center" indent="1"/>
    </xf>
    <xf numFmtId="0" fontId="30" fillId="9" borderId="0" xfId="3" applyNumberFormat="1" applyFont="1" applyFill="1" applyAlignment="1">
      <alignment vertical="center"/>
    </xf>
    <xf numFmtId="0" fontId="0" fillId="10" borderId="0" xfId="0" applyAlignment="1">
      <alignment vertical="center"/>
    </xf>
    <xf numFmtId="0" fontId="32" fillId="8" borderId="0" xfId="2" applyFont="1" applyFill="1" applyBorder="1" applyAlignment="1">
      <alignment horizontal="center" vertical="center"/>
    </xf>
    <xf numFmtId="0" fontId="33" fillId="8" borderId="0" xfId="0" applyFont="1" applyFill="1" applyAlignment="1">
      <alignment horizontal="left" vertical="top" indent="1"/>
    </xf>
    <xf numFmtId="0" fontId="34" fillId="10" borderId="0" xfId="0" applyFont="1"/>
    <xf numFmtId="0" fontId="33" fillId="8" borderId="0" xfId="0" applyFont="1" applyFill="1" applyAlignment="1">
      <alignment horizontal="left" vertical="top" wrapText="1" indent="1"/>
    </xf>
    <xf numFmtId="0" fontId="34" fillId="10" borderId="0" xfId="0" applyFont="1" applyAlignment="1"/>
    <xf numFmtId="0" fontId="33" fillId="8" borderId="0" xfId="0" applyFont="1" applyFill="1" applyAlignment="1">
      <alignment horizontal="left" vertical="top" wrapText="1"/>
    </xf>
    <xf numFmtId="0" fontId="34" fillId="10" borderId="0" xfId="0" applyFont="1" applyAlignment="1">
      <alignment wrapText="1"/>
    </xf>
    <xf numFmtId="0" fontId="35" fillId="10" borderId="0" xfId="0" applyFont="1" applyAlignment="1">
      <alignment vertical="center" wrapText="1"/>
    </xf>
    <xf numFmtId="0" fontId="2" fillId="10" borderId="0" xfId="0" applyFont="1" applyAlignment="1">
      <alignment wrapText="1"/>
    </xf>
    <xf numFmtId="0" fontId="0" fillId="11" borderId="5" xfId="0" applyNumberFormat="1" applyFont="1" applyFill="1" applyBorder="1" applyAlignment="1">
      <alignment horizontal="left" vertical="center" indent="2"/>
    </xf>
    <xf numFmtId="9" fontId="0" fillId="11" borderId="5" xfId="0" applyNumberFormat="1" applyFont="1" applyFill="1" applyBorder="1" applyAlignment="1">
      <alignment horizontal="right" vertical="center" indent="2"/>
    </xf>
    <xf numFmtId="0" fontId="34" fillId="10" borderId="0" xfId="0" applyFont="1" applyBorder="1"/>
    <xf numFmtId="0" fontId="34" fillId="10" borderId="6" xfId="0" applyFont="1" applyBorder="1"/>
    <xf numFmtId="0" fontId="36" fillId="10" borderId="0" xfId="0" applyFont="1" applyAlignment="1">
      <alignment vertical="center" wrapText="1"/>
    </xf>
    <xf numFmtId="0" fontId="36" fillId="10" borderId="0" xfId="0" applyFont="1" applyAlignment="1">
      <alignment wrapText="1"/>
    </xf>
    <xf numFmtId="0" fontId="37" fillId="10" borderId="0" xfId="0" applyFont="1" applyAlignment="1">
      <alignment vertical="center" wrapText="1"/>
    </xf>
    <xf numFmtId="0" fontId="24" fillId="6" borderId="9" xfId="4" applyNumberFormat="1" applyFont="1" applyFill="1" applyBorder="1" applyAlignment="1">
      <alignment horizontal="left" vertical="center" indent="1"/>
    </xf>
    <xf numFmtId="0" fontId="16" fillId="4" borderId="10" xfId="0" applyNumberFormat="1" applyFont="1" applyFill="1" applyBorder="1" applyAlignment="1">
      <alignment horizontal="left" vertical="center" indent="1"/>
    </xf>
    <xf numFmtId="0" fontId="6" fillId="11" borderId="12" xfId="0" applyFont="1" applyFill="1" applyBorder="1" applyAlignment="1">
      <alignment horizontal="left" vertical="center" indent="1"/>
    </xf>
    <xf numFmtId="0" fontId="6" fillId="11" borderId="12" xfId="0" applyFont="1" applyFill="1" applyBorder="1" applyAlignment="1">
      <alignment horizontal="left" vertical="center" indent="2"/>
    </xf>
    <xf numFmtId="0" fontId="24" fillId="5" borderId="14" xfId="4" applyNumberFormat="1" applyFont="1" applyFill="1" applyBorder="1">
      <alignment horizontal="left" vertical="center" indent="1"/>
    </xf>
    <xf numFmtId="0" fontId="20" fillId="12" borderId="15" xfId="4" applyNumberFormat="1" applyFont="1" applyFill="1" applyBorder="1">
      <alignment horizontal="left" vertical="center" indent="1"/>
    </xf>
    <xf numFmtId="0" fontId="20" fillId="12" borderId="16" xfId="4" applyNumberFormat="1" applyFont="1" applyFill="1" applyBorder="1">
      <alignment horizontal="left" vertical="center" indent="1"/>
    </xf>
    <xf numFmtId="0" fontId="24" fillId="5" borderId="9" xfId="4" applyNumberFormat="1" applyFont="1" applyFill="1" applyBorder="1">
      <alignment horizontal="left" vertical="center" indent="1"/>
    </xf>
    <xf numFmtId="0" fontId="20" fillId="12" borderId="22" xfId="4" applyNumberFormat="1" applyFont="1" applyFill="1" applyBorder="1">
      <alignment horizontal="left" vertical="center" indent="1"/>
    </xf>
    <xf numFmtId="0" fontId="20" fillId="12" borderId="23" xfId="4" applyNumberFormat="1" applyFont="1" applyFill="1" applyBorder="1">
      <alignment horizontal="left" vertical="center" indent="1"/>
    </xf>
    <xf numFmtId="0" fontId="20" fillId="12" borderId="24" xfId="4" applyNumberFormat="1" applyFont="1" applyFill="1" applyBorder="1">
      <alignment horizontal="left" vertical="center" indent="1"/>
    </xf>
    <xf numFmtId="0" fontId="24" fillId="5" borderId="25" xfId="4" applyNumberFormat="1" applyFont="1" applyFill="1" applyBorder="1">
      <alignment horizontal="left" vertical="center" indent="1"/>
    </xf>
    <xf numFmtId="0" fontId="24" fillId="7" borderId="14" xfId="4" applyNumberFormat="1" applyFont="1" applyFill="1" applyBorder="1">
      <alignment horizontal="left" vertical="center" indent="1"/>
    </xf>
    <xf numFmtId="0" fontId="24" fillId="6" borderId="14" xfId="4" applyNumberFormat="1" applyFont="1" applyFill="1" applyBorder="1">
      <alignment horizontal="left" vertical="center" indent="1"/>
    </xf>
    <xf numFmtId="0" fontId="24" fillId="6" borderId="14" xfId="4" applyNumberFormat="1" applyFont="1" applyFill="1" applyBorder="1" applyAlignment="1">
      <alignment horizontal="left" vertical="center" indent="1"/>
    </xf>
    <xf numFmtId="0" fontId="20" fillId="12" borderId="15" xfId="4" applyNumberFormat="1" applyFont="1" applyFill="1" applyBorder="1" applyAlignment="1">
      <alignment horizontal="center" vertical="center"/>
    </xf>
    <xf numFmtId="0" fontId="20" fillId="12" borderId="16" xfId="4" applyNumberFormat="1" applyFont="1" applyFill="1" applyBorder="1" applyAlignment="1">
      <alignment horizontal="center" vertical="center"/>
    </xf>
    <xf numFmtId="0" fontId="20" fillId="12" borderId="14" xfId="4" applyNumberFormat="1" applyFont="1" applyFill="1" applyBorder="1" applyAlignment="1">
      <alignment horizontal="center" vertical="center"/>
    </xf>
    <xf numFmtId="0" fontId="6" fillId="11" borderId="30" xfId="0" applyFont="1" applyFill="1" applyBorder="1" applyAlignment="1">
      <alignment horizontal="left" vertical="center" indent="2"/>
    </xf>
    <xf numFmtId="0" fontId="40" fillId="4" borderId="0" xfId="0" applyFont="1" applyFill="1" applyAlignment="1">
      <alignment horizontal="left" vertical="top" indent="1"/>
    </xf>
    <xf numFmtId="0" fontId="20" fillId="12" borderId="15" xfId="4" applyNumberFormat="1" applyFont="1" applyFill="1" applyBorder="1" applyAlignment="1">
      <alignment horizontal="left" vertical="center" indent="1"/>
    </xf>
    <xf numFmtId="0" fontId="20" fillId="12" borderId="16" xfId="4" applyNumberFormat="1" applyFont="1" applyFill="1" applyBorder="1" applyAlignment="1">
      <alignment horizontal="left" vertical="center" indent="1"/>
    </xf>
    <xf numFmtId="0" fontId="16" fillId="4" borderId="17" xfId="0" applyNumberFormat="1" applyFont="1" applyFill="1" applyBorder="1" applyAlignment="1">
      <alignment horizontal="left" vertical="center" indent="1"/>
    </xf>
    <xf numFmtId="0" fontId="27" fillId="11" borderId="19" xfId="0" applyFont="1" applyFill="1" applyBorder="1" applyAlignment="1">
      <alignment horizontal="left" vertical="center" indent="1"/>
    </xf>
    <xf numFmtId="0" fontId="20" fillId="12" borderId="14" xfId="4" applyNumberFormat="1" applyFont="1" applyFill="1" applyBorder="1" applyAlignment="1">
      <alignment horizontal="left" vertical="center" indent="1"/>
    </xf>
    <xf numFmtId="0" fontId="27" fillId="11" borderId="11" xfId="0" applyFont="1" applyFill="1" applyBorder="1" applyAlignment="1">
      <alignment horizontal="left" vertical="center" indent="1"/>
    </xf>
    <xf numFmtId="0" fontId="27" fillId="11" borderId="19" xfId="0" applyFont="1" applyFill="1" applyBorder="1" applyAlignment="1">
      <alignment horizontal="left" vertical="center" indent="2"/>
    </xf>
    <xf numFmtId="0" fontId="24" fillId="7" borderId="9" xfId="4" applyNumberFormat="1" applyFont="1" applyFill="1" applyBorder="1">
      <alignment horizontal="left" vertical="center" indent="1"/>
    </xf>
    <xf numFmtId="0" fontId="16" fillId="4" borderId="4" xfId="0" applyNumberFormat="1" applyFont="1" applyFill="1" applyBorder="1" applyAlignment="1">
      <alignment horizontal="left" vertical="center" indent="1"/>
    </xf>
    <xf numFmtId="0" fontId="30" fillId="9" borderId="32" xfId="3" applyNumberFormat="1" applyFont="1" applyFill="1" applyBorder="1" applyAlignment="1">
      <alignment vertical="center"/>
    </xf>
    <xf numFmtId="0" fontId="20" fillId="12" borderId="15" xfId="4" applyNumberFormat="1" applyFont="1" applyFill="1" applyBorder="1" applyAlignment="1">
      <alignment horizontal="left"/>
    </xf>
    <xf numFmtId="0" fontId="20" fillId="12" borderId="16" xfId="4" applyNumberFormat="1" applyFont="1" applyFill="1" applyBorder="1" applyAlignment="1">
      <alignment horizontal="left"/>
    </xf>
    <xf numFmtId="0" fontId="19" fillId="11" borderId="19" xfId="0" applyNumberFormat="1" applyFont="1" applyFill="1" applyBorder="1" applyAlignment="1">
      <alignment horizontal="left" vertical="center" indent="1"/>
    </xf>
    <xf numFmtId="0" fontId="18" fillId="11" borderId="19" xfId="0" applyNumberFormat="1" applyFont="1" applyFill="1" applyBorder="1" applyAlignment="1">
      <alignment horizontal="left" vertical="center" indent="2"/>
    </xf>
    <xf numFmtId="0" fontId="6" fillId="11" borderId="19" xfId="0" applyNumberFormat="1" applyFont="1" applyFill="1" applyBorder="1" applyAlignment="1">
      <alignment horizontal="left" vertical="center" indent="1"/>
    </xf>
    <xf numFmtId="0" fontId="19" fillId="11" borderId="19" xfId="0" applyNumberFormat="1" applyFont="1" applyFill="1" applyBorder="1" applyAlignment="1">
      <alignment horizontal="left" vertical="center" indent="2"/>
    </xf>
    <xf numFmtId="0" fontId="0" fillId="11" borderId="2" xfId="0" applyNumberFormat="1" applyFont="1" applyFill="1" applyBorder="1" applyAlignment="1">
      <alignment horizontal="left" vertical="center" indent="1"/>
    </xf>
    <xf numFmtId="0" fontId="16" fillId="4" borderId="26" xfId="0" applyNumberFormat="1" applyFont="1" applyFill="1" applyBorder="1" applyAlignment="1">
      <alignment horizontal="left" vertical="center" indent="1"/>
    </xf>
    <xf numFmtId="0" fontId="0" fillId="10" borderId="0" xfId="0" applyNumberFormat="1" applyFont="1" applyBorder="1" applyAlignment="1">
      <alignment horizontal="left" indent="1"/>
    </xf>
    <xf numFmtId="0" fontId="4" fillId="10" borderId="0" xfId="0" applyFont="1" applyAlignment="1">
      <alignment horizontal="left"/>
    </xf>
    <xf numFmtId="42" fontId="23" fillId="12" borderId="0" xfId="3" applyNumberFormat="1" applyFont="1" applyFill="1" applyAlignment="1">
      <alignment horizontal="center"/>
    </xf>
    <xf numFmtId="42" fontId="20" fillId="12" borderId="15" xfId="4" applyNumberFormat="1" applyFont="1" applyFill="1" applyBorder="1" applyAlignment="1">
      <alignment horizontal="center" vertical="center"/>
    </xf>
    <xf numFmtId="42" fontId="20" fillId="12" borderId="15" xfId="4" applyNumberFormat="1" applyFont="1" applyFill="1" applyBorder="1" applyAlignment="1">
      <alignment horizontal="left" vertical="center" indent="1"/>
    </xf>
    <xf numFmtId="42" fontId="20" fillId="12" borderId="15" xfId="4" applyNumberFormat="1" applyFont="1" applyFill="1" applyBorder="1" applyAlignment="1">
      <alignment horizontal="left"/>
    </xf>
    <xf numFmtId="166" fontId="0" fillId="10" borderId="0" xfId="0" applyNumberFormat="1" applyFont="1" applyBorder="1" applyAlignment="1">
      <alignment horizontal="right"/>
    </xf>
    <xf numFmtId="167" fontId="14" fillId="13" borderId="17" xfId="0" applyNumberFormat="1" applyFont="1" applyFill="1" applyBorder="1" applyAlignment="1">
      <alignment horizontal="right" vertical="center"/>
    </xf>
    <xf numFmtId="167" fontId="14" fillId="13" borderId="13" xfId="0" applyNumberFormat="1" applyFont="1" applyFill="1" applyBorder="1" applyAlignment="1">
      <alignment horizontal="right" vertical="center"/>
    </xf>
    <xf numFmtId="167" fontId="14" fillId="11" borderId="18" xfId="0" applyNumberFormat="1" applyFont="1" applyFill="1" applyBorder="1" applyAlignment="1">
      <alignment horizontal="right" vertical="center"/>
    </xf>
    <xf numFmtId="167" fontId="14" fillId="11" borderId="19" xfId="0" applyNumberFormat="1" applyFont="1" applyFill="1" applyBorder="1" applyAlignment="1">
      <alignment horizontal="right" vertical="center"/>
    </xf>
    <xf numFmtId="167" fontId="14" fillId="11" borderId="20" xfId="0" applyNumberFormat="1" applyFont="1" applyFill="1" applyBorder="1" applyAlignment="1">
      <alignment horizontal="right" vertical="center"/>
    </xf>
    <xf numFmtId="167" fontId="14" fillId="11" borderId="21" xfId="0" applyNumberFormat="1" applyFont="1" applyFill="1" applyBorder="1" applyAlignment="1">
      <alignment horizontal="right" vertical="center"/>
    </xf>
    <xf numFmtId="167" fontId="14" fillId="11" borderId="29" xfId="0" applyNumberFormat="1" applyFont="1" applyFill="1" applyBorder="1" applyAlignment="1">
      <alignment horizontal="right" vertical="center"/>
    </xf>
    <xf numFmtId="167" fontId="14" fillId="11" borderId="27" xfId="0" applyNumberFormat="1" applyFont="1" applyFill="1" applyBorder="1" applyAlignment="1">
      <alignment horizontal="right" vertical="center"/>
    </xf>
    <xf numFmtId="167" fontId="14" fillId="11" borderId="28" xfId="0" applyNumberFormat="1" applyFont="1" applyFill="1" applyBorder="1" applyAlignment="1">
      <alignment horizontal="right" vertical="center"/>
    </xf>
    <xf numFmtId="167" fontId="0" fillId="13" borderId="17" xfId="0" applyNumberFormat="1" applyFont="1" applyFill="1" applyBorder="1" applyAlignment="1">
      <alignment horizontal="right" vertical="center"/>
    </xf>
    <xf numFmtId="167" fontId="0" fillId="13" borderId="13" xfId="0" applyNumberFormat="1" applyFont="1" applyFill="1" applyBorder="1" applyAlignment="1">
      <alignment horizontal="right" vertical="center"/>
    </xf>
    <xf numFmtId="167" fontId="0" fillId="11" borderId="18" xfId="0" applyNumberFormat="1" applyFont="1" applyFill="1" applyBorder="1" applyAlignment="1">
      <alignment horizontal="right" vertical="center"/>
    </xf>
    <xf numFmtId="167" fontId="0" fillId="11" borderId="19" xfId="0" applyNumberFormat="1" applyFont="1" applyFill="1" applyBorder="1" applyAlignment="1">
      <alignment horizontal="right" vertical="center"/>
    </xf>
    <xf numFmtId="167" fontId="0" fillId="11" borderId="20" xfId="0" applyNumberFormat="1" applyFont="1" applyFill="1" applyBorder="1" applyAlignment="1">
      <alignment horizontal="right" vertical="center"/>
    </xf>
    <xf numFmtId="167" fontId="0" fillId="11" borderId="21" xfId="0" applyNumberFormat="1" applyFont="1" applyFill="1" applyBorder="1" applyAlignment="1">
      <alignment horizontal="right" vertical="center"/>
    </xf>
    <xf numFmtId="167" fontId="15" fillId="11" borderId="5" xfId="0" applyNumberFormat="1" applyFont="1" applyFill="1" applyBorder="1" applyAlignment="1">
      <alignment horizontal="right" vertical="center"/>
    </xf>
    <xf numFmtId="167" fontId="15" fillId="11" borderId="2" xfId="0" applyNumberFormat="1" applyFont="1" applyFill="1" applyBorder="1" applyAlignment="1">
      <alignment horizontal="right" vertical="center"/>
    </xf>
    <xf numFmtId="167" fontId="0" fillId="11" borderId="19" xfId="0" applyNumberFormat="1" applyFont="1" applyFill="1" applyBorder="1" applyAlignment="1">
      <alignment vertical="center"/>
    </xf>
    <xf numFmtId="167" fontId="0" fillId="11" borderId="20" xfId="0" applyNumberFormat="1" applyFont="1" applyFill="1" applyBorder="1" applyAlignment="1">
      <alignment vertical="center"/>
    </xf>
    <xf numFmtId="167" fontId="0" fillId="11" borderId="21" xfId="0" applyNumberFormat="1" applyFont="1" applyFill="1" applyBorder="1" applyAlignment="1">
      <alignment vertical="center"/>
    </xf>
    <xf numFmtId="167" fontId="25" fillId="11" borderId="20" xfId="0" applyNumberFormat="1" applyFont="1" applyFill="1" applyBorder="1" applyAlignment="1">
      <alignment horizontal="right" vertical="center"/>
    </xf>
    <xf numFmtId="167" fontId="15" fillId="11" borderId="31" xfId="0" applyNumberFormat="1" applyFont="1" applyFill="1" applyBorder="1" applyAlignment="1">
      <alignment horizontal="right"/>
    </xf>
    <xf numFmtId="167" fontId="15" fillId="11" borderId="2" xfId="0" applyNumberFormat="1" applyFont="1" applyFill="1" applyBorder="1" applyAlignment="1">
      <alignment horizontal="right"/>
    </xf>
    <xf numFmtId="167" fontId="15" fillId="11" borderId="6" xfId="0" applyNumberFormat="1" applyFont="1" applyFill="1" applyBorder="1" applyAlignment="1">
      <alignment horizontal="right"/>
    </xf>
    <xf numFmtId="167" fontId="15" fillId="11" borderId="8" xfId="0" applyNumberFormat="1" applyFont="1" applyFill="1" applyBorder="1" applyAlignment="1">
      <alignment horizontal="right"/>
    </xf>
    <xf numFmtId="167" fontId="15" fillId="11" borderId="5" xfId="0" applyNumberFormat="1" applyFont="1" applyFill="1" applyBorder="1" applyAlignment="1">
      <alignment horizontal="right"/>
    </xf>
    <xf numFmtId="167" fontId="14" fillId="11" borderId="20" xfId="0" applyNumberFormat="1" applyFont="1" applyFill="1" applyBorder="1" applyAlignment="1">
      <alignment vertical="center"/>
    </xf>
    <xf numFmtId="167" fontId="26" fillId="11" borderId="2" xfId="0" applyNumberFormat="1" applyFont="1" applyFill="1" applyBorder="1" applyAlignment="1">
      <alignment horizontal="right"/>
    </xf>
    <xf numFmtId="167" fontId="26" fillId="11" borderId="8" xfId="0" applyNumberFormat="1" applyFont="1" applyFill="1" applyBorder="1" applyAlignment="1">
      <alignment horizontal="right"/>
    </xf>
    <xf numFmtId="167" fontId="0" fillId="11" borderId="2" xfId="0" applyNumberFormat="1" applyFont="1" applyFill="1" applyBorder="1" applyAlignment="1">
      <alignment horizontal="right" vertical="center" indent="2"/>
    </xf>
    <xf numFmtId="167" fontId="0" fillId="11" borderId="5" xfId="0" applyNumberFormat="1" applyFont="1" applyFill="1" applyBorder="1" applyAlignment="1">
      <alignment horizontal="right" vertical="center" indent="2"/>
    </xf>
    <xf numFmtId="0" fontId="20" fillId="10" borderId="0" xfId="0" applyFont="1" applyAlignment="1">
      <alignment wrapText="1"/>
    </xf>
    <xf numFmtId="0" fontId="20" fillId="10" borderId="0" xfId="0" applyFont="1"/>
    <xf numFmtId="0" fontId="29" fillId="4" borderId="0" xfId="0" applyNumberFormat="1" applyFont="1" applyFill="1" applyAlignment="1">
      <alignment horizontal="center" vertical="top"/>
    </xf>
    <xf numFmtId="0" fontId="17" fillId="4" borderId="0" xfId="2" applyNumberFormat="1" applyFont="1" applyFill="1" applyAlignment="1">
      <alignment horizontal="left" indent="1"/>
    </xf>
    <xf numFmtId="0" fontId="6" fillId="10" borderId="0" xfId="0" applyNumberFormat="1" applyFont="1" applyBorder="1" applyAlignment="1">
      <alignment horizontal="center"/>
    </xf>
    <xf numFmtId="0" fontId="4" fillId="10" borderId="0" xfId="0" applyNumberFormat="1" applyFont="1" applyBorder="1" applyAlignment="1">
      <alignment horizontal="center"/>
    </xf>
    <xf numFmtId="0" fontId="13" fillId="8" borderId="0" xfId="1" applyNumberFormat="1" applyFont="1" applyFill="1" applyAlignment="1">
      <alignment horizontal="left" vertical="top" indent="1"/>
    </xf>
    <xf numFmtId="0" fontId="12" fillId="4" borderId="0" xfId="5" applyNumberFormat="1" applyFill="1" applyAlignment="1">
      <alignment horizontal="left" vertical="top" indent="1"/>
    </xf>
    <xf numFmtId="0" fontId="38" fillId="4" borderId="0" xfId="5" applyNumberFormat="1" applyFont="1" applyFill="1" applyAlignment="1">
      <alignment horizontal="left" vertical="top" indent="1"/>
    </xf>
    <xf numFmtId="0" fontId="6" fillId="10" borderId="0" xfId="0" applyNumberFormat="1" applyFont="1" applyAlignment="1">
      <alignment horizontal="center"/>
    </xf>
    <xf numFmtId="0" fontId="4" fillId="10" borderId="0" xfId="0" applyNumberFormat="1" applyFont="1" applyAlignment="1">
      <alignment horizontal="center"/>
    </xf>
    <xf numFmtId="0" fontId="31" fillId="11" borderId="0" xfId="0" applyFont="1" applyFill="1" applyAlignment="1">
      <alignment horizontal="center"/>
    </xf>
    <xf numFmtId="0" fontId="31" fillId="11" borderId="0" xfId="0" applyFont="1" applyFill="1" applyAlignment="1">
      <alignment horizontal="left"/>
    </xf>
    <xf numFmtId="0" fontId="4" fillId="10" borderId="0" xfId="0" applyFont="1" applyAlignment="1">
      <alignment horizontal="left"/>
    </xf>
    <xf numFmtId="0" fontId="4" fillId="10" borderId="0" xfId="0" applyFont="1" applyAlignment="1">
      <alignment horizontal="center"/>
    </xf>
    <xf numFmtId="0" fontId="4" fillId="10" borderId="0" xfId="0" applyFont="1" applyAlignment="1">
      <alignment horizontal="left" indent="1"/>
    </xf>
    <xf numFmtId="0" fontId="17" fillId="4" borderId="0" xfId="2" applyNumberFormat="1" applyFont="1" applyFill="1" applyAlignment="1">
      <alignment horizontal="right" vertical="center" indent="3"/>
    </xf>
    <xf numFmtId="0" fontId="39" fillId="4" borderId="0" xfId="2" applyNumberFormat="1" applyFont="1" applyFill="1" applyAlignment="1">
      <alignment horizontal="center" wrapText="1"/>
    </xf>
    <xf numFmtId="0" fontId="3" fillId="8" borderId="0" xfId="0" applyNumberFormat="1" applyFont="1" applyFill="1" applyAlignment="1">
      <alignment horizontal="left" vertical="top" indent="1"/>
    </xf>
    <xf numFmtId="0" fontId="5" fillId="8" borderId="0" xfId="0" applyNumberFormat="1" applyFont="1" applyFill="1" applyAlignment="1">
      <alignment horizontal="left" vertical="top" indent="1"/>
    </xf>
    <xf numFmtId="0" fontId="34" fillId="10" borderId="0" xfId="0" applyNumberFormat="1" applyFont="1"/>
    <xf numFmtId="0" fontId="4" fillId="10" borderId="0" xfId="0" applyNumberFormat="1" applyFont="1" applyAlignment="1">
      <alignment horizontal="right"/>
    </xf>
    <xf numFmtId="0" fontId="6" fillId="10" borderId="0" xfId="0" applyNumberFormat="1" applyFont="1" applyAlignment="1">
      <alignment horizontal="right"/>
    </xf>
    <xf numFmtId="0" fontId="7" fillId="10" borderId="0" xfId="0" applyNumberFormat="1" applyFont="1" applyAlignment="1">
      <alignment horizontal="right"/>
    </xf>
    <xf numFmtId="0" fontId="2" fillId="10" borderId="0" xfId="0" applyNumberFormat="1" applyFont="1"/>
    <xf numFmtId="0" fontId="2" fillId="10" borderId="0" xfId="0" applyNumberFormat="1" applyFont="1" applyBorder="1"/>
    <xf numFmtId="0" fontId="4" fillId="10" borderId="0" xfId="0" applyNumberFormat="1" applyFont="1"/>
  </cellXfs>
  <cellStyles count="47">
    <cellStyle name="20% no 1. izcēluma" xfId="24" builtinId="30" customBuiltin="1"/>
    <cellStyle name="20% no 2. izcēluma" xfId="28" builtinId="34" customBuiltin="1"/>
    <cellStyle name="20% no 3. izcēluma" xfId="32" builtinId="38" customBuiltin="1"/>
    <cellStyle name="20% no 4. izcēluma" xfId="36" builtinId="42" customBuiltin="1"/>
    <cellStyle name="20% no 5. izcēluma" xfId="40" builtinId="46" customBuiltin="1"/>
    <cellStyle name="20% no 6. izcēluma" xfId="44" builtinId="50" customBuiltin="1"/>
    <cellStyle name="40% no 1. izcēluma" xfId="25" builtinId="31" customBuiltin="1"/>
    <cellStyle name="40% no 2. izcēluma" xfId="29" builtinId="35" customBuiltin="1"/>
    <cellStyle name="40% no 3. izcēluma" xfId="33" builtinId="39" customBuiltin="1"/>
    <cellStyle name="40% no 4. izcēluma" xfId="37" builtinId="43" customBuiltin="1"/>
    <cellStyle name="40% no 5. izcēluma" xfId="41" builtinId="47" customBuiltin="1"/>
    <cellStyle name="40% no 6. izcēluma" xfId="45" builtinId="51" customBuiltin="1"/>
    <cellStyle name="60% no 1. izcēluma" xfId="26" builtinId="32" customBuiltin="1"/>
    <cellStyle name="60% no 2. izcēluma" xfId="30" builtinId="36" customBuiltin="1"/>
    <cellStyle name="60% no 3. izcēluma" xfId="34" builtinId="40" customBuiltin="1"/>
    <cellStyle name="60% no 4. izcēluma" xfId="38" builtinId="44" customBuiltin="1"/>
    <cellStyle name="60% no 5. izcēluma" xfId="42" builtinId="48" customBuiltin="1"/>
    <cellStyle name="60% no 6. izcēluma" xfId="46" builtinId="52" customBuiltin="1"/>
    <cellStyle name="Aprēķināšana" xfId="17" builtinId="22" customBuiltin="1"/>
    <cellStyle name="Brīdinājuma teksts" xfId="20" builtinId="11" customBuiltin="1"/>
    <cellStyle name="Ievade" xfId="15" builtinId="20" customBuiltin="1"/>
    <cellStyle name="Izcēlums (1. veids)" xfId="23" builtinId="29" customBuiltin="1"/>
    <cellStyle name="Izcēlums (2. veids)" xfId="27" builtinId="33" customBuiltin="1"/>
    <cellStyle name="Izcēlums (3. veids)" xfId="31" builtinId="37" customBuiltin="1"/>
    <cellStyle name="Izcēlums (4. veids)" xfId="35" builtinId="41" customBuiltin="1"/>
    <cellStyle name="Izcēlums (5. veids)" xfId="39" builtinId="45" customBuiltin="1"/>
    <cellStyle name="Izcēlums (6. veids)" xfId="43" builtinId="49" customBuiltin="1"/>
    <cellStyle name="Izvade" xfId="16" builtinId="21" customBuiltin="1"/>
    <cellStyle name="Komats" xfId="6" builtinId="3" customBuiltin="1"/>
    <cellStyle name="Komats [0]" xfId="7" builtinId="6" customBuiltin="1"/>
    <cellStyle name="Kopsumma" xfId="22" builtinId="25" customBuiltin="1"/>
    <cellStyle name="Labs" xfId="12" builtinId="26" customBuiltin="1"/>
    <cellStyle name="Neitrāls" xfId="14" builtinId="28" customBuiltin="1"/>
    <cellStyle name="Nosaukums" xfId="11" builtinId="15" customBuiltin="1"/>
    <cellStyle name="Parasts" xfId="0" builtinId="0" customBuiltin="1"/>
    <cellStyle name="Paskaidrojošs teksts" xfId="5" builtinId="53" customBuiltin="1"/>
    <cellStyle name="Pārbaudes šūna" xfId="19" builtinId="23" customBuiltin="1"/>
    <cellStyle name="Piezīme" xfId="21" builtinId="10" customBuiltin="1"/>
    <cellStyle name="Procenti" xfId="10" builtinId="5" customBuiltin="1"/>
    <cellStyle name="Saistīta šūna" xfId="18" builtinId="24" customBuiltin="1"/>
    <cellStyle name="Slikts" xfId="13" builtinId="27" customBuiltin="1"/>
    <cellStyle name="Valūta" xfId="8" builtinId="4" customBuiltin="1"/>
    <cellStyle name="Valūta [0]" xfId="9" builtinId="7" customBuiltin="1"/>
    <cellStyle name="Virsraksts 1" xfId="1" builtinId="16" customBuiltin="1"/>
    <cellStyle name="Virsraksts 2" xfId="2" builtinId="17" customBuiltin="1"/>
    <cellStyle name="Virsraksts 3" xfId="3" builtinId="18" customBuiltin="1"/>
    <cellStyle name="Virsraksts 4" xfId="4" builtinId="19" customBuiltin="1"/>
  </cellStyles>
  <dxfs count="463">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fill>
        <patternFill patternType="solid">
          <fgColor indexed="64"/>
          <bgColor theme="6" tint="0.79998168889431442"/>
        </patternFill>
      </fill>
      <alignment horizontal="right" vertical="center" textRotation="0" wrapText="0" indent="2" justifyLastLine="0" shrinkToFit="0" readingOrder="0"/>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7" formatCode="#,##0.00\ [$EUR];[Red]\-#,##0.00\ [$EUR]"/>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7" formatCode="#,##0.00\ [$EUR];[Red]\-#,##0.00\ [$EUR]"/>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7" formatCode="#,##0.00\ [$EUR];[Red]\-#,##0.00\ [$EUR]"/>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theme="1"/>
        <name val="Microsoft Sans Serif"/>
        <family val="2"/>
        <scheme val="minor"/>
      </font>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dxf>
    <dxf>
      <font>
        <b val="0"/>
      </font>
      <numFmt numFmtId="167" formatCode="#,##0.00\ [$EUR];[Red]\-#,##0.00\ [$EUR]"/>
      <fill>
        <patternFill patternType="solid">
          <fgColor indexed="64"/>
          <bgColor theme="6" tint="0.79998168889431442"/>
        </patternFill>
      </fill>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dxf>
    <dxf>
      <numFmt numFmtId="167" formatCode="#,##0.00\ [$EUR];[Red]\-#,##0.00\ [$EUR]"/>
    </dxf>
    <dxf>
      <numFmt numFmtId="166" formatCode="#,##0.00\ &quot;€&quot;;[Red]#,##0.00\ &quot;€&quot;"/>
    </dxf>
    <dxf>
      <numFmt numFmtId="167" formatCode="#,##0.00\ [$EUR];[Red]\-#,##0.00\ [$EUR]"/>
    </dxf>
    <dxf>
      <numFmt numFmtId="166" formatCode="#,##0.00\ &quot;€&quot;;[Red]#,##0.00\ &quot;€&quot;"/>
    </dxf>
    <dxf>
      <numFmt numFmtId="167" formatCode="#,##0.00\ [$EUR];[Red]\-#,##0.00\ [$EUR]"/>
    </dxf>
    <dxf>
      <numFmt numFmtId="166" formatCode="#,##0.00\ &quot;€&quot;;[Red]#,##0.00\ &quot;€&quot;"/>
    </dxf>
    <dxf>
      <numFmt numFmtId="167" formatCode="#,##0.00\ [$EUR];[Red]\-#,##0.00\ [$EUR]"/>
    </dxf>
    <dxf>
      <numFmt numFmtId="166" formatCode="#,##0.00\ &quot;€&quot;;[Red]#,##0.00\ &quot;€&quot;"/>
    </dxf>
    <dxf>
      <numFmt numFmtId="167" formatCode="#,##0.00\ [$EUR];[Red]\-#,##0.00\ [$EUR]"/>
    </dxf>
    <dxf>
      <numFmt numFmtId="166" formatCode="#,##0.00\ &quot;€&quot;;[Red]#,##0.00\ &quot;€&quot;"/>
    </dxf>
    <dxf>
      <numFmt numFmtId="167" formatCode="#,##0.00\ [$EUR];[Red]\-#,##0.00\ [$EUR]"/>
    </dxf>
    <dxf>
      <numFmt numFmtId="166" formatCode="#,##0.00\ &quot;€&quot;;[Red]#,##0.00\ &quot;€&quot;"/>
    </dxf>
    <dxf>
      <numFmt numFmtId="167" formatCode="#,##0.00\ [$EUR];[Red]\-#,##0.00\ [$EUR]"/>
    </dxf>
    <dxf>
      <numFmt numFmtId="166" formatCode="#,##0.00\ &quot;€&quot;;[Red]#,##0.00\ &quot;€&quot;"/>
    </dxf>
    <dxf>
      <numFmt numFmtId="167" formatCode="#,##0.00\ [$EUR];[Red]\-#,##0.00\ [$EUR]"/>
    </dxf>
    <dxf>
      <numFmt numFmtId="166" formatCode="#,##0.00\ &quot;€&quot;;[Red]#,##0.00\ &quot;€&quot;"/>
    </dxf>
    <dxf>
      <numFmt numFmtId="167" formatCode="#,##0.00\ [$EUR];[Red]\-#,##0.00\ [$EUR]"/>
    </dxf>
    <dxf>
      <numFmt numFmtId="166" formatCode="#,##0.00\ &quot;€&quot;;[Red]#,##0.00\ &quot;€&quot;"/>
    </dxf>
    <dxf>
      <numFmt numFmtId="167" formatCode="#,##0.00\ [$EUR];[Red]\-#,##0.00\ [$EUR]"/>
    </dxf>
    <dxf>
      <numFmt numFmtId="166" formatCode="#,##0.00\ &quot;€&quot;;[Red]#,##0.00\ &quot;€&quot;"/>
    </dxf>
    <dxf>
      <numFmt numFmtId="167" formatCode="#,##0.00\ [$EUR];[Red]\-#,##0.00\ [$EUR]"/>
    </dxf>
    <dxf>
      <numFmt numFmtId="166" formatCode="#,##0.00\ &quot;€&quot;;[Red]#,##0.00\ &quot;€&quot;"/>
    </dxf>
    <dxf>
      <numFmt numFmtId="167" formatCode="#,##0.00\ [$EUR];[Red]\-#,##0.00\ [$EUR]"/>
    </dxf>
    <dxf>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7" formatCode="#,##0.00\ [$EUR];[Red]\-#,##0.00\ [$EUR]"/>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7" formatCode="#,##0.00\ [$EUR];[Red]\-#,##0.00\ [$EUR]"/>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7" formatCode="#,##0.00\ [$EUR];[Red]\-#,##0.00\ [$EUR]"/>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auto="1"/>
        <name val="Microsoft Sans Serif"/>
        <family val="2"/>
        <scheme val="minor"/>
      </font>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auto="1"/>
        <name val="Microsoft Sans Serif"/>
        <family val="2"/>
        <scheme val="minor"/>
      </font>
      <fill>
        <patternFill patternType="solid">
          <fgColor indexed="64"/>
          <bgColor theme="6" tint="0.79998168889431442"/>
        </patternFill>
      </fill>
      <border diagonalUp="0" diagonalDown="0">
        <left/>
        <right style="medium">
          <color theme="6" tint="0.39994506668294322"/>
        </right>
        <top/>
        <bottom/>
        <vertical style="medium">
          <color theme="6" tint="0.39994506668294322"/>
        </vertical>
        <horizontal style="medium">
          <color theme="6" tint="0.3999450666829432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7558519241921"/>
        </right>
        <top style="medium">
          <color theme="6" tint="0.39997558519241921"/>
        </top>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top/>
        <bottom/>
      </border>
    </dxf>
    <dxf>
      <font>
        <strike val="0"/>
        <outline val="0"/>
        <shadow val="0"/>
        <u val="none"/>
        <vertAlign val="baseline"/>
        <sz val="9"/>
        <color theme="1"/>
        <name val="Microsoft Sans Serif"/>
        <family val="2"/>
        <scheme val="minor"/>
      </font>
      <numFmt numFmtId="167" formatCode="#,##0.00\ [$EUR];[Red]\-#,##0.00\ [$EUR]"/>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7" formatCode="#,##0.00\ [$EUR];[Red]\-#,##0.00\ [$EUR]"/>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7" formatCode="#,##0.00\ [$EUR];[Red]\-#,##0.00\ [$EUR]"/>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7" formatCode="#,##0.00\ [$EUR];[Red]\-#,##0.00\ [$EUR]"/>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462"/>
      <tableStyleElement type="headerRow" dxfId="461"/>
      <tableStyleElement type="totalRow" dxfId="460"/>
      <tableStyleElement type="firstColumn" dxfId="459"/>
      <tableStyleElement type="lastColumn" dxfId="458"/>
      <tableStyleElement type="firstRowStripe" size="9" dxfId="457"/>
      <tableStyleElement type="firstColumnStripe" dxfId="456"/>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r>
              <a:rPr lang="en-US"/>
              <a:t>Faktiskie izdevumi</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endParaRPr lang="lv-LV"/>
        </a:p>
      </c:txPr>
    </c:title>
    <c:autoTitleDeleted val="0"/>
    <c:plotArea>
      <c:layout/>
      <c:pieChart>
        <c:varyColors val="1"/>
        <c:ser>
          <c:idx val="0"/>
          <c:order val="0"/>
          <c:spPr>
            <a:ln>
              <a:noFill/>
            </a:ln>
          </c:spPr>
          <c:explosion val="15"/>
          <c:dPt>
            <c:idx val="0"/>
            <c:bubble3D val="0"/>
            <c:spPr>
              <a:solidFill>
                <a:schemeClr val="accent4">
                  <a:shade val="58000"/>
                </a:schemeClr>
              </a:solidFill>
              <a:ln w="19050">
                <a:noFill/>
              </a:ln>
              <a:effectLst/>
            </c:spPr>
            <c:extLst>
              <c:ext xmlns:c16="http://schemas.microsoft.com/office/drawing/2014/chart" uri="{C3380CC4-5D6E-409C-BE32-E72D297353CC}">
                <c16:uniqueId val="{00000001-4DF3-409A-87D3-91392B248616}"/>
              </c:ext>
            </c:extLst>
          </c:dPt>
          <c:dPt>
            <c:idx val="1"/>
            <c:bubble3D val="0"/>
            <c:spPr>
              <a:solidFill>
                <a:schemeClr val="accent4">
                  <a:shade val="86000"/>
                </a:schemeClr>
              </a:solidFill>
              <a:ln w="19050">
                <a:noFill/>
              </a:ln>
              <a:effectLst/>
            </c:spPr>
            <c:extLst>
              <c:ext xmlns:c16="http://schemas.microsoft.com/office/drawing/2014/chart" uri="{C3380CC4-5D6E-409C-BE32-E72D297353CC}">
                <c16:uniqueId val="{00000003-4DF3-409A-87D3-91392B248616}"/>
              </c:ext>
            </c:extLst>
          </c:dPt>
          <c:dPt>
            <c:idx val="2"/>
            <c:bubble3D val="0"/>
            <c:spPr>
              <a:solidFill>
                <a:schemeClr val="accent4">
                  <a:tint val="86000"/>
                </a:schemeClr>
              </a:solidFill>
              <a:ln w="19050">
                <a:noFill/>
              </a:ln>
              <a:effectLst/>
            </c:spPr>
            <c:extLst>
              <c:ext xmlns:c16="http://schemas.microsoft.com/office/drawing/2014/chart" uri="{C3380CC4-5D6E-409C-BE32-E72D297353CC}">
                <c16:uniqueId val="{00000005-4DF3-409A-87D3-91392B248616}"/>
              </c:ext>
            </c:extLst>
          </c:dPt>
          <c:dPt>
            <c:idx val="3"/>
            <c:bubble3D val="0"/>
            <c:spPr>
              <a:solidFill>
                <a:schemeClr val="accent4">
                  <a:tint val="58000"/>
                </a:schemeClr>
              </a:solidFill>
              <a:ln w="19050">
                <a:noFill/>
              </a:ln>
              <a:effectLst/>
            </c:spPr>
            <c:extLst>
              <c:ext xmlns:c16="http://schemas.microsoft.com/office/drawing/2014/chart" uri="{C3380CC4-5D6E-409C-BE32-E72D297353CC}">
                <c16:uniqueId val="{00000007-4DF3-409A-87D3-91392B248616}"/>
              </c:ext>
            </c:extLst>
          </c:dPt>
          <c:dLbls>
            <c:dLbl>
              <c:idx val="0"/>
              <c:layout>
                <c:manualLayout>
                  <c:x val="0.16903582257697239"/>
                  <c:y val="-3.67060267098571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F3-409A-87D3-91392B248616}"/>
                </c:ext>
              </c:extLst>
            </c:dLbl>
            <c:dLbl>
              <c:idx val="1"/>
              <c:layout>
                <c:manualLayout>
                  <c:x val="9.0726906999872875E-2"/>
                  <c:y val="-1.1052498177170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F3-409A-87D3-91392B248616}"/>
                </c:ext>
              </c:extLst>
            </c:dLbl>
            <c:dLbl>
              <c:idx val="2"/>
              <c:layout>
                <c:manualLayout>
                  <c:x val="6.6360388648343496E-2"/>
                  <c:y val="-2.1544176087003476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F3-409A-87D3-91392B248616}"/>
                </c:ext>
              </c:extLst>
            </c:dLbl>
            <c:dLbl>
              <c:idx val="3"/>
              <c:layout>
                <c:manualLayout>
                  <c:x val="3.9133483346486281E-2"/>
                  <c:y val="0.10124833189842194"/>
                </c:manualLayout>
              </c:layout>
              <c:tx>
                <c:rich>
                  <a:bodyPr/>
                  <a:lstStyle/>
                  <a:p>
                    <a:fld id="{CAD8AD36-D7FA-4B2E-A765-6A8E95C167C1}" type="CATEGORYNAME">
                      <a:rPr lang="en-US"/>
                      <a:pPr/>
                      <a:t>[KATEGORIJAS NOSAUKUMS]</a:t>
                    </a:fld>
                    <a:r>
                      <a:rPr lang="en-US" baseline="0"/>
                      <a:t>
   </a:t>
                    </a:r>
                    <a:fld id="{A152748B-141C-4911-845A-4A9A729534F8}" type="PERCENTAGE">
                      <a:rPr lang="en-US" baseline="0"/>
                      <a:pPr/>
                      <a:t>[PROCENTUĀLĀ VĒRTĪBA]</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4DF3-409A-87D3-91392B24861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lv-LV"/>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'IZDEVUMU ANALĪZE'!$B$6:$B$9</c:f>
              <c:strCache>
                <c:ptCount val="4"/>
                <c:pt idx="0">
                  <c:v>Darbinieku izmaksas</c:v>
                </c:pt>
                <c:pt idx="1">
                  <c:v>Biroja izmaksas</c:v>
                </c:pt>
                <c:pt idx="2">
                  <c:v>Mārketinga izmaksas</c:v>
                </c:pt>
                <c:pt idx="3">
                  <c:v>Apmācības/komandējumi</c:v>
                </c:pt>
              </c:strCache>
            </c:strRef>
          </c:cat>
          <c:val>
            <c:numRef>
              <c:f>'IZDEVUMU ANALĪZE'!$D$6:$D$9</c:f>
              <c:numCache>
                <c:formatCode>#\ ##0.00\ [$EUR];[Red]\-#\ ##0.00\ [$EUR]</c:formatCode>
                <c:ptCount val="4"/>
                <c:pt idx="0">
                  <c:v>659130</c:v>
                </c:pt>
                <c:pt idx="1">
                  <c:v>69350</c:v>
                </c:pt>
                <c:pt idx="2">
                  <c:v>33159</c:v>
                </c:pt>
                <c:pt idx="3">
                  <c:v>21300</c:v>
                </c:pt>
              </c:numCache>
            </c:numRef>
          </c:val>
          <c:extLst>
            <c:ext xmlns:c16="http://schemas.microsoft.com/office/drawing/2014/chart" uri="{C3380CC4-5D6E-409C-BE32-E72D297353CC}">
              <c16:uniqueId val="{00000008-4DF3-409A-87D3-91392B24861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1361212722425446"/>
          <c:y val="0.85735021397905353"/>
          <c:w val="0.62725732118130906"/>
          <c:h val="0.11487201583770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lv-LV"/>
        </a:p>
      </c:txPr>
    </c:legend>
    <c:plotVisOnly val="1"/>
    <c:dispBlanksAs val="gap"/>
    <c:showDLblsOverMax val="0"/>
  </c:chart>
  <c:spPr>
    <a:no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Ikmēneša izdevumi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lv-LV"/>
        </a:p>
      </c:txPr>
    </c:title>
    <c:autoTitleDeleted val="0"/>
    <c:plotArea>
      <c:layout/>
      <c:barChart>
        <c:barDir val="col"/>
        <c:grouping val="clustered"/>
        <c:varyColors val="0"/>
        <c:ser>
          <c:idx val="1"/>
          <c:order val="1"/>
          <c:tx>
            <c:v>Plānotais</c:v>
          </c:tx>
          <c:spPr>
            <a:solidFill>
              <a:schemeClr val="accent3"/>
            </a:solidFill>
            <a:ln>
              <a:noFill/>
            </a:ln>
            <a:effectLst/>
          </c:spPr>
          <c:invertIfNegative val="0"/>
          <c:val>
            <c:numRef>
              <c:f>'PLĀNOTIE IZDEVUMI'!$C$36:$N$36</c:f>
              <c:numCache>
                <c:formatCode>#\ ##0.00\ [$EUR];[Red]\-#\ ##0.00\ [$EUR]</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Faktiskais</c:v>
          </c:tx>
          <c:spPr>
            <a:solidFill>
              <a:schemeClr val="accent3">
                <a:tint val="65000"/>
              </a:schemeClr>
            </a:solidFill>
            <a:ln>
              <a:noFill/>
            </a:ln>
            <a:effectLst/>
          </c:spPr>
          <c:invertIfNegative val="0"/>
          <c:val>
            <c:numRef>
              <c:f>'FAKTISKIE IZDEVUMI'!$C$36:$N$36</c:f>
              <c:numCache>
                <c:formatCode>#\ ##0.00\ [$EUR];[Red]\-#\ ##0.00\ [$EUR]</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Novirze</c:v>
          </c:tx>
          <c:spPr>
            <a:ln w="28575" cap="rnd">
              <a:solidFill>
                <a:schemeClr val="accent3">
                  <a:shade val="65000"/>
                </a:schemeClr>
              </a:solidFill>
              <a:round/>
            </a:ln>
            <a:effectLst/>
          </c:spPr>
          <c:marker>
            <c:symbol val="none"/>
          </c:marker>
          <c:val>
            <c:numRef>
              <c:f>'IZDEVUMU NOVIRZES'!$C$36:$N$36</c:f>
              <c:numCache>
                <c:formatCode>#\ ##0.00\ [$EUR];[Red]\-#\ ##0.00\ [$EUR]</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Mēnesis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lv-LV"/>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lv-LV"/>
          </a:p>
        </c:txPr>
        <c:crossAx val="362147008"/>
        <c:crosses val="autoZero"/>
        <c:auto val="1"/>
        <c:lblAlgn val="ctr"/>
        <c:lblOffset val="100"/>
        <c:noMultiLvlLbl val="0"/>
      </c:catAx>
      <c:valAx>
        <c:axId val="362147008"/>
        <c:scaling>
          <c:orientation val="minMax"/>
        </c:scaling>
        <c:delete val="0"/>
        <c:axPos val="l"/>
        <c:majorGridlines>
          <c:spPr>
            <a:ln w="9525" cap="flat" cmpd="sng" algn="ctr">
              <a:solidFill>
                <a:schemeClr val="bg2">
                  <a:lumMod val="5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Izdevumi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lv-LV"/>
            </a:p>
          </c:txPr>
        </c:title>
        <c:numFmt formatCode="#\ ##0.00\ [$EUR];[Red]\-#\ ##0.00\ [$EUR]"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lv-LV"/>
          </a:p>
        </c:txPr>
        <c:crossAx val="36214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lv-LV"/>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Plānotie izdevumi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lv-LV"/>
        </a:p>
      </c:txPr>
    </c:title>
    <c:autoTitleDeleted val="0"/>
    <c:plotArea>
      <c:layout/>
      <c:pieChart>
        <c:varyColors val="1"/>
        <c:ser>
          <c:idx val="0"/>
          <c:order val="0"/>
          <c:spPr>
            <a:ln>
              <a:noFill/>
            </a:ln>
          </c:spPr>
          <c:explosion val="14"/>
          <c:dPt>
            <c:idx val="0"/>
            <c:bubble3D val="0"/>
            <c:spPr>
              <a:solidFill>
                <a:schemeClr val="accent3">
                  <a:shade val="58000"/>
                </a:schemeClr>
              </a:solidFill>
              <a:ln w="19050">
                <a:noFill/>
              </a:ln>
              <a:effectLst/>
            </c:spPr>
            <c:extLst>
              <c:ext xmlns:c16="http://schemas.microsoft.com/office/drawing/2014/chart" uri="{C3380CC4-5D6E-409C-BE32-E72D297353CC}">
                <c16:uniqueId val="{00000001-575C-4225-ACC7-D51DAEA0E7C6}"/>
              </c:ext>
            </c:extLst>
          </c:dPt>
          <c:dPt>
            <c:idx val="1"/>
            <c:bubble3D val="0"/>
            <c:spPr>
              <a:solidFill>
                <a:schemeClr val="accent3">
                  <a:shade val="86000"/>
                </a:schemeClr>
              </a:solidFill>
              <a:ln w="19050">
                <a:noFill/>
              </a:ln>
              <a:effectLst/>
            </c:spPr>
            <c:extLst>
              <c:ext xmlns:c16="http://schemas.microsoft.com/office/drawing/2014/chart" uri="{C3380CC4-5D6E-409C-BE32-E72D297353CC}">
                <c16:uniqueId val="{00000003-575C-4225-ACC7-D51DAEA0E7C6}"/>
              </c:ext>
            </c:extLst>
          </c:dPt>
          <c:dPt>
            <c:idx val="2"/>
            <c:bubble3D val="0"/>
            <c:spPr>
              <a:solidFill>
                <a:schemeClr val="accent3">
                  <a:tint val="86000"/>
                </a:schemeClr>
              </a:solidFill>
              <a:ln w="19050">
                <a:noFill/>
              </a:ln>
              <a:effectLst/>
            </c:spPr>
            <c:extLst>
              <c:ext xmlns:c16="http://schemas.microsoft.com/office/drawing/2014/chart" uri="{C3380CC4-5D6E-409C-BE32-E72D297353CC}">
                <c16:uniqueId val="{00000005-575C-4225-ACC7-D51DAEA0E7C6}"/>
              </c:ext>
            </c:extLst>
          </c:dPt>
          <c:dPt>
            <c:idx val="3"/>
            <c:bubble3D val="0"/>
            <c:spPr>
              <a:solidFill>
                <a:schemeClr val="accent3">
                  <a:tint val="58000"/>
                </a:schemeClr>
              </a:solidFill>
              <a:ln w="19050">
                <a:noFill/>
              </a:ln>
              <a:effectLst/>
            </c:spPr>
            <c:extLst>
              <c:ext xmlns:c16="http://schemas.microsoft.com/office/drawing/2014/chart" uri="{C3380CC4-5D6E-409C-BE32-E72D297353CC}">
                <c16:uniqueId val="{00000007-575C-4225-ACC7-D51DAEA0E7C6}"/>
              </c:ext>
            </c:extLst>
          </c:dPt>
          <c:dLbls>
            <c:dLbl>
              <c:idx val="0"/>
              <c:layout>
                <c:manualLayout>
                  <c:x val="0.19045364340543908"/>
                  <c:y val="-8.0111275153105857E-2"/>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5C-4225-ACC7-D51DAEA0E7C6}"/>
                </c:ext>
              </c:extLst>
            </c:dLbl>
            <c:dLbl>
              <c:idx val="1"/>
              <c:layout>
                <c:manualLayout>
                  <c:x val="6.6352404397343898E-2"/>
                  <c:y val="-7.29494750656168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5C-4225-ACC7-D51DAEA0E7C6}"/>
                </c:ext>
              </c:extLst>
            </c:dLbl>
            <c:dLbl>
              <c:idx val="2"/>
              <c:layout>
                <c:manualLayout>
                  <c:x val="3.6636462570781757E-2"/>
                  <c:y val="-6.731736657917760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5C-4225-ACC7-D51DAEA0E7C6}"/>
                </c:ext>
              </c:extLst>
            </c:dLbl>
            <c:dLbl>
              <c:idx val="3"/>
              <c:layout>
                <c:manualLayout>
                  <c:x val="7.4682682403057737E-3"/>
                  <c:y val="9.17456802274715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75C-4225-ACC7-D51DAEA0E7C6}"/>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lv-LV"/>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'IZDEVUMU ANALĪZE'!$B$6:$B$9</c:f>
              <c:strCache>
                <c:ptCount val="4"/>
                <c:pt idx="0">
                  <c:v>Darbinieku izmaksas</c:v>
                </c:pt>
                <c:pt idx="1">
                  <c:v>Biroja izmaksas</c:v>
                </c:pt>
                <c:pt idx="2">
                  <c:v>Mārketinga izmaksas</c:v>
                </c:pt>
                <c:pt idx="3">
                  <c:v>Apmācības/komandējumi</c:v>
                </c:pt>
              </c:strCache>
            </c:strRef>
          </c:cat>
          <c:val>
            <c:numRef>
              <c:f>'IZDEVUMU ANALĪZE'!$C$6:$C$9</c:f>
              <c:numCache>
                <c:formatCode>#\ ##0.00\ [$EUR];[Red]\-#\ ##0.00\ [$EUR]</c:formatCode>
                <c:ptCount val="4"/>
                <c:pt idx="0">
                  <c:v>1355090</c:v>
                </c:pt>
                <c:pt idx="1">
                  <c:v>138740</c:v>
                </c:pt>
                <c:pt idx="2">
                  <c:v>67800</c:v>
                </c:pt>
                <c:pt idx="3">
                  <c:v>48000</c:v>
                </c:pt>
              </c:numCache>
            </c:numRef>
          </c:val>
          <c:extLst>
            <c:ext xmlns:c16="http://schemas.microsoft.com/office/drawing/2014/chart" uri="{C3380CC4-5D6E-409C-BE32-E72D297353CC}">
              <c16:uniqueId val="{00000008-575C-4225-ACC7-D51DAEA0E7C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16574128233970753"/>
          <c:y val="0.86776684164479445"/>
          <c:w val="0.72422116466210951"/>
          <c:h val="0.10792760279965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lv-LV"/>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Runas burbulis: Taisnstūris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lv" sz="1100" b="1">
              <a:solidFill>
                <a:schemeClr val="tx2"/>
              </a:solidFill>
              <a:effectLst/>
              <a:latin typeface="Microsoft Sans Serif" panose="020B0604020202020204" pitchFamily="34" charset="0"/>
              <a:ea typeface="+mn-ea"/>
              <a:cs typeface="+mn-cs"/>
            </a:rPr>
            <a:t>KĀ IZMANTOT ŠO VEIDNI</a:t>
          </a:r>
        </a:p>
        <a:p>
          <a:pPr rtl="0"/>
          <a:endParaRPr lang="en-US">
            <a:solidFill>
              <a:schemeClr val="tx2"/>
            </a:solidFill>
            <a:effectLst/>
            <a:latin typeface="Microsoft Sans Serif" panose="020B0604020202020204" pitchFamily="34" charset="0"/>
          </a:endParaRPr>
        </a:p>
        <a:p>
          <a:pPr rtl="0"/>
          <a:r>
            <a:rPr lang="lv" sz="1100">
              <a:solidFill>
                <a:schemeClr val="tx2"/>
              </a:solidFill>
              <a:effectLst/>
              <a:latin typeface="Microsoft Sans Serif" panose="020B0604020202020204" pitchFamily="34" charset="0"/>
              <a:ea typeface="+mn-ea"/>
              <a:cs typeface="+mn-cs"/>
            </a:rPr>
            <a:t>Ievadiet datus baltajās šūnās darblapās PLĀNOTIE IZDEVUMI un FAKTISKIE IZDEVUMI, un IZDEVUMU NOVIRZES un IZDEVUMU ANALĪZE tiks aprēķinātas jūsu vietā. Ja pievienojat rindu vienā lapā, </a:t>
          </a:r>
          <a:r>
            <a:rPr lang="lv" sz="1100" baseline="0">
              <a:solidFill>
                <a:schemeClr val="tx2"/>
              </a:solidFill>
              <a:effectLst/>
              <a:latin typeface="Microsoft Sans Serif" panose="020B0604020202020204" pitchFamily="34" charset="0"/>
              <a:ea typeface="+mn-ea"/>
              <a:cs typeface="+mn-cs"/>
            </a:rPr>
            <a:t>pārējām lapām ir jābūt atbilstošām.</a:t>
          </a:r>
          <a:endParaRPr lang="en-US" sz="1100">
            <a:solidFill>
              <a:schemeClr val="tx2"/>
            </a:solidFill>
            <a:latin typeface="Microsoft Sans Serif" panose="020B0604020202020204" pitchFamily="34" charset="0"/>
          </a:endParaRPr>
        </a:p>
      </xdr:txBody>
    </xdr:sp>
    <xdr:clientData fPrintsWithSheet="0"/>
  </xdr:twoCellAnchor>
  <xdr:twoCellAnchor editAs="oneCell">
    <xdr:from>
      <xdr:col>13</xdr:col>
      <xdr:colOff>174906</xdr:colOff>
      <xdr:row>1</xdr:row>
      <xdr:rowOff>8009</xdr:rowOff>
    </xdr:from>
    <xdr:to>
      <xdr:col>14</xdr:col>
      <xdr:colOff>1286672</xdr:colOff>
      <xdr:row>2</xdr:row>
      <xdr:rowOff>133351</xdr:rowOff>
    </xdr:to>
    <xdr:pic>
      <xdr:nvPicPr>
        <xdr:cNvPr id="9" name="Attēls 18">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6386456" y="312809"/>
          <a:ext cx="2311916" cy="696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175703</xdr:colOff>
      <xdr:row>1</xdr:row>
      <xdr:rowOff>11120</xdr:rowOff>
    </xdr:from>
    <xdr:to>
      <xdr:col>14</xdr:col>
      <xdr:colOff>1266825</xdr:colOff>
      <xdr:row>2</xdr:row>
      <xdr:rowOff>130240</xdr:rowOff>
    </xdr:to>
    <xdr:pic>
      <xdr:nvPicPr>
        <xdr:cNvPr id="6" name="Attēls 18">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6787303" y="315920"/>
          <a:ext cx="2291272" cy="690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163147</xdr:colOff>
      <xdr:row>1</xdr:row>
      <xdr:rowOff>424</xdr:rowOff>
    </xdr:from>
    <xdr:to>
      <xdr:col>14</xdr:col>
      <xdr:colOff>1228725</xdr:colOff>
      <xdr:row>2</xdr:row>
      <xdr:rowOff>129072</xdr:rowOff>
    </xdr:to>
    <xdr:pic>
      <xdr:nvPicPr>
        <xdr:cNvPr id="6" name="Attēls 18">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6774747" y="305224"/>
          <a:ext cx="2322878" cy="700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11</xdr:row>
      <xdr:rowOff>57150</xdr:rowOff>
    </xdr:from>
    <xdr:to>
      <xdr:col>5</xdr:col>
      <xdr:colOff>904875</xdr:colOff>
      <xdr:row>11</xdr:row>
      <xdr:rowOff>3714751</xdr:rowOff>
    </xdr:to>
    <xdr:graphicFrame macro="">
      <xdr:nvGraphicFramePr>
        <xdr:cNvPr id="13" name="Faktisko_izdevumu_diagramma" descr="Pie chart showing actual expenses incurred on various categories">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12</xdr:row>
      <xdr:rowOff>200025</xdr:rowOff>
    </xdr:from>
    <xdr:to>
      <xdr:col>5</xdr:col>
      <xdr:colOff>1587500</xdr:colOff>
      <xdr:row>16</xdr:row>
      <xdr:rowOff>5778</xdr:rowOff>
    </xdr:to>
    <xdr:graphicFrame macro="">
      <xdr:nvGraphicFramePr>
        <xdr:cNvPr id="8" name="Ikmēneša_izdevumu_diagramma"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11</xdr:row>
      <xdr:rowOff>76201</xdr:rowOff>
    </xdr:from>
    <xdr:to>
      <xdr:col>3</xdr:col>
      <xdr:colOff>504825</xdr:colOff>
      <xdr:row>11</xdr:row>
      <xdr:rowOff>3733801</xdr:rowOff>
    </xdr:to>
    <xdr:graphicFrame macro="">
      <xdr:nvGraphicFramePr>
        <xdr:cNvPr id="12" name="Plānoto_izdevumu_diagramma" descr="Pie chart showing planned expenses on various categorie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126375</xdr:colOff>
      <xdr:row>0</xdr:row>
      <xdr:rowOff>293355</xdr:rowOff>
    </xdr:from>
    <xdr:to>
      <xdr:col>5</xdr:col>
      <xdr:colOff>2028815</xdr:colOff>
      <xdr:row>1</xdr:row>
      <xdr:rowOff>561975</xdr:rowOff>
    </xdr:to>
    <xdr:pic>
      <xdr:nvPicPr>
        <xdr:cNvPr id="9" name="Attēls 18">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4" cstate="print">
          <a:biLevel thresh="25000"/>
          <a:extLst>
            <a:ext uri="{28A0092B-C50C-407E-A947-70E740481C1C}">
              <a14:useLocalDpi xmlns:a14="http://schemas.microsoft.com/office/drawing/2010/main" val="0"/>
            </a:ext>
          </a:extLst>
        </a:blip>
        <a:stretch>
          <a:fillRect/>
        </a:stretch>
      </xdr:blipFill>
      <xdr:spPr bwMode="auto">
        <a:xfrm>
          <a:off x="6898650" y="293355"/>
          <a:ext cx="1902440" cy="57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roja_plāns" displayName="Biroja_plāns" ref="B10:O19" totalsRowCount="1" headerRowDxfId="455" totalsRowDxfId="452" headerRowBorderDxfId="454" tableBorderDxfId="453" totalsRowBorderDxfId="451">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Biroja izmaksas" totalsRowLabel="Starpsumma" dataDxfId="27" totalsRowDxfId="26"/>
    <tableColumn id="2" xr3:uid="{00000000-0010-0000-0000-000002000000}" name="Jan" totalsRowFunction="sum" dataDxfId="25" totalsRowDxfId="24"/>
    <tableColumn id="3" xr3:uid="{00000000-0010-0000-0000-000003000000}" name="Feb" totalsRowFunction="sum" dataDxfId="23" totalsRowDxfId="22"/>
    <tableColumn id="4" xr3:uid="{00000000-0010-0000-0000-000004000000}" name="Mar" totalsRowFunction="sum" dataDxfId="21" totalsRowDxfId="20"/>
    <tableColumn id="5" xr3:uid="{00000000-0010-0000-0000-000005000000}" name="Apr" totalsRowFunction="sum" dataDxfId="19" totalsRowDxfId="18"/>
    <tableColumn id="6" xr3:uid="{00000000-0010-0000-0000-000006000000}" name="Maijs" totalsRowFunction="sum" dataDxfId="17" totalsRowDxfId="16"/>
    <tableColumn id="7" xr3:uid="{00000000-0010-0000-0000-000007000000}" name="Jūn" totalsRowFunction="sum" dataDxfId="15" totalsRowDxfId="14"/>
    <tableColumn id="8" xr3:uid="{00000000-0010-0000-0000-000008000000}" name="Jūl" totalsRowFunction="sum" dataDxfId="13" totalsRowDxfId="12"/>
    <tableColumn id="9" xr3:uid="{00000000-0010-0000-0000-000009000000}" name="Aug" totalsRowFunction="sum" dataDxfId="11" totalsRowDxfId="10"/>
    <tableColumn id="10" xr3:uid="{00000000-0010-0000-0000-00000A000000}" name="Sep" totalsRowFunction="sum" dataDxfId="9" totalsRowDxfId="8"/>
    <tableColumn id="11" xr3:uid="{00000000-0010-0000-0000-00000B000000}" name="Okt" totalsRowFunction="sum" dataDxfId="7" totalsRowDxfId="6"/>
    <tableColumn id="12" xr3:uid="{00000000-0010-0000-0000-00000C000000}" name="Nov" totalsRowFunction="sum" dataDxfId="5" totalsRowDxfId="4"/>
    <tableColumn id="13" xr3:uid="{00000000-0010-0000-0000-00000D000000}" name="Dec" totalsRowFunction="sum" dataDxfId="3" totalsRowDxfId="2"/>
    <tableColumn id="14" xr3:uid="{00000000-0010-0000-0000-00000E000000}" name="GADS" totalsRowFunction="sum" dataDxfId="1" totalsRowDxfId="0">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Šajā tabulā ievadiet plānotās biroja ikmēneša izmaksas. Kopsumma tiek automātiski aprēķināta beigā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Kopējās_faktiskās_izmaksas" displayName="Kopējās_faktiskās_izmaksas" ref="B35:O37" totalsRowShown="0" headerRowDxfId="201" dataDxfId="200" tableBorderDxfId="199">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KOPĒJIE plānotie izdevumi" dataDxfId="198"/>
    <tableColumn id="2" xr3:uid="{ED08B701-BD0B-43EA-B6B5-8B23D583D505}" name="Jan" dataDxfId="197">
      <calculatedColumnFormula>SUM($C35:C$36)</calculatedColumnFormula>
    </tableColumn>
    <tableColumn id="3" xr3:uid="{953C450B-5235-4234-924F-53796609C439}" name="Feb" dataDxfId="196">
      <calculatedColumnFormula>SUM($C35:D$36)</calculatedColumnFormula>
    </tableColumn>
    <tableColumn id="4" xr3:uid="{A434CE91-3696-411F-8418-02228D13F12E}" name="Mar" dataDxfId="195">
      <calculatedColumnFormula>SUM($C35:E$36)</calculatedColumnFormula>
    </tableColumn>
    <tableColumn id="5" xr3:uid="{1E74C645-B91F-4CDB-9F55-6FEC8EAB0A64}" name="Apr" dataDxfId="194">
      <calculatedColumnFormula>SUM($C35:F$36)</calculatedColumnFormula>
    </tableColumn>
    <tableColumn id="6" xr3:uid="{A3B698F1-9EF3-489A-A70E-8E760D6B713B}" name="Maijs" dataDxfId="193">
      <calculatedColumnFormula>SUM($C35:G$36)</calculatedColumnFormula>
    </tableColumn>
    <tableColumn id="7" xr3:uid="{6CEDC80B-5635-47E7-AA54-EBD827095F7C}" name="Jūn" dataDxfId="192">
      <calculatedColumnFormula>SUM($C35:H$36)</calculatedColumnFormula>
    </tableColumn>
    <tableColumn id="8" xr3:uid="{A73C88FE-0ABF-4134-B6B0-043ECC9295D4}" name="Jūl" dataDxfId="191">
      <calculatedColumnFormula>SUM($C35:I$36)</calculatedColumnFormula>
    </tableColumn>
    <tableColumn id="9" xr3:uid="{62119987-B16F-44A1-B80E-29460A9513CD}" name="Aug" dataDxfId="190">
      <calculatedColumnFormula>SUM($C35:J$36)</calculatedColumnFormula>
    </tableColumn>
    <tableColumn id="10" xr3:uid="{C84A40CE-DC4A-442E-883F-891CA5A9A166}" name="Sep" dataDxfId="189">
      <calculatedColumnFormula>SUM($C35:K$36)</calculatedColumnFormula>
    </tableColumn>
    <tableColumn id="11" xr3:uid="{4DB975F1-C294-416D-81FB-A8070CC2C3BC}" name="Okt" dataDxfId="188">
      <calculatedColumnFormula>SUM($C35:L$36)</calculatedColumnFormula>
    </tableColumn>
    <tableColumn id="12" xr3:uid="{BC57DA11-9B5C-452D-8026-EF863D07E32E}" name="Nov" dataDxfId="187">
      <calculatedColumnFormula>SUM($C35:M$36)</calculatedColumnFormula>
    </tableColumn>
    <tableColumn id="13" xr3:uid="{904E02FB-FEA8-49B0-ABA0-9B659A7720D8}" name="Dec" dataDxfId="186">
      <calculatedColumnFormula>SUM($C35:N$36)</calculatedColumnFormula>
    </tableColumn>
    <tableColumn id="14" xr3:uid="{8C10E0BB-4735-4718-9538-C4AFB616D92A}" name="Gads" dataDxfId="185"/>
  </tableColumns>
  <tableStyleInfo name="TableStyleMedium1" showFirstColumn="1" showLastColumn="0" showRowStripes="0" showColumnStripes="0"/>
  <extLst>
    <ext xmlns:x14="http://schemas.microsoft.com/office/spreadsheetml/2009/9/main" uri="{504A1905-F514-4f6f-8877-14C23A59335A}">
      <x14:table altTextSummary="Ikmēneša un kopējie faktiskie izdevumi tiek automātiski aprēķināti šajā tabulā"/>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arbinieku_vērtību_novirzes" displayName="Darbinieku_vērtību_novirzes" ref="B5:O8" totalsRowCount="1" headerRowDxfId="184" totalsRowDxfId="181" headerRowBorderDxfId="183" tableBorderDxfId="182" totalsRowBorderDxfId="180">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Darbinieku izmaksas" totalsRowLabel="Starpsumma" dataDxfId="179" totalsRowDxfId="178"/>
    <tableColumn id="2" xr3:uid="{00000000-0010-0000-0800-000002000000}" name="Jan" totalsRowFunction="sum" dataDxfId="177" totalsRowDxfId="176">
      <calculatedColumnFormula>INDEX(Darbinieku_plāns[],MATCH(INDEX(Darbinieku_vērtību_novirzes[],ROW()-ROW(Darbinieku_vērtību_novirzes[[#Headers],[Jan]]),1),INDEX(Darbinieku_plāns[],,1),0),MATCH(Darbinieku_vērtību_novirzes[[#Headers],[Jan]],Darbinieku_plāns[#Headers],0))-INDEX(Darbinieku_faktiskās_izmaksas[],MATCH(INDEX(Darbinieku_vērtību_novirzes[],ROW()-ROW(Darbinieku_vērtību_novirzes[[#Headers],[Jan]]),1),INDEX(Darbinieku_plāns[],,1),0),MATCH(Darbinieku_vērtību_novirzes[[#Headers],[Jan]],Darbinieku_faktiskās_izmaksas[#Headers],0))</calculatedColumnFormula>
    </tableColumn>
    <tableColumn id="3" xr3:uid="{00000000-0010-0000-0800-000003000000}" name="Feb" totalsRowFunction="sum" dataDxfId="175" totalsRowDxfId="174">
      <calculatedColumnFormula>INDEX(Darbinieku_plāns[],MATCH(INDEX(Darbinieku_vērtību_novirzes[],ROW()-ROW(Darbinieku_vērtību_novirzes[[#Headers],[Feb]]),1),INDEX(Darbinieku_plāns[],,1),0),MATCH(Darbinieku_vērtību_novirzes[[#Headers],[Feb]],Darbinieku_plāns[#Headers],0))-INDEX(Darbinieku_faktiskās_izmaksas[],MATCH(INDEX(Darbinieku_vērtību_novirzes[],ROW()-ROW(Darbinieku_vērtību_novirzes[[#Headers],[Feb]]),1),INDEX(Darbinieku_plāns[],,1),0),MATCH(Darbinieku_vērtību_novirzes[[#Headers],[Feb]],Darbinieku_faktiskās_izmaksas[#Headers],0))</calculatedColumnFormula>
    </tableColumn>
    <tableColumn id="4" xr3:uid="{00000000-0010-0000-0800-000004000000}" name="Mar" totalsRowFunction="sum" dataDxfId="173" totalsRowDxfId="172">
      <calculatedColumnFormula>INDEX(Darbinieku_plāns[],MATCH(INDEX(Darbinieku_vērtību_novirzes[],ROW()-ROW(Darbinieku_vērtību_novirzes[[#Headers],[Mar]]),1),INDEX(Darbinieku_plāns[],,1),0),MATCH(Darbinieku_vērtību_novirzes[[#Headers],[Mar]],Darbinieku_plāns[#Headers],0))-INDEX(Darbinieku_faktiskās_izmaksas[],MATCH(INDEX(Darbinieku_vērtību_novirzes[],ROW()-ROW(Darbinieku_vērtību_novirzes[[#Headers],[Mar]]),1),INDEX(Darbinieku_plāns[],,1),0),MATCH(Darbinieku_vērtību_novirzes[[#Headers],[Mar]],Darbinieku_faktiskās_izmaksas[#Headers],0))</calculatedColumnFormula>
    </tableColumn>
    <tableColumn id="5" xr3:uid="{00000000-0010-0000-0800-000005000000}" name="Apr" totalsRowFunction="sum" dataDxfId="171" totalsRowDxfId="170">
      <calculatedColumnFormula>INDEX(Darbinieku_plāns[],MATCH(INDEX(Darbinieku_vērtību_novirzes[],ROW()-ROW(Darbinieku_vērtību_novirzes[[#Headers],[Apr]]),1),INDEX(Darbinieku_plāns[],,1),0),MATCH(Darbinieku_vērtību_novirzes[[#Headers],[Apr]],Darbinieku_plāns[#Headers],0))-INDEX(Darbinieku_faktiskās_izmaksas[],MATCH(INDEX(Darbinieku_vērtību_novirzes[],ROW()-ROW(Darbinieku_vērtību_novirzes[[#Headers],[Apr]]),1),INDEX(Darbinieku_plāns[],,1),0),MATCH(Darbinieku_vērtību_novirzes[[#Headers],[Apr]],Darbinieku_faktiskās_izmaksas[#Headers],0))</calculatedColumnFormula>
    </tableColumn>
    <tableColumn id="6" xr3:uid="{00000000-0010-0000-0800-000006000000}" name="Maijs" totalsRowFunction="sum" dataDxfId="169" totalsRowDxfId="168">
      <calculatedColumnFormula>INDEX(Darbinieku_plāns[],MATCH(INDEX(Darbinieku_vērtību_novirzes[],ROW()-ROW(Darbinieku_vērtību_novirzes[[#Headers],[Maijs]]),1),INDEX(Darbinieku_plāns[],,1),0),MATCH(Darbinieku_vērtību_novirzes[[#Headers],[Maijs]],Darbinieku_plāns[#Headers],0))-INDEX(Darbinieku_faktiskās_izmaksas[],MATCH(INDEX(Darbinieku_vērtību_novirzes[],ROW()-ROW(Darbinieku_vērtību_novirzes[[#Headers],[Maijs]]),1),INDEX(Darbinieku_plāns[],,1),0),MATCH(Darbinieku_vērtību_novirzes[[#Headers],[Maijs]],Darbinieku_faktiskās_izmaksas[#Headers],0))</calculatedColumnFormula>
    </tableColumn>
    <tableColumn id="7" xr3:uid="{00000000-0010-0000-0800-000007000000}" name="Jūn" totalsRowFunction="sum" dataDxfId="167" totalsRowDxfId="166">
      <calculatedColumnFormula>INDEX(Darbinieku_plāns[],MATCH(INDEX(Darbinieku_vērtību_novirzes[],ROW()-ROW(Darbinieku_vērtību_novirzes[[#Headers],[Jūn]]),1),INDEX(Darbinieku_plāns[],,1),0),MATCH(Darbinieku_vērtību_novirzes[[#Headers],[Jūn]],Darbinieku_plāns[#Headers],0))-INDEX(Darbinieku_faktiskās_izmaksas[],MATCH(INDEX(Darbinieku_vērtību_novirzes[],ROW()-ROW(Darbinieku_vērtību_novirzes[[#Headers],[Jūn]]),1),INDEX(Darbinieku_plāns[],,1),0),MATCH(Darbinieku_vērtību_novirzes[[#Headers],[Jūn]],Darbinieku_faktiskās_izmaksas[#Headers],0))</calculatedColumnFormula>
    </tableColumn>
    <tableColumn id="8" xr3:uid="{00000000-0010-0000-0800-000008000000}" name="Jūl" totalsRowFunction="sum" dataDxfId="165" totalsRowDxfId="164">
      <calculatedColumnFormula>INDEX(Darbinieku_plāns[],MATCH(INDEX(Darbinieku_vērtību_novirzes[],ROW()-ROW(Darbinieku_vērtību_novirzes[[#Headers],[Jūl]]),1),INDEX(Darbinieku_plāns[],,1),0),MATCH(Darbinieku_vērtību_novirzes[[#Headers],[Jūl]],Darbinieku_plāns[#Headers],0))-INDEX(Darbinieku_faktiskās_izmaksas[],MATCH(INDEX(Darbinieku_vērtību_novirzes[],ROW()-ROW(Darbinieku_vērtību_novirzes[[#Headers],[Jūl]]),1),INDEX(Darbinieku_plāns[],,1),0),MATCH(Darbinieku_vērtību_novirzes[[#Headers],[Jūl]],Darbinieku_faktiskās_izmaksas[#Headers],0))</calculatedColumnFormula>
    </tableColumn>
    <tableColumn id="9" xr3:uid="{00000000-0010-0000-0800-000009000000}" name="Aug" totalsRowFunction="sum" dataDxfId="163" totalsRowDxfId="162">
      <calculatedColumnFormula>INDEX(Darbinieku_plāns[],MATCH(INDEX(Darbinieku_vērtību_novirzes[],ROW()-ROW(Darbinieku_vērtību_novirzes[[#Headers],[Aug]]),1),INDEX(Darbinieku_plāns[],,1),0),MATCH(Darbinieku_vērtību_novirzes[[#Headers],[Aug]],Darbinieku_plāns[#Headers],0))-INDEX(Darbinieku_faktiskās_izmaksas[],MATCH(INDEX(Darbinieku_vērtību_novirzes[],ROW()-ROW(Darbinieku_vērtību_novirzes[[#Headers],[Aug]]),1),INDEX(Darbinieku_plāns[],,1),0),MATCH(Darbinieku_vērtību_novirzes[[#Headers],[Aug]],Darbinieku_faktiskās_izmaksas[#Headers],0))</calculatedColumnFormula>
    </tableColumn>
    <tableColumn id="10" xr3:uid="{00000000-0010-0000-0800-00000A000000}" name="Sep" totalsRowFunction="sum" dataDxfId="161" totalsRowDxfId="160">
      <calculatedColumnFormula>INDEX(Darbinieku_plāns[],MATCH(INDEX(Darbinieku_vērtību_novirzes[],ROW()-ROW(Darbinieku_vērtību_novirzes[[#Headers],[Sep]]),1),INDEX(Darbinieku_plāns[],,1),0),MATCH(Darbinieku_vērtību_novirzes[[#Headers],[Sep]],Darbinieku_plāns[#Headers],0))-INDEX(Darbinieku_faktiskās_izmaksas[],MATCH(INDEX(Darbinieku_vērtību_novirzes[],ROW()-ROW(Darbinieku_vērtību_novirzes[[#Headers],[Sep]]),1),INDEX(Darbinieku_plāns[],,1),0),MATCH(Darbinieku_vērtību_novirzes[[#Headers],[Sep]],Darbinieku_faktiskās_izmaksas[#Headers],0))</calculatedColumnFormula>
    </tableColumn>
    <tableColumn id="11" xr3:uid="{00000000-0010-0000-0800-00000B000000}" name="Okt" totalsRowFunction="sum" dataDxfId="159" totalsRowDxfId="158">
      <calculatedColumnFormula>INDEX(Darbinieku_plāns[],MATCH(INDEX(Darbinieku_vērtību_novirzes[],ROW()-ROW(Darbinieku_vērtību_novirzes[[#Headers],[Okt]]),1),INDEX(Darbinieku_plāns[],,1),0),MATCH(Darbinieku_vērtību_novirzes[[#Headers],[Okt]],Darbinieku_plāns[#Headers],0))-INDEX(Darbinieku_faktiskās_izmaksas[],MATCH(INDEX(Darbinieku_vērtību_novirzes[],ROW()-ROW(Darbinieku_vērtību_novirzes[[#Headers],[Okt]]),1),INDEX(Darbinieku_plāns[],,1),0),MATCH(Darbinieku_vērtību_novirzes[[#Headers],[Okt]],Darbinieku_faktiskās_izmaksas[#Headers],0))</calculatedColumnFormula>
    </tableColumn>
    <tableColumn id="12" xr3:uid="{00000000-0010-0000-0800-00000C000000}" name="Nov" totalsRowFunction="sum" dataDxfId="157" totalsRowDxfId="156">
      <calculatedColumnFormula>INDEX(Darbinieku_plāns[],MATCH(INDEX(Darbinieku_vērtību_novirzes[],ROW()-ROW(Darbinieku_vērtību_novirzes[[#Headers],[Nov]]),1),INDEX(Darbinieku_plāns[],,1),0),MATCH(Darbinieku_vērtību_novirzes[[#Headers],[Nov]],Darbinieku_plāns[#Headers],0))-INDEX(Darbinieku_faktiskās_izmaksas[],MATCH(INDEX(Darbinieku_vērtību_novirzes[],ROW()-ROW(Darbinieku_vērtību_novirzes[[#Headers],[Nov]]),1),INDEX(Darbinieku_plāns[],,1),0),MATCH(Darbinieku_vērtību_novirzes[[#Headers],[Nov]],Darbinieku_faktiskās_izmaksas[#Headers],0))</calculatedColumnFormula>
    </tableColumn>
    <tableColumn id="13" xr3:uid="{00000000-0010-0000-0800-00000D000000}" name="Dec" totalsRowFunction="sum" dataDxfId="155" totalsRowDxfId="154">
      <calculatedColumnFormula>INDEX(Darbinieku_plāns[],MATCH(INDEX(Darbinieku_vērtību_novirzes[],ROW()-ROW(Darbinieku_vērtību_novirzes[[#Headers],[Dec]]),1),INDEX(Darbinieku_plāns[],,1),0),MATCH(Darbinieku_vērtību_novirzes[[#Headers],[Dec]],Darbinieku_plāns[#Headers],0))-INDEX(Darbinieku_faktiskās_izmaksas[],MATCH(INDEX(Darbinieku_vērtību_novirzes[],ROW()-ROW(Darbinieku_vērtību_novirzes[[#Headers],[Dec]]),1),INDEX(Darbinieku_plāns[],,1),0),MATCH(Darbinieku_vērtību_novirzes[[#Headers],[Dec]],Darbinieku_faktiskās_izmaksas[#Headers],0))</calculatedColumnFormula>
    </tableColumn>
    <tableColumn id="14" xr3:uid="{00000000-0010-0000-0800-00000E000000}" name="GADS" totalsRowFunction="sum" dataDxfId="153" totalsRowDxfId="152">
      <calculatedColumnFormula>SUM(Darbinieku_vērtību_novirzes[[#This Row],[Jan]:[Dec]])</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Novirze darbinieku izmaksās mēnesī tiek automātiski aprēķināta šajā tabulā"/>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Biroja_vērtību_novirzes" displayName="Biroja_vērtību_novirzes" ref="B10:O19" totalsRowCount="1" headerRowDxfId="151" totalsRowDxfId="148" headerRowBorderDxfId="150" tableBorderDxfId="149" totalsRowBorderDxfId="147">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iroja izmaksas" totalsRowLabel="Starpsumma" dataDxfId="146" totalsRowDxfId="145"/>
    <tableColumn id="2" xr3:uid="{00000000-0010-0000-0900-000002000000}" name="Jan" totalsRowFunction="sum" dataDxfId="144" totalsRowDxfId="143">
      <calculatedColumnFormula>INDEX(Biroja_plāns[],MATCH(INDEX(Biroja_vērtību_novirzes[],ROW()-ROW(Biroja_vērtību_novirzes[[#Headers],[Jan]]),1),INDEX(Biroja_plāns[],,1),0),MATCH(Biroja_vērtību_novirzes[[#Headers],[Jan]],Biroja_plāns[#Headers],0))-INDEX(Biroja_faktiskās_izmaksas[],MATCH(INDEX(Biroja_vērtību_novirzes[],ROW()-ROW(Biroja_vērtību_novirzes[[#Headers],[Jan]]),1),INDEX(Biroja_plāns[],,1),0),MATCH(Biroja_vērtību_novirzes[[#Headers],[Jan]],Biroja_faktiskās_izmaksas[#Headers],0))</calculatedColumnFormula>
    </tableColumn>
    <tableColumn id="3" xr3:uid="{00000000-0010-0000-0900-000003000000}" name="Feb" totalsRowFunction="sum" dataDxfId="142" totalsRowDxfId="141">
      <calculatedColumnFormula>INDEX(Biroja_plāns[],MATCH(INDEX(Biroja_vērtību_novirzes[],ROW()-ROW(Biroja_vērtību_novirzes[[#Headers],[Feb]]),1),INDEX(Biroja_plāns[],,1),0),MATCH(Biroja_vērtību_novirzes[[#Headers],[Feb]],Biroja_plāns[#Headers],0))-INDEX(Biroja_faktiskās_izmaksas[],MATCH(INDEX(Biroja_vērtību_novirzes[],ROW()-ROW(Biroja_vērtību_novirzes[[#Headers],[Feb]]),1),INDEX(Biroja_plāns[],,1),0),MATCH(Biroja_vērtību_novirzes[[#Headers],[Feb]],Biroja_faktiskās_izmaksas[#Headers],0))</calculatedColumnFormula>
    </tableColumn>
    <tableColumn id="4" xr3:uid="{00000000-0010-0000-0900-000004000000}" name="Mar" totalsRowFunction="sum" dataDxfId="140" totalsRowDxfId="139">
      <calculatedColumnFormula>INDEX(Biroja_plāns[],MATCH(INDEX(Biroja_vērtību_novirzes[],ROW()-ROW(Biroja_vērtību_novirzes[[#Headers],[Mar]]),1),INDEX(Biroja_plāns[],,1),0),MATCH(Biroja_vērtību_novirzes[[#Headers],[Mar]],Biroja_plāns[#Headers],0))-INDEX(Biroja_faktiskās_izmaksas[],MATCH(INDEX(Biroja_vērtību_novirzes[],ROW()-ROW(Biroja_vērtību_novirzes[[#Headers],[Mar]]),1),INDEX(Biroja_plāns[],,1),0),MATCH(Biroja_vērtību_novirzes[[#Headers],[Mar]],Biroja_faktiskās_izmaksas[#Headers],0))</calculatedColumnFormula>
    </tableColumn>
    <tableColumn id="5" xr3:uid="{00000000-0010-0000-0900-000005000000}" name="Apr" totalsRowFunction="sum" dataDxfId="138" totalsRowDxfId="137">
      <calculatedColumnFormula>INDEX(Biroja_plāns[],MATCH(INDEX(Biroja_vērtību_novirzes[],ROW()-ROW(Biroja_vērtību_novirzes[[#Headers],[Apr]]),1),INDEX(Biroja_plāns[],,1),0),MATCH(Biroja_vērtību_novirzes[[#Headers],[Apr]],Biroja_plāns[#Headers],0))-INDEX(Biroja_faktiskās_izmaksas[],MATCH(INDEX(Biroja_vērtību_novirzes[],ROW()-ROW(Biroja_vērtību_novirzes[[#Headers],[Apr]]),1),INDEX(Biroja_plāns[],,1),0),MATCH(Biroja_vērtību_novirzes[[#Headers],[Apr]],Biroja_faktiskās_izmaksas[#Headers],0))</calculatedColumnFormula>
    </tableColumn>
    <tableColumn id="6" xr3:uid="{00000000-0010-0000-0900-000006000000}" name="Maijs" totalsRowFunction="sum" dataDxfId="136" totalsRowDxfId="135">
      <calculatedColumnFormula>INDEX(Biroja_plāns[],MATCH(INDEX(Biroja_vērtību_novirzes[],ROW()-ROW(Biroja_vērtību_novirzes[[#Headers],[Maijs]]),1),INDEX(Biroja_plāns[],,1),0),MATCH(Biroja_vērtību_novirzes[[#Headers],[Maijs]],Biroja_plāns[#Headers],0))-INDEX(Biroja_faktiskās_izmaksas[],MATCH(INDEX(Biroja_vērtību_novirzes[],ROW()-ROW(Biroja_vērtību_novirzes[[#Headers],[Maijs]]),1),INDEX(Biroja_plāns[],,1),0),MATCH(Biroja_vērtību_novirzes[[#Headers],[Maijs]],Biroja_faktiskās_izmaksas[#Headers],0))</calculatedColumnFormula>
    </tableColumn>
    <tableColumn id="7" xr3:uid="{00000000-0010-0000-0900-000007000000}" name="Jūn" totalsRowFunction="sum" dataDxfId="134" totalsRowDxfId="133">
      <calculatedColumnFormula>INDEX(Biroja_plāns[],MATCH(INDEX(Biroja_vērtību_novirzes[],ROW()-ROW(Biroja_vērtību_novirzes[[#Headers],[Jūn]]),1),INDEX(Biroja_plāns[],,1),0),MATCH(Biroja_vērtību_novirzes[[#Headers],[Jūn]],Biroja_plāns[#Headers],0))-INDEX(Biroja_faktiskās_izmaksas[],MATCH(INDEX(Biroja_vērtību_novirzes[],ROW()-ROW(Biroja_vērtību_novirzes[[#Headers],[Jūn]]),1),INDEX(Biroja_plāns[],,1),0),MATCH(Biroja_vērtību_novirzes[[#Headers],[Jūn]],Biroja_faktiskās_izmaksas[#Headers],0))</calculatedColumnFormula>
    </tableColumn>
    <tableColumn id="8" xr3:uid="{00000000-0010-0000-0900-000008000000}" name="Jūl" totalsRowFunction="sum" dataDxfId="132" totalsRowDxfId="131">
      <calculatedColumnFormula>INDEX(Biroja_plāns[],MATCH(INDEX(Biroja_vērtību_novirzes[],ROW()-ROW(Biroja_vērtību_novirzes[[#Headers],[Jūl]]),1),INDEX(Biroja_plāns[],,1),0),MATCH(Biroja_vērtību_novirzes[[#Headers],[Jūl]],Biroja_plāns[#Headers],0))-INDEX(Biroja_faktiskās_izmaksas[],MATCH(INDEX(Biroja_vērtību_novirzes[],ROW()-ROW(Biroja_vērtību_novirzes[[#Headers],[Jūl]]),1),INDEX(Biroja_plāns[],,1),0),MATCH(Biroja_vērtību_novirzes[[#Headers],[Jūl]],Biroja_faktiskās_izmaksas[#Headers],0))</calculatedColumnFormula>
    </tableColumn>
    <tableColumn id="9" xr3:uid="{00000000-0010-0000-0900-000009000000}" name="Aug" totalsRowFunction="sum" dataDxfId="130" totalsRowDxfId="129">
      <calculatedColumnFormula>INDEX(Biroja_plāns[],MATCH(INDEX(Biroja_vērtību_novirzes[],ROW()-ROW(Biroja_vērtību_novirzes[[#Headers],[Aug]]),1),INDEX(Biroja_plāns[],,1),0),MATCH(Biroja_vērtību_novirzes[[#Headers],[Aug]],Biroja_plāns[#Headers],0))-INDEX(Biroja_faktiskās_izmaksas[],MATCH(INDEX(Biroja_vērtību_novirzes[],ROW()-ROW(Biroja_vērtību_novirzes[[#Headers],[Aug]]),1),INDEX(Biroja_plāns[],,1),0),MATCH(Biroja_vērtību_novirzes[[#Headers],[Aug]],Biroja_faktiskās_izmaksas[#Headers],0))</calculatedColumnFormula>
    </tableColumn>
    <tableColumn id="10" xr3:uid="{00000000-0010-0000-0900-00000A000000}" name="Sep" totalsRowFunction="sum" dataDxfId="128" totalsRowDxfId="127">
      <calculatedColumnFormula>INDEX(Biroja_plāns[],MATCH(INDEX(Biroja_vērtību_novirzes[],ROW()-ROW(Biroja_vērtību_novirzes[[#Headers],[Sep]]),1),INDEX(Biroja_plāns[],,1),0),MATCH(Biroja_vērtību_novirzes[[#Headers],[Sep]],Biroja_plāns[#Headers],0))-INDEX(Biroja_faktiskās_izmaksas[],MATCH(INDEX(Biroja_vērtību_novirzes[],ROW()-ROW(Biroja_vērtību_novirzes[[#Headers],[Sep]]),1),INDEX(Biroja_plāns[],,1),0),MATCH(Biroja_vērtību_novirzes[[#Headers],[Sep]],Biroja_faktiskās_izmaksas[#Headers],0))</calculatedColumnFormula>
    </tableColumn>
    <tableColumn id="11" xr3:uid="{00000000-0010-0000-0900-00000B000000}" name="Okt" totalsRowFunction="sum" dataDxfId="126" totalsRowDxfId="125">
      <calculatedColumnFormula>INDEX(Biroja_plāns[],MATCH(INDEX(Biroja_vērtību_novirzes[],ROW()-ROW(Biroja_vērtību_novirzes[[#Headers],[Okt]]),1),INDEX(Biroja_plāns[],,1),0),MATCH(Biroja_vērtību_novirzes[[#Headers],[Okt]],Biroja_plāns[#Headers],0))-INDEX(Biroja_faktiskās_izmaksas[],MATCH(INDEX(Biroja_vērtību_novirzes[],ROW()-ROW(Biroja_vērtību_novirzes[[#Headers],[Okt]]),1),INDEX(Biroja_plāns[],,1),0),MATCH(Biroja_vērtību_novirzes[[#Headers],[Okt]],Biroja_faktiskās_izmaksas[#Headers],0))</calculatedColumnFormula>
    </tableColumn>
    <tableColumn id="12" xr3:uid="{00000000-0010-0000-0900-00000C000000}" name="Nov" totalsRowFunction="sum" dataDxfId="124" totalsRowDxfId="123">
      <calculatedColumnFormula>INDEX(Biroja_plāns[],MATCH(INDEX(Biroja_vērtību_novirzes[],ROW()-ROW(Biroja_vērtību_novirzes[[#Headers],[Nov]]),1),INDEX(Biroja_plāns[],,1),0),MATCH(Biroja_vērtību_novirzes[[#Headers],[Nov]],Biroja_plāns[#Headers],0))-INDEX(Biroja_faktiskās_izmaksas[],MATCH(INDEX(Biroja_vērtību_novirzes[],ROW()-ROW(Biroja_vērtību_novirzes[[#Headers],[Nov]]),1),INDEX(Biroja_plāns[],,1),0),MATCH(Biroja_vērtību_novirzes[[#Headers],[Nov]],Biroja_faktiskās_izmaksas[#Headers],0))</calculatedColumnFormula>
    </tableColumn>
    <tableColumn id="13" xr3:uid="{00000000-0010-0000-0900-00000D000000}" name="Dec" totalsRowFunction="sum" dataDxfId="122" totalsRowDxfId="121">
      <calculatedColumnFormula>INDEX(Biroja_plāns[],MATCH(INDEX(Biroja_vērtību_novirzes[],ROW()-ROW(Biroja_vērtību_novirzes[[#Headers],[Dec]]),1),INDEX(Biroja_plāns[],,1),0),MATCH(Biroja_vērtību_novirzes[[#Headers],[Dec]],Biroja_plāns[#Headers],0))-INDEX(Biroja_faktiskās_izmaksas[],MATCH(INDEX(Biroja_vērtību_novirzes[],ROW()-ROW(Biroja_vērtību_novirzes[[#Headers],[Dec]]),1),INDEX(Biroja_plāns[],,1),0),MATCH(Biroja_vērtību_novirzes[[#Headers],[Dec]],Biroja_faktiskās_izmaksas[#Headers],0))</calculatedColumnFormula>
    </tableColumn>
    <tableColumn id="14" xr3:uid="{00000000-0010-0000-0900-00000E000000}" name="GADS" totalsRowFunction="sum" dataDxfId="120" totalsRowDxfId="119">
      <calculatedColumnFormula>SUM(Biroja_vērtību_novirzes[[#This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Novirze biroja izmaksās mēnesī tiek automātiski aprēķināta šajā tabulā"/>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Mārketinga_vērtību_novirzes" displayName="Mārketinga_vērtību_novirzes" ref="B21:O28" totalsRowCount="1" headerRowDxfId="118" totalsRowDxfId="115" headerRowBorderDxfId="117" tableBorderDxfId="116" totalsRowBorderDxfId="114">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Mārketinga izmaksas" totalsRowLabel="Starpsumma" dataDxfId="113" totalsRowDxfId="112"/>
    <tableColumn id="2" xr3:uid="{00000000-0010-0000-0A00-000002000000}" name="Jan" totalsRowFunction="sum" dataDxfId="111" totalsRowDxfId="110">
      <calculatedColumnFormula>INDEX(Mārketinga_plāns[],MATCH(INDEX(Mārketinga_vērtību_novirzes[],ROW()-ROW(Mārketinga_vērtību_novirzes[[#Headers],[Jan]]),1),INDEX(Mārketinga_plāns[],,1),0),MATCH(Mārketinga_vērtību_novirzes[[#Headers],[Jan]],Mārketinga_plāns[#Headers],0))-INDEX(Mārketinga_faktiskās_izmaksas[],MATCH(INDEX(Mārketinga_vērtību_novirzes[],ROW()-ROW(Mārketinga_vērtību_novirzes[[#Headers],[Jan]]),1),INDEX(Mārketinga_plāns[],,1),0),MATCH(Mārketinga_vērtību_novirzes[[#Headers],[Jan]],Mārketinga_faktiskās_izmaksas[#Headers],0))</calculatedColumnFormula>
    </tableColumn>
    <tableColumn id="3" xr3:uid="{00000000-0010-0000-0A00-000003000000}" name="Feb" totalsRowFunction="sum" dataDxfId="109" totalsRowDxfId="108">
      <calculatedColumnFormula>INDEX(Mārketinga_plāns[],MATCH(INDEX(Mārketinga_vērtību_novirzes[],ROW()-ROW(Mārketinga_vērtību_novirzes[[#Headers],[Feb]]),1),INDEX(Mārketinga_plāns[],,1),0),MATCH(Mārketinga_vērtību_novirzes[[#Headers],[Feb]],Mārketinga_plāns[#Headers],0))-INDEX(Mārketinga_faktiskās_izmaksas[],MATCH(INDEX(Mārketinga_vērtību_novirzes[],ROW()-ROW(Mārketinga_vērtību_novirzes[[#Headers],[Feb]]),1),INDEX(Mārketinga_plāns[],,1),0),MATCH(Mārketinga_vērtību_novirzes[[#Headers],[Feb]],Mārketinga_faktiskās_izmaksas[#Headers],0))</calculatedColumnFormula>
    </tableColumn>
    <tableColumn id="4" xr3:uid="{00000000-0010-0000-0A00-000004000000}" name="Mar" totalsRowFunction="sum" dataDxfId="107" totalsRowDxfId="106">
      <calculatedColumnFormula>INDEX(Mārketinga_plāns[],MATCH(INDEX(Mārketinga_vērtību_novirzes[],ROW()-ROW(Mārketinga_vērtību_novirzes[[#Headers],[Mar]]),1),INDEX(Mārketinga_plāns[],,1),0),MATCH(Mārketinga_vērtību_novirzes[[#Headers],[Mar]],Mārketinga_plāns[#Headers],0))-INDEX(Mārketinga_faktiskās_izmaksas[],MATCH(INDEX(Mārketinga_vērtību_novirzes[],ROW()-ROW(Mārketinga_vērtību_novirzes[[#Headers],[Mar]]),1),INDEX(Mārketinga_plāns[],,1),0),MATCH(Mārketinga_vērtību_novirzes[[#Headers],[Mar]],Mārketinga_faktiskās_izmaksas[#Headers],0))</calculatedColumnFormula>
    </tableColumn>
    <tableColumn id="5" xr3:uid="{00000000-0010-0000-0A00-000005000000}" name="Apr" totalsRowFunction="sum" dataDxfId="105" totalsRowDxfId="104">
      <calculatedColumnFormula>INDEX(Mārketinga_plāns[],MATCH(INDEX(Mārketinga_vērtību_novirzes[],ROW()-ROW(Mārketinga_vērtību_novirzes[[#Headers],[Apr]]),1),INDEX(Mārketinga_plāns[],,1),0),MATCH(Mārketinga_vērtību_novirzes[[#Headers],[Apr]],Mārketinga_plāns[#Headers],0))-INDEX(Mārketinga_faktiskās_izmaksas[],MATCH(INDEX(Mārketinga_vērtību_novirzes[],ROW()-ROW(Mārketinga_vērtību_novirzes[[#Headers],[Apr]]),1),INDEX(Mārketinga_plāns[],,1),0),MATCH(Mārketinga_vērtību_novirzes[[#Headers],[Apr]],Mārketinga_faktiskās_izmaksas[#Headers],0))</calculatedColumnFormula>
    </tableColumn>
    <tableColumn id="6" xr3:uid="{00000000-0010-0000-0A00-000006000000}" name="Maijs" totalsRowFunction="sum" dataDxfId="103" totalsRowDxfId="102">
      <calculatedColumnFormula>INDEX(Mārketinga_plāns[],MATCH(INDEX(Mārketinga_vērtību_novirzes[],ROW()-ROW(Mārketinga_vērtību_novirzes[[#Headers],[Maijs]]),1),INDEX(Mārketinga_plāns[],,1),0),MATCH(Mārketinga_vērtību_novirzes[[#Headers],[Maijs]],Mārketinga_plāns[#Headers],0))-INDEX(Mārketinga_faktiskās_izmaksas[],MATCH(INDEX(Mārketinga_vērtību_novirzes[],ROW()-ROW(Mārketinga_vērtību_novirzes[[#Headers],[Maijs]]),1),INDEX(Mārketinga_plāns[],,1),0),MATCH(Mārketinga_vērtību_novirzes[[#Headers],[Maijs]],Mārketinga_faktiskās_izmaksas[#Headers],0))</calculatedColumnFormula>
    </tableColumn>
    <tableColumn id="7" xr3:uid="{00000000-0010-0000-0A00-000007000000}" name="Jūn" totalsRowFunction="sum" dataDxfId="101" totalsRowDxfId="100">
      <calculatedColumnFormula>INDEX(Mārketinga_plāns[],MATCH(INDEX(Mārketinga_vērtību_novirzes[],ROW()-ROW(Mārketinga_vērtību_novirzes[[#Headers],[Jūn]]),1),INDEX(Mārketinga_plāns[],,1),0),MATCH(Mārketinga_vērtību_novirzes[[#Headers],[Jūn]],Mārketinga_plāns[#Headers],0))-INDEX(Mārketinga_faktiskās_izmaksas[],MATCH(INDEX(Mārketinga_vērtību_novirzes[],ROW()-ROW(Mārketinga_vērtību_novirzes[[#Headers],[Jūn]]),1),INDEX(Mārketinga_plāns[],,1),0),MATCH(Mārketinga_vērtību_novirzes[[#Headers],[Jūn]],Mārketinga_faktiskās_izmaksas[#Headers],0))</calculatedColumnFormula>
    </tableColumn>
    <tableColumn id="8" xr3:uid="{00000000-0010-0000-0A00-000008000000}" name="Jūl" totalsRowFunction="sum" dataDxfId="99" totalsRowDxfId="98">
      <calculatedColumnFormula>INDEX(Mārketinga_plāns[],MATCH(INDEX(Mārketinga_vērtību_novirzes[],ROW()-ROW(Mārketinga_vērtību_novirzes[[#Headers],[Jūl]]),1),INDEX(Mārketinga_plāns[],,1),0),MATCH(Mārketinga_vērtību_novirzes[[#Headers],[Jūl]],Mārketinga_plāns[#Headers],0))-INDEX(Mārketinga_faktiskās_izmaksas[],MATCH(INDEX(Mārketinga_vērtību_novirzes[],ROW()-ROW(Mārketinga_vērtību_novirzes[[#Headers],[Jūl]]),1),INDEX(Mārketinga_plāns[],,1),0),MATCH(Mārketinga_vērtību_novirzes[[#Headers],[Jūl]],Mārketinga_faktiskās_izmaksas[#Headers],0))</calculatedColumnFormula>
    </tableColumn>
    <tableColumn id="9" xr3:uid="{00000000-0010-0000-0A00-000009000000}" name="Aug" totalsRowFunction="sum" dataDxfId="97" totalsRowDxfId="96">
      <calculatedColumnFormula>INDEX(Mārketinga_plāns[],MATCH(INDEX(Mārketinga_vērtību_novirzes[],ROW()-ROW(Mārketinga_vērtību_novirzes[[#Headers],[Aug]]),1),INDEX(Mārketinga_plāns[],,1),0),MATCH(Mārketinga_vērtību_novirzes[[#Headers],[Aug]],Mārketinga_plāns[#Headers],0))-INDEX(Mārketinga_faktiskās_izmaksas[],MATCH(INDEX(Mārketinga_vērtību_novirzes[],ROW()-ROW(Mārketinga_vērtību_novirzes[[#Headers],[Aug]]),1),INDEX(Mārketinga_plāns[],,1),0),MATCH(Mārketinga_vērtību_novirzes[[#Headers],[Aug]],Mārketinga_faktiskās_izmaksas[#Headers],0))</calculatedColumnFormula>
    </tableColumn>
    <tableColumn id="10" xr3:uid="{00000000-0010-0000-0A00-00000A000000}" name="Sep" totalsRowFunction="sum" dataDxfId="95" totalsRowDxfId="94">
      <calculatedColumnFormula>INDEX(Mārketinga_plāns[],MATCH(INDEX(Mārketinga_vērtību_novirzes[],ROW()-ROW(Mārketinga_vērtību_novirzes[[#Headers],[Sep]]),1),INDEX(Mārketinga_plāns[],,1),0),MATCH(Mārketinga_vērtību_novirzes[[#Headers],[Sep]],Mārketinga_plāns[#Headers],0))-INDEX(Mārketinga_faktiskās_izmaksas[],MATCH(INDEX(Mārketinga_vērtību_novirzes[],ROW()-ROW(Mārketinga_vērtību_novirzes[[#Headers],[Sep]]),1),INDEX(Mārketinga_plāns[],,1),0),MATCH(Mārketinga_vērtību_novirzes[[#Headers],[Sep]],Mārketinga_faktiskās_izmaksas[#Headers],0))</calculatedColumnFormula>
    </tableColumn>
    <tableColumn id="11" xr3:uid="{00000000-0010-0000-0A00-00000B000000}" name="Okt" totalsRowFunction="sum" dataDxfId="93" totalsRowDxfId="92">
      <calculatedColumnFormula>INDEX(Mārketinga_plāns[],MATCH(INDEX(Mārketinga_vērtību_novirzes[],ROW()-ROW(Mārketinga_vērtību_novirzes[[#Headers],[Okt]]),1),INDEX(Mārketinga_plāns[],,1),0),MATCH(Mārketinga_vērtību_novirzes[[#Headers],[Okt]],Mārketinga_plāns[#Headers],0))-INDEX(Mārketinga_faktiskās_izmaksas[],MATCH(INDEX(Mārketinga_vērtību_novirzes[],ROW()-ROW(Mārketinga_vērtību_novirzes[[#Headers],[Okt]]),1),INDEX(Mārketinga_plāns[],,1),0),MATCH(Mārketinga_vērtību_novirzes[[#Headers],[Okt]],Mārketinga_faktiskās_izmaksas[#Headers],0))</calculatedColumnFormula>
    </tableColumn>
    <tableColumn id="12" xr3:uid="{00000000-0010-0000-0A00-00000C000000}" name="Nov" totalsRowFunction="sum" dataDxfId="91" totalsRowDxfId="90">
      <calculatedColumnFormula>INDEX(Mārketinga_plāns[],MATCH(INDEX(Mārketinga_vērtību_novirzes[],ROW()-ROW(Mārketinga_vērtību_novirzes[[#Headers],[Nov]]),1),INDEX(Mārketinga_plāns[],,1),0),MATCH(Mārketinga_vērtību_novirzes[[#Headers],[Nov]],Mārketinga_plāns[#Headers],0))-INDEX(Mārketinga_faktiskās_izmaksas[],MATCH(INDEX(Mārketinga_vērtību_novirzes[],ROW()-ROW(Mārketinga_vērtību_novirzes[[#Headers],[Nov]]),1),INDEX(Mārketinga_plāns[],,1),0),MATCH(Mārketinga_vērtību_novirzes[[#Headers],[Nov]],Mārketinga_faktiskās_izmaksas[#Headers],0))</calculatedColumnFormula>
    </tableColumn>
    <tableColumn id="13" xr3:uid="{00000000-0010-0000-0A00-00000D000000}" name="Dec" totalsRowFunction="sum" dataDxfId="89" totalsRowDxfId="88">
      <calculatedColumnFormula>INDEX(Mārketinga_plāns[],MATCH(INDEX(Mārketinga_vērtību_novirzes[],ROW()-ROW(Mārketinga_vērtību_novirzes[[#Headers],[Dec]]),1),INDEX(Mārketinga_plāns[],,1),0),MATCH(Mārketinga_vērtību_novirzes[[#Headers],[Dec]],Mārketinga_plāns[#Headers],0))-INDEX(Mārketinga_faktiskās_izmaksas[],MATCH(INDEX(Mārketinga_vērtību_novirzes[],ROW()-ROW(Mārketinga_vērtību_novirzes[[#Headers],[Dec]]),1),INDEX(Mārketinga_plāns[],,1),0),MATCH(Mārketinga_vērtību_novirzes[[#Headers],[Dec]],Mārketinga_faktiskās_izmaksas[#Headers],0))</calculatedColumnFormula>
    </tableColumn>
    <tableColumn id="14" xr3:uid="{00000000-0010-0000-0A00-00000E000000}" name="GADS" totalsRowFunction="sum" dataDxfId="87" totalsRowDxfId="86">
      <calculatedColumnFormula>SUM(Mārketinga_vērtību_novirzes[[#This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Novirze mārketinga izmaksās mēnesī tiek automātiski aprēķināta šajā tabulā"/>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Apmācību_un_komandējumu_vērtību_novirzes" displayName="Apmācību_un_komandējumu_vērtību_novirzes" ref="B30:O33" totalsRowCount="1" headerRowDxfId="85" totalsRowDxfId="82" headerRowBorderDxfId="84" tableBorderDxfId="83" totalsRowBorderDxfId="81">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Apmācības/komandējumi" totalsRowLabel="Starpsumma" dataDxfId="80" totalsRowDxfId="79"/>
    <tableColumn id="2" xr3:uid="{00000000-0010-0000-0B00-000002000000}" name="Jan" totalsRowFunction="sum" dataDxfId="78" totalsRowDxfId="77">
      <calculatedColumnFormula>INDEX(Apmācību_un_komandējumu_plāns[],MATCH(INDEX(Apmācību_un_komandējumu_vērtību_novirzes[],ROW()-ROW(Apmācību_un_komandējumu_vērtību_novirzes[[#Headers],[Jan]]),1),INDEX(Apmācību_un_komandējumu_plāns[],,1),0),MATCH(Apmācību_un_komandējumu_vērtību_novirzes[[#Headers],[Jan]],Apmācību_un_komandējumu_plāns[#Headers],0))-INDEX(Apmācību_un_komandējumu_faktiskās_izmaksas[],MATCH(INDEX(Apmācību_un_komandējumu_vērtību_novirzes[],ROW()-ROW(Apmācību_un_komandējumu_vērtību_novirzes[[#Headers],[Jan]]),1),INDEX(Apmācību_un_komandējumu_plāns[],,1),0),MATCH(Apmācību_un_komandējumu_vērtību_novirzes[[#Headers],[Jan]],Apmācību_un_komandējumu_faktiskās_izmaksas[#Headers],0))</calculatedColumnFormula>
    </tableColumn>
    <tableColumn id="3" xr3:uid="{00000000-0010-0000-0B00-000003000000}" name="Feb" totalsRowFunction="sum" dataDxfId="76" totalsRowDxfId="75">
      <calculatedColumnFormula>INDEX(Apmācību_un_komandējumu_plāns[],MATCH(INDEX(Apmācību_un_komandējumu_vērtību_novirzes[],ROW()-ROW(Apmācību_un_komandējumu_vērtību_novirzes[[#Headers],[Feb]]),1),INDEX(Apmācību_un_komandējumu_plāns[],,1),0),MATCH(Apmācību_un_komandējumu_vērtību_novirzes[[#Headers],[Feb]],Apmācību_un_komandējumu_plāns[#Headers],0))-INDEX(Apmācību_un_komandējumu_faktiskās_izmaksas[],MATCH(INDEX(Apmācību_un_komandējumu_vērtību_novirzes[],ROW()-ROW(Apmācību_un_komandējumu_vērtību_novirzes[[#Headers],[Feb]]),1),INDEX(Apmācību_un_komandējumu_plāns[],,1),0),MATCH(Apmācību_un_komandējumu_vērtību_novirzes[[#Headers],[Feb]],Apmācību_un_komandējumu_faktiskās_izmaksas[#Headers],0))</calculatedColumnFormula>
    </tableColumn>
    <tableColumn id="4" xr3:uid="{00000000-0010-0000-0B00-000004000000}" name="Mar" totalsRowFunction="sum" dataDxfId="74" totalsRowDxfId="73">
      <calculatedColumnFormula>INDEX(Apmācību_un_komandējumu_plāns[],MATCH(INDEX(Apmācību_un_komandējumu_vērtību_novirzes[],ROW()-ROW(Apmācību_un_komandējumu_vērtību_novirzes[[#Headers],[Mar]]),1),INDEX(Apmācību_un_komandējumu_plāns[],,1),0),MATCH(Apmācību_un_komandējumu_vērtību_novirzes[[#Headers],[Mar]],Apmācību_un_komandējumu_plāns[#Headers],0))-INDEX(Apmācību_un_komandējumu_faktiskās_izmaksas[],MATCH(INDEX(Apmācību_un_komandējumu_vērtību_novirzes[],ROW()-ROW(Apmācību_un_komandējumu_vērtību_novirzes[[#Headers],[Mar]]),1),INDEX(Apmācību_un_komandējumu_plāns[],,1),0),MATCH(Apmācību_un_komandējumu_vērtību_novirzes[[#Headers],[Mar]],Apmācību_un_komandējumu_faktiskās_izmaksas[#Headers],0))</calculatedColumnFormula>
    </tableColumn>
    <tableColumn id="5" xr3:uid="{00000000-0010-0000-0B00-000005000000}" name="Apr" totalsRowFunction="sum" dataDxfId="72" totalsRowDxfId="71">
      <calculatedColumnFormula>INDEX(Apmācību_un_komandējumu_plāns[],MATCH(INDEX(Apmācību_un_komandējumu_vērtību_novirzes[],ROW()-ROW(Apmācību_un_komandējumu_vērtību_novirzes[[#Headers],[Apr]]),1),INDEX(Apmācību_un_komandējumu_plāns[],,1),0),MATCH(Apmācību_un_komandējumu_vērtību_novirzes[[#Headers],[Apr]],Apmācību_un_komandējumu_plāns[#Headers],0))-INDEX(Apmācību_un_komandējumu_faktiskās_izmaksas[],MATCH(INDEX(Apmācību_un_komandējumu_vērtību_novirzes[],ROW()-ROW(Apmācību_un_komandējumu_vērtību_novirzes[[#Headers],[Apr]]),1),INDEX(Apmācību_un_komandējumu_plāns[],,1),0),MATCH(Apmācību_un_komandējumu_vērtību_novirzes[[#Headers],[Apr]],Apmācību_un_komandējumu_faktiskās_izmaksas[#Headers],0))</calculatedColumnFormula>
    </tableColumn>
    <tableColumn id="6" xr3:uid="{00000000-0010-0000-0B00-000006000000}" name="Maijs" totalsRowFunction="sum" dataDxfId="70" totalsRowDxfId="69">
      <calculatedColumnFormula>INDEX(Apmācību_un_komandējumu_plāns[],MATCH(INDEX(Apmācību_un_komandējumu_vērtību_novirzes[],ROW()-ROW(Apmācību_un_komandējumu_vērtību_novirzes[[#Headers],[Maijs]]),1),INDEX(Apmācību_un_komandējumu_plāns[],,1),0),MATCH(Apmācību_un_komandējumu_vērtību_novirzes[[#Headers],[Maijs]],Apmācību_un_komandējumu_plāns[#Headers],0))-INDEX(Apmācību_un_komandējumu_faktiskās_izmaksas[],MATCH(INDEX(Apmācību_un_komandējumu_vērtību_novirzes[],ROW()-ROW(Apmācību_un_komandējumu_vērtību_novirzes[[#Headers],[Maijs]]),1),INDEX(Apmācību_un_komandējumu_plāns[],,1),0),MATCH(Apmācību_un_komandējumu_vērtību_novirzes[[#Headers],[Maijs]],Apmācību_un_komandējumu_faktiskās_izmaksas[#Headers],0))</calculatedColumnFormula>
    </tableColumn>
    <tableColumn id="7" xr3:uid="{00000000-0010-0000-0B00-000007000000}" name="Jūn" totalsRowFunction="sum" dataDxfId="68" totalsRowDxfId="67">
      <calculatedColumnFormula>INDEX(Apmācību_un_komandējumu_plāns[],MATCH(INDEX(Apmācību_un_komandējumu_vērtību_novirzes[],ROW()-ROW(Apmācību_un_komandējumu_vērtību_novirzes[[#Headers],[Jūn]]),1),INDEX(Apmācību_un_komandējumu_plāns[],,1),0),MATCH(Apmācību_un_komandējumu_vērtību_novirzes[[#Headers],[Jūn]],Apmācību_un_komandējumu_plāns[#Headers],0))-INDEX(Apmācību_un_komandējumu_faktiskās_izmaksas[],MATCH(INDEX(Apmācību_un_komandējumu_vērtību_novirzes[],ROW()-ROW(Apmācību_un_komandējumu_vērtību_novirzes[[#Headers],[Jūn]]),1),INDEX(Apmācību_un_komandējumu_plāns[],,1),0),MATCH(Apmācību_un_komandējumu_vērtību_novirzes[[#Headers],[Jūn]],Apmācību_un_komandējumu_faktiskās_izmaksas[#Headers],0))</calculatedColumnFormula>
    </tableColumn>
    <tableColumn id="8" xr3:uid="{00000000-0010-0000-0B00-000008000000}" name="Jūl" totalsRowFunction="sum" dataDxfId="66" totalsRowDxfId="65">
      <calculatedColumnFormula>INDEX(Apmācību_un_komandējumu_plāns[],MATCH(INDEX(Apmācību_un_komandējumu_vērtību_novirzes[],ROW()-ROW(Apmācību_un_komandējumu_vērtību_novirzes[[#Headers],[Jūl]]),1),INDEX(Apmācību_un_komandējumu_plāns[],,1),0),MATCH(Apmācību_un_komandējumu_vērtību_novirzes[[#Headers],[Jūl]],Apmācību_un_komandējumu_plāns[#Headers],0))-INDEX(Apmācību_un_komandējumu_faktiskās_izmaksas[],MATCH(INDEX(Apmācību_un_komandējumu_vērtību_novirzes[],ROW()-ROW(Apmācību_un_komandējumu_vērtību_novirzes[[#Headers],[Jūl]]),1),INDEX(Apmācību_un_komandējumu_plāns[],,1),0),MATCH(Apmācību_un_komandējumu_vērtību_novirzes[[#Headers],[Jūl]],Apmācību_un_komandējumu_faktiskās_izmaksas[#Headers],0))</calculatedColumnFormula>
    </tableColumn>
    <tableColumn id="9" xr3:uid="{00000000-0010-0000-0B00-000009000000}" name="Aug" totalsRowFunction="sum" dataDxfId="64" totalsRowDxfId="63">
      <calculatedColumnFormula>INDEX(Apmācību_un_komandējumu_plāns[],MATCH(INDEX(Apmācību_un_komandējumu_vērtību_novirzes[],ROW()-ROW(Apmācību_un_komandējumu_vērtību_novirzes[[#Headers],[Aug]]),1),INDEX(Apmācību_un_komandējumu_plāns[],,1),0),MATCH(Apmācību_un_komandējumu_vērtību_novirzes[[#Headers],[Aug]],Apmācību_un_komandējumu_plāns[#Headers],0))-INDEX(Apmācību_un_komandējumu_faktiskās_izmaksas[],MATCH(INDEX(Apmācību_un_komandējumu_vērtību_novirzes[],ROW()-ROW(Apmācību_un_komandējumu_vērtību_novirzes[[#Headers],[Aug]]),1),INDEX(Apmācību_un_komandējumu_plāns[],,1),0),MATCH(Apmācību_un_komandējumu_vērtību_novirzes[[#Headers],[Aug]],Apmācību_un_komandējumu_faktiskās_izmaksas[#Headers],0))</calculatedColumnFormula>
    </tableColumn>
    <tableColumn id="10" xr3:uid="{00000000-0010-0000-0B00-00000A000000}" name="Sep" totalsRowFunction="sum" dataDxfId="62" totalsRowDxfId="61">
      <calculatedColumnFormula>INDEX(Apmācību_un_komandējumu_plāns[],MATCH(INDEX(Apmācību_un_komandējumu_vērtību_novirzes[],ROW()-ROW(Apmācību_un_komandējumu_vērtību_novirzes[[#Headers],[Sep]]),1),INDEX(Apmācību_un_komandējumu_plāns[],,1),0),MATCH(Apmācību_un_komandējumu_vērtību_novirzes[[#Headers],[Sep]],Apmācību_un_komandējumu_plāns[#Headers],0))-INDEX(Apmācību_un_komandējumu_faktiskās_izmaksas[],MATCH(INDEX(Apmācību_un_komandējumu_vērtību_novirzes[],ROW()-ROW(Apmācību_un_komandējumu_vērtību_novirzes[[#Headers],[Sep]]),1),INDEX(Apmācību_un_komandējumu_plāns[],,1),0),MATCH(Apmācību_un_komandējumu_vērtību_novirzes[[#Headers],[Sep]],Apmācību_un_komandējumu_faktiskās_izmaksas[#Headers],0))</calculatedColumnFormula>
    </tableColumn>
    <tableColumn id="11" xr3:uid="{00000000-0010-0000-0B00-00000B000000}" name="Okt" totalsRowFunction="sum" dataDxfId="60" totalsRowDxfId="59">
      <calculatedColumnFormula>INDEX(Apmācību_un_komandējumu_plāns[],MATCH(INDEX(Apmācību_un_komandējumu_vērtību_novirzes[],ROW()-ROW(Apmācību_un_komandējumu_vērtību_novirzes[[#Headers],[Okt]]),1),INDEX(Apmācību_un_komandējumu_plāns[],,1),0),MATCH(Apmācību_un_komandējumu_vērtību_novirzes[[#Headers],[Okt]],Apmācību_un_komandējumu_plāns[#Headers],0))-INDEX(Apmācību_un_komandējumu_faktiskās_izmaksas[],MATCH(INDEX(Apmācību_un_komandējumu_vērtību_novirzes[],ROW()-ROW(Apmācību_un_komandējumu_vērtību_novirzes[[#Headers],[Okt]]),1),INDEX(Apmācību_un_komandējumu_plāns[],,1),0),MATCH(Apmācību_un_komandējumu_vērtību_novirzes[[#Headers],[Okt]],Apmācību_un_komandējumu_faktiskās_izmaksas[#Headers],0))</calculatedColumnFormula>
    </tableColumn>
    <tableColumn id="12" xr3:uid="{00000000-0010-0000-0B00-00000C000000}" name="Nov" totalsRowFunction="sum" dataDxfId="58" totalsRowDxfId="57">
      <calculatedColumnFormula>INDEX(Apmācību_un_komandējumu_plāns[],MATCH(INDEX(Apmācību_un_komandējumu_vērtību_novirzes[],ROW()-ROW(Apmācību_un_komandējumu_vērtību_novirzes[[#Headers],[Nov]]),1),INDEX(Apmācību_un_komandējumu_plāns[],,1),0),MATCH(Apmācību_un_komandējumu_vērtību_novirzes[[#Headers],[Nov]],Apmācību_un_komandējumu_plāns[#Headers],0))-INDEX(Apmācību_un_komandējumu_faktiskās_izmaksas[],MATCH(INDEX(Apmācību_un_komandējumu_vērtību_novirzes[],ROW()-ROW(Apmācību_un_komandējumu_vērtību_novirzes[[#Headers],[Nov]]),1),INDEX(Apmācību_un_komandējumu_plāns[],,1),0),MATCH(Apmācību_un_komandējumu_vērtību_novirzes[[#Headers],[Nov]],Apmācību_un_komandējumu_faktiskās_izmaksas[#Headers],0))</calculatedColumnFormula>
    </tableColumn>
    <tableColumn id="13" xr3:uid="{00000000-0010-0000-0B00-00000D000000}" name="Dec" totalsRowFunction="sum" dataDxfId="56" totalsRowDxfId="55">
      <calculatedColumnFormula>INDEX(Apmācību_un_komandējumu_plāns[],MATCH(INDEX(Apmācību_un_komandējumu_vērtību_novirzes[],ROW()-ROW(Apmācību_un_komandējumu_vērtību_novirzes[[#Headers],[Dec]]),1),INDEX(Apmācību_un_komandējumu_plāns[],,1),0),MATCH(Apmācību_un_komandējumu_vērtību_novirzes[[#Headers],[Dec]],Apmācību_un_komandējumu_plāns[#Headers],0))-INDEX(Apmācību_un_komandējumu_faktiskās_izmaksas[],MATCH(INDEX(Apmācību_un_komandējumu_vērtību_novirzes[],ROW()-ROW(Apmācību_un_komandējumu_vērtību_novirzes[[#Headers],[Dec]]),1),INDEX(Apmācību_un_komandējumu_plāns[],,1),0),MATCH(Apmācību_un_komandējumu_vērtību_novirzes[[#Headers],[Dec]],Apmācību_un_komandējumu_faktiskās_izmaksas[#Headers],0))</calculatedColumnFormula>
    </tableColumn>
    <tableColumn id="14" xr3:uid="{00000000-0010-0000-0B00-00000E000000}" name="GADS" totalsRowFunction="sum" dataDxfId="54" totalsRowDxfId="53">
      <calculatedColumnFormula>SUM(Apmācību_un_komandējumu_vērtību_novirzes[[#This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Novirze apmācību un komandējumu izmaksās mēnesī tiek automātiski aprēķināta šajā tabulā"/>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Kopējā_novirze" displayName="Kopējā_novirze" ref="B35:O37" totalsRowShown="0" headerRowDxfId="52" dataDxfId="51" tableBorderDxfId="50">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KOPSUMMAS" dataDxfId="49"/>
    <tableColumn id="2" xr3:uid="{AE0C21A5-398B-42DE-950D-8AE4AD1A8551}" name="Jan" dataDxfId="48">
      <calculatedColumnFormula>SUM($C35:C$36)</calculatedColumnFormula>
    </tableColumn>
    <tableColumn id="3" xr3:uid="{A43B0B0E-F35F-4E04-8A0D-11BB7356D5F1}" name="Feb" dataDxfId="47">
      <calculatedColumnFormula>SUM($C35:D$36)</calculatedColumnFormula>
    </tableColumn>
    <tableColumn id="4" xr3:uid="{F14459A4-8E61-4E04-9A53-A7DA16CE366A}" name="Mar" dataDxfId="46">
      <calculatedColumnFormula>SUM($C35:E$36)</calculatedColumnFormula>
    </tableColumn>
    <tableColumn id="5" xr3:uid="{1C90C974-8801-4A11-B3AF-1DC144BB0C14}" name="Apr" dataDxfId="45">
      <calculatedColumnFormula>SUM($C35:F$36)</calculatedColumnFormula>
    </tableColumn>
    <tableColumn id="6" xr3:uid="{C8E3F4F6-5F27-4CC7-9916-6D86833782C1}" name="Maijs" dataDxfId="44">
      <calculatedColumnFormula>SUM($C35:G$36)</calculatedColumnFormula>
    </tableColumn>
    <tableColumn id="7" xr3:uid="{AF75D92B-7578-4087-BB78-DD5AD8165117}" name="Jūn" dataDxfId="43">
      <calculatedColumnFormula>SUM($C35:H$36)</calculatedColumnFormula>
    </tableColumn>
    <tableColumn id="8" xr3:uid="{35F61ABA-09FB-4695-B0F5-A2C6B6580A2E}" name="Jūl" dataDxfId="42">
      <calculatedColumnFormula>SUM($C35:I$36)</calculatedColumnFormula>
    </tableColumn>
    <tableColumn id="9" xr3:uid="{59F62437-45DC-439F-945A-D0E79C444E8E}" name="Aug" dataDxfId="41">
      <calculatedColumnFormula>SUM($C35:J$36)</calculatedColumnFormula>
    </tableColumn>
    <tableColumn id="10" xr3:uid="{2BF9DCC5-B211-44A6-BD40-E91602CDA85C}" name="Sep" dataDxfId="40">
      <calculatedColumnFormula>SUM($C35:K$36)</calculatedColumnFormula>
    </tableColumn>
    <tableColumn id="11" xr3:uid="{4280684A-CD23-4103-8664-029757D0A2A2}" name="Okt" dataDxfId="39">
      <calculatedColumnFormula>SUM($C35:L$36)</calculatedColumnFormula>
    </tableColumn>
    <tableColumn id="12" xr3:uid="{07DED434-EC8F-4DAF-83E3-E350A33F2EAE}" name="Nov" dataDxfId="38">
      <calculatedColumnFormula>SUM($C35:M$36)</calculatedColumnFormula>
    </tableColumn>
    <tableColumn id="13" xr3:uid="{32BA0102-0F05-43CF-91BA-724F1FE01DAA}" name="Dec" dataDxfId="37">
      <calculatedColumnFormula>SUM($C35:N$36)</calculatedColumnFormula>
    </tableColumn>
    <tableColumn id="14" xr3:uid="{57A0D710-AEB8-4057-928D-010058E02081}" name="Gads" dataDxfId="36"/>
  </tableColumns>
  <tableStyleInfo showFirstColumn="1" showLastColumn="0" showRowStripes="0" showColumnStripes="0"/>
  <extLst>
    <ext xmlns:x14="http://schemas.microsoft.com/office/spreadsheetml/2009/9/main" uri="{504A1905-F514-4f6f-8877-14C23A59335A}">
      <x14:table altTextSummary="Ikmēneša un kopējā izdevumu novirze tiek automātiski aprēķināta šajā tabulā"/>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īze" displayName="Analīze" ref="B5:F10" totalsRowShown="0" dataDxfId="35" tableBorderDxfId="34">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Izdevumu kategorija" dataDxfId="33"/>
    <tableColumn id="2" xr3:uid="{71038352-BC76-49DD-9F6C-B394E5F033ED}" name="Plānotie izdevumi" dataDxfId="32"/>
    <tableColumn id="3" xr3:uid="{19ED3EBC-BC10-47F6-9800-62129A32BC8E}" name="Faktiskie izdevumi" dataDxfId="31"/>
    <tableColumn id="4" xr3:uid="{E8D5E1DD-7CB1-4A1A-8F42-EFBF70790FE7}" name="Izdevumu novirzes" dataDxfId="30">
      <calculatedColumnFormula>C6-D6</calculatedColumnFormula>
    </tableColumn>
    <tableColumn id="5" xr3:uid="{47E1881E-12A2-4F0E-8364-B79F2DC5D0B1}" name="Novirzes procentuālā attiecība" dataDxfId="29">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ārketinga_plāns" displayName="Mārketinga_plāns" ref="B21:O28" totalsRowCount="1" headerRowDxfId="450" totalsRowDxfId="447" headerRowBorderDxfId="449" tableBorderDxfId="448" totalsRowBorderDxfId="446">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Mārketinga izmaksas" totalsRowLabel="Starpsumma" dataDxfId="445" totalsRowDxfId="444"/>
    <tableColumn id="2" xr3:uid="{00000000-0010-0000-0100-000002000000}" name="Jan" totalsRowFunction="sum" dataDxfId="443" totalsRowDxfId="442"/>
    <tableColumn id="3" xr3:uid="{00000000-0010-0000-0100-000003000000}" name="Feb" totalsRowFunction="sum" dataDxfId="441" totalsRowDxfId="440"/>
    <tableColumn id="4" xr3:uid="{00000000-0010-0000-0100-000004000000}" name="Mar" totalsRowFunction="sum" dataDxfId="439" totalsRowDxfId="438"/>
    <tableColumn id="5" xr3:uid="{00000000-0010-0000-0100-000005000000}" name="Apr" totalsRowFunction="sum" dataDxfId="437" totalsRowDxfId="436"/>
    <tableColumn id="6" xr3:uid="{00000000-0010-0000-0100-000006000000}" name="Maijs" totalsRowFunction="sum" dataDxfId="435" totalsRowDxfId="434"/>
    <tableColumn id="7" xr3:uid="{00000000-0010-0000-0100-000007000000}" name="Jūn" totalsRowFunction="sum" dataDxfId="433" totalsRowDxfId="432"/>
    <tableColumn id="8" xr3:uid="{00000000-0010-0000-0100-000008000000}" name="Jūl" totalsRowFunction="sum" dataDxfId="431" totalsRowDxfId="430"/>
    <tableColumn id="9" xr3:uid="{00000000-0010-0000-0100-000009000000}" name="Aug" totalsRowFunction="sum" dataDxfId="429" totalsRowDxfId="428"/>
    <tableColumn id="10" xr3:uid="{00000000-0010-0000-0100-00000A000000}" name="Sep" totalsRowFunction="sum" dataDxfId="427" totalsRowDxfId="426"/>
    <tableColumn id="11" xr3:uid="{00000000-0010-0000-0100-00000B000000}" name="Okt" totalsRowFunction="sum" dataDxfId="425" totalsRowDxfId="424"/>
    <tableColumn id="12" xr3:uid="{00000000-0010-0000-0100-00000C000000}" name="Nov" totalsRowFunction="sum" dataDxfId="423" totalsRowDxfId="422"/>
    <tableColumn id="13" xr3:uid="{00000000-0010-0000-0100-00000D000000}" name="Dec" totalsRowFunction="sum" dataDxfId="421" totalsRowDxfId="420"/>
    <tableColumn id="14" xr3:uid="{00000000-0010-0000-0100-00000E000000}" name="GADS" totalsRowFunction="sum" dataDxfId="419" totalsRowDxfId="418">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Šajā tabulā ievadiet plānotās mārketinga ikmēneša izmaksas. Kopsumma tiek automātiski aprēķināta beigā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pmācību_un_komandējumu_plāns" displayName="Apmācību_un_komandējumu_plāns" ref="B30:O33" totalsRowCount="1" headerRowDxfId="417" totalsRowDxfId="414" headerRowBorderDxfId="416" tableBorderDxfId="415" totalsRowBorderDxfId="413">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Apmācības/komandējumi" totalsRowLabel="Starpsumma" dataDxfId="412" totalsRowDxfId="411"/>
    <tableColumn id="2" xr3:uid="{00000000-0010-0000-0200-000002000000}" name="Jan" totalsRowFunction="sum" dataDxfId="410" totalsRowDxfId="409"/>
    <tableColumn id="3" xr3:uid="{00000000-0010-0000-0200-000003000000}" name="Feb" totalsRowFunction="sum" dataDxfId="408" totalsRowDxfId="407"/>
    <tableColumn id="4" xr3:uid="{00000000-0010-0000-0200-000004000000}" name="Mar" totalsRowFunction="sum" dataDxfId="406" totalsRowDxfId="405"/>
    <tableColumn id="5" xr3:uid="{00000000-0010-0000-0200-000005000000}" name="Apr" totalsRowFunction="sum" dataDxfId="404" totalsRowDxfId="403"/>
    <tableColumn id="6" xr3:uid="{00000000-0010-0000-0200-000006000000}" name="Maijs" totalsRowFunction="sum" dataDxfId="402" totalsRowDxfId="401"/>
    <tableColumn id="7" xr3:uid="{00000000-0010-0000-0200-000007000000}" name="Jūn" totalsRowFunction="sum" dataDxfId="400" totalsRowDxfId="399"/>
    <tableColumn id="8" xr3:uid="{00000000-0010-0000-0200-000008000000}" name="Jūl" totalsRowFunction="sum" dataDxfId="398" totalsRowDxfId="397"/>
    <tableColumn id="9" xr3:uid="{00000000-0010-0000-0200-000009000000}" name="Aug" totalsRowFunction="sum" dataDxfId="396" totalsRowDxfId="395"/>
    <tableColumn id="10" xr3:uid="{00000000-0010-0000-0200-00000A000000}" name="Sep" totalsRowFunction="sum" dataDxfId="394" totalsRowDxfId="393"/>
    <tableColumn id="11" xr3:uid="{00000000-0010-0000-0200-00000B000000}" name="Okt" totalsRowFunction="sum" dataDxfId="392" totalsRowDxfId="391"/>
    <tableColumn id="12" xr3:uid="{00000000-0010-0000-0200-00000C000000}" name="Nov" totalsRowFunction="sum" dataDxfId="390" totalsRowDxfId="389"/>
    <tableColumn id="13" xr3:uid="{00000000-0010-0000-0200-00000D000000}" name="Dec" totalsRowFunction="sum" dataDxfId="388" totalsRowDxfId="387"/>
    <tableColumn id="14" xr3:uid="{00000000-0010-0000-0200-00000E000000}" name="GADS" totalsRowFunction="sum" dataDxfId="386" totalsRowDxfId="385">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Šajā tabulā ievadiet plānotās apmācību un komandējumu ikmēneša izmaksas. Kopsumma tiek automātiski aprēķināta beigā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Darbinieku_plāns" displayName="Darbinieku_plāns" ref="B5:O8" totalsRowCount="1" headerRowDxfId="384" totalsRowDxfId="381" headerRowBorderDxfId="383" tableBorderDxfId="382" totalsRowBorderDxfId="380">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Darbinieku izmaksas" totalsRowLabel="Starpsumma" dataDxfId="379" totalsRowDxfId="378"/>
    <tableColumn id="2" xr3:uid="{00000000-0010-0000-0300-000002000000}" name="Jan" totalsRowFunction="sum" dataDxfId="377" totalsRowDxfId="376">
      <calculatedColumnFormula>C5*0.27</calculatedColumnFormula>
    </tableColumn>
    <tableColumn id="3" xr3:uid="{00000000-0010-0000-0300-000003000000}" name="Feb" totalsRowFunction="sum" dataDxfId="375" totalsRowDxfId="374">
      <calculatedColumnFormula>D5*0.27</calculatedColumnFormula>
    </tableColumn>
    <tableColumn id="4" xr3:uid="{00000000-0010-0000-0300-000004000000}" name="Mar" totalsRowFunction="sum" dataDxfId="28" totalsRowDxfId="373">
      <calculatedColumnFormula>E5*0.27</calculatedColumnFormula>
    </tableColumn>
    <tableColumn id="5" xr3:uid="{00000000-0010-0000-0300-000005000000}" name="Apr" totalsRowFunction="sum" dataDxfId="372" totalsRowDxfId="371">
      <calculatedColumnFormula>F5*0.27</calculatedColumnFormula>
    </tableColumn>
    <tableColumn id="6" xr3:uid="{00000000-0010-0000-0300-000006000000}" name="Maijs" totalsRowFunction="sum" dataDxfId="370" totalsRowDxfId="369">
      <calculatedColumnFormula>G5*0.27</calculatedColumnFormula>
    </tableColumn>
    <tableColumn id="7" xr3:uid="{00000000-0010-0000-0300-000007000000}" name="Jūn" totalsRowFunction="sum" dataDxfId="368" totalsRowDxfId="367">
      <calculatedColumnFormula>H5*0.27</calculatedColumnFormula>
    </tableColumn>
    <tableColumn id="8" xr3:uid="{00000000-0010-0000-0300-000008000000}" name="Jūl" totalsRowFunction="sum" dataDxfId="366" totalsRowDxfId="365">
      <calculatedColumnFormula>I5*0.27</calculatedColumnFormula>
    </tableColumn>
    <tableColumn id="9" xr3:uid="{00000000-0010-0000-0300-000009000000}" name="Aug" totalsRowFunction="sum" dataDxfId="364" totalsRowDxfId="363">
      <calculatedColumnFormula>J5*0.27</calculatedColumnFormula>
    </tableColumn>
    <tableColumn id="10" xr3:uid="{00000000-0010-0000-0300-00000A000000}" name="Sep" totalsRowFunction="sum" dataDxfId="362" totalsRowDxfId="361">
      <calculatedColumnFormula>K5*0.27</calculatedColumnFormula>
    </tableColumn>
    <tableColumn id="11" xr3:uid="{00000000-0010-0000-0300-00000B000000}" name="Okt" totalsRowFunction="sum" dataDxfId="360" totalsRowDxfId="359">
      <calculatedColumnFormula>L5*0.27</calculatedColumnFormula>
    </tableColumn>
    <tableColumn id="12" xr3:uid="{00000000-0010-0000-0300-00000C000000}" name="Nov" totalsRowFunction="sum" dataDxfId="358" totalsRowDxfId="357">
      <calculatedColumnFormula>M5*0.27</calculatedColumnFormula>
    </tableColumn>
    <tableColumn id="13" xr3:uid="{00000000-0010-0000-0300-00000D000000}" name="Dec" totalsRowFunction="sum" dataDxfId="356" totalsRowDxfId="355">
      <calculatedColumnFormula>N5*0.27</calculatedColumnFormula>
    </tableColumn>
    <tableColumn id="14" xr3:uid="{00000000-0010-0000-0300-00000E000000}" name="GADS" totalsRowFunction="sum" dataDxfId="354" totalsRowDxfId="353">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Šajā tabulā ievadiet plānotās darbinieku ikmēneša izmaksas. Kopsumma tiek automātiski aprēķināta beigā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Plānotā_kopsumma" displayName="Plānotā_kopsumma" ref="B35:O37" totalsRowShown="0" headerRowDxfId="352" dataDxfId="350" headerRowBorderDxfId="351" tableBorderDxfId="349" totalsRowBorderDxfId="348">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KOPSUMMAS" dataDxfId="347"/>
    <tableColumn id="2" xr3:uid="{3CBCAAC6-5850-43CE-8A4B-7299FADFEA94}" name="Jan" dataDxfId="346">
      <calculatedColumnFormula>SUM($C35:C$36)</calculatedColumnFormula>
    </tableColumn>
    <tableColumn id="3" xr3:uid="{E78EAAAB-F732-4079-94F1-D17531764B41}" name="Feb" dataDxfId="345">
      <calculatedColumnFormula>SUM($C35:D$36)</calculatedColumnFormula>
    </tableColumn>
    <tableColumn id="4" xr3:uid="{7E178853-B334-4E02-A0B5-9E8AC39D6929}" name="Mar" dataDxfId="344">
      <calculatedColumnFormula>SUM($C35:E$36)</calculatedColumnFormula>
    </tableColumn>
    <tableColumn id="5" xr3:uid="{901BCAA1-7C45-46E6-9DAA-C055B5CC4D9E}" name="Apr" dataDxfId="343">
      <calculatedColumnFormula>SUM($C35:F$36)</calculatedColumnFormula>
    </tableColumn>
    <tableColumn id="6" xr3:uid="{FDC62F5A-FCA8-49DA-AFE4-FBDA22CB588C}" name="Maijs" dataDxfId="342">
      <calculatedColumnFormula>SUM($C35:G$36)</calculatedColumnFormula>
    </tableColumn>
    <tableColumn id="7" xr3:uid="{6B7E4F62-6387-4545-9593-FCFE8EB0E87B}" name="Jūn" dataDxfId="341">
      <calculatedColumnFormula>SUM($C35:H$36)</calculatedColumnFormula>
    </tableColumn>
    <tableColumn id="8" xr3:uid="{29C96D76-82C3-4C86-A866-135D2B5F6766}" name="Jūl" dataDxfId="340">
      <calculatedColumnFormula>SUM($C35:I$36)</calculatedColumnFormula>
    </tableColumn>
    <tableColumn id="9" xr3:uid="{8EAF7A8A-BCFD-4A07-ADFE-7B3A8A367BB3}" name="Aug" dataDxfId="339">
      <calculatedColumnFormula>SUM($C35:J$36)</calculatedColumnFormula>
    </tableColumn>
    <tableColumn id="10" xr3:uid="{F40CD844-EFB4-4B82-8FEA-F130D1DDE9B6}" name="Sep" dataDxfId="338">
      <calculatedColumnFormula>SUM($C35:K$36)</calculatedColumnFormula>
    </tableColumn>
    <tableColumn id="11" xr3:uid="{42E3BDAF-1274-4A42-93E1-A70D8EFF4D76}" name="Okt" dataDxfId="337">
      <calculatedColumnFormula>SUM($C35:L$36)</calculatedColumnFormula>
    </tableColumn>
    <tableColumn id="12" xr3:uid="{4F7ADDB3-3705-4D5F-B56D-EBBC8E7DFAFB}" name="Nov" dataDxfId="336">
      <calculatedColumnFormula>SUM($C35:M$36)</calculatedColumnFormula>
    </tableColumn>
    <tableColumn id="13" xr3:uid="{56789314-1137-4ED4-BA2B-969187ADECB2}" name="Dec" dataDxfId="335">
      <calculatedColumnFormula>SUM($C35:N$36)</calculatedColumnFormula>
    </tableColumn>
    <tableColumn id="14" xr3:uid="{284F34B8-8D32-4E44-96FD-25CE69A931D2}" name="Gads" dataDxfId="334"/>
  </tableColumns>
  <tableStyleInfo showFirstColumn="1" showLastColumn="0" showRowStripes="0" showColumnStripes="0"/>
  <extLst>
    <ext xmlns:x14="http://schemas.microsoft.com/office/spreadsheetml/2009/9/main" uri="{504A1905-F514-4f6f-8877-14C23A59335A}">
      <x14:table altTextSummary="Ikmēneša un kopējie plānotie izdevumi tiek automātiski aprēķināti šajā tabulā"/>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Biroja_faktiskās_izmaksas" displayName="Biroja_faktiskās_izmaksas" ref="B10:O19" totalsRowCount="1" headerRowDxfId="333" totalsRowDxfId="330" headerRowBorderDxfId="332" tableBorderDxfId="331" totalsRowBorderDxfId="329">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Biroja izmaksas" totalsRowLabel="Starpsumma" dataDxfId="328" totalsRowDxfId="327"/>
    <tableColumn id="2" xr3:uid="{00000000-0010-0000-0400-000002000000}" name="Jan" totalsRowFunction="sum" dataDxfId="326" totalsRowDxfId="325"/>
    <tableColumn id="3" xr3:uid="{00000000-0010-0000-0400-000003000000}" name="Feb" totalsRowFunction="sum" dataDxfId="324" totalsRowDxfId="323"/>
    <tableColumn id="4" xr3:uid="{00000000-0010-0000-0400-000004000000}" name="Mar" totalsRowFunction="sum" dataDxfId="322" totalsRowDxfId="321"/>
    <tableColumn id="5" xr3:uid="{00000000-0010-0000-0400-000005000000}" name="Apr" totalsRowFunction="sum" dataDxfId="320" totalsRowDxfId="319"/>
    <tableColumn id="6" xr3:uid="{00000000-0010-0000-0400-000006000000}" name="Maijs" totalsRowFunction="sum" dataDxfId="318" totalsRowDxfId="317"/>
    <tableColumn id="7" xr3:uid="{00000000-0010-0000-0400-000007000000}" name="Jūn" totalsRowFunction="sum" dataDxfId="316" totalsRowDxfId="315"/>
    <tableColumn id="8" xr3:uid="{00000000-0010-0000-0400-000008000000}" name="Jūl" totalsRowFunction="sum" dataDxfId="314" totalsRowDxfId="313"/>
    <tableColumn id="9" xr3:uid="{00000000-0010-0000-0400-000009000000}" name="Aug" totalsRowFunction="sum" dataDxfId="312" totalsRowDxfId="311"/>
    <tableColumn id="10" xr3:uid="{00000000-0010-0000-0400-00000A000000}" name="Sep" totalsRowFunction="sum" dataDxfId="310" totalsRowDxfId="309"/>
    <tableColumn id="11" xr3:uid="{00000000-0010-0000-0400-00000B000000}" name="Okt" totalsRowFunction="sum" dataDxfId="308" totalsRowDxfId="307"/>
    <tableColumn id="12" xr3:uid="{00000000-0010-0000-0400-00000C000000}" name="Nov" totalsRowFunction="sum" dataDxfId="306" totalsRowDxfId="305"/>
    <tableColumn id="13" xr3:uid="{00000000-0010-0000-0400-00000D000000}" name="Dec" totalsRowFunction="sum" dataDxfId="304" totalsRowDxfId="303"/>
    <tableColumn id="14" xr3:uid="{00000000-0010-0000-0400-00000E000000}" name="GADS" totalsRowFunction="sum" dataDxfId="302" totalsRowDxfId="301">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Šajā tabulā ievadiet faktiskās biroja ikmēneša izmaksas. Kopsumma tiek automātiski aprēķināta beigā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Mārketinga_faktiskās_izmaksas" displayName="Mārketinga_faktiskās_izmaksas" ref="B21:O28" totalsRowCount="1" headerRowDxfId="300" totalsRowDxfId="297" headerRowBorderDxfId="299" tableBorderDxfId="298" totalsRowBorderDxfId="296">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Mārketinga izmaksas" totalsRowLabel="Starpsumma" dataDxfId="295" totalsRowDxfId="294"/>
    <tableColumn id="2" xr3:uid="{00000000-0010-0000-0500-000002000000}" name="Jan" totalsRowFunction="sum" dataDxfId="293" totalsRowDxfId="292"/>
    <tableColumn id="3" xr3:uid="{00000000-0010-0000-0500-000003000000}" name="Feb" totalsRowFunction="sum" dataDxfId="291" totalsRowDxfId="290"/>
    <tableColumn id="4" xr3:uid="{00000000-0010-0000-0500-000004000000}" name="Mar" totalsRowFunction="sum" dataDxfId="289" totalsRowDxfId="288"/>
    <tableColumn id="5" xr3:uid="{00000000-0010-0000-0500-000005000000}" name="Apr" totalsRowFunction="sum" dataDxfId="287" totalsRowDxfId="286"/>
    <tableColumn id="6" xr3:uid="{00000000-0010-0000-0500-000006000000}" name="Maijs" totalsRowFunction="sum" dataDxfId="285" totalsRowDxfId="284"/>
    <tableColumn id="7" xr3:uid="{00000000-0010-0000-0500-000007000000}" name="Jūn" totalsRowFunction="sum" dataDxfId="283" totalsRowDxfId="282"/>
    <tableColumn id="8" xr3:uid="{00000000-0010-0000-0500-000008000000}" name="Jūl" totalsRowFunction="sum" dataDxfId="281" totalsRowDxfId="280"/>
    <tableColumn id="9" xr3:uid="{00000000-0010-0000-0500-000009000000}" name="Aug" totalsRowFunction="sum" dataDxfId="279" totalsRowDxfId="278"/>
    <tableColumn id="10" xr3:uid="{00000000-0010-0000-0500-00000A000000}" name="Sep" totalsRowFunction="sum" dataDxfId="277" totalsRowDxfId="276"/>
    <tableColumn id="11" xr3:uid="{00000000-0010-0000-0500-00000B000000}" name="Okt" totalsRowFunction="sum" dataDxfId="275" totalsRowDxfId="274"/>
    <tableColumn id="12" xr3:uid="{00000000-0010-0000-0500-00000C000000}" name="Nov" totalsRowFunction="sum" dataDxfId="273" totalsRowDxfId="272"/>
    <tableColumn id="13" xr3:uid="{00000000-0010-0000-0500-00000D000000}" name="Dec" totalsRowFunction="sum" dataDxfId="271" totalsRowDxfId="270"/>
    <tableColumn id="14" xr3:uid="{00000000-0010-0000-0500-00000E000000}" name="GADS" totalsRowFunction="sum" dataDxfId="269" totalsRowDxfId="268">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Šajā tabulā ievadiet faktiskās mārketinga ikmēneša izmaksas. Kopsumma tiek automātiski aprēķināta beigā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Apmācību_un_komandējumu_faktiskās_izmaksas" displayName="Apmācību_un_komandējumu_faktiskās_izmaksas" ref="B30:O33" totalsRowCount="1" headerRowDxfId="267" totalsRowDxfId="264" headerRowBorderDxfId="266" tableBorderDxfId="265" totalsRowBorderDxfId="263">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Apmācības/komandējumi" totalsRowLabel="Starpsumma" dataDxfId="262" totalsRowDxfId="261"/>
    <tableColumn id="2" xr3:uid="{00000000-0010-0000-0600-000002000000}" name="Jan" totalsRowFunction="sum" dataDxfId="260" totalsRowDxfId="259"/>
    <tableColumn id="3" xr3:uid="{00000000-0010-0000-0600-000003000000}" name="Feb" totalsRowFunction="sum" dataDxfId="258" totalsRowDxfId="257"/>
    <tableColumn id="4" xr3:uid="{00000000-0010-0000-0600-000004000000}" name="Mar" totalsRowFunction="sum" dataDxfId="256" totalsRowDxfId="255"/>
    <tableColumn id="5" xr3:uid="{00000000-0010-0000-0600-000005000000}" name="Apr" totalsRowFunction="sum" dataDxfId="254" totalsRowDxfId="253"/>
    <tableColumn id="6" xr3:uid="{00000000-0010-0000-0600-000006000000}" name="Maijs" totalsRowFunction="sum" dataDxfId="252" totalsRowDxfId="251"/>
    <tableColumn id="7" xr3:uid="{00000000-0010-0000-0600-000007000000}" name="Jūn" totalsRowFunction="sum" dataDxfId="250" totalsRowDxfId="249"/>
    <tableColumn id="8" xr3:uid="{00000000-0010-0000-0600-000008000000}" name="Jūl" totalsRowFunction="sum" dataDxfId="248" totalsRowDxfId="247"/>
    <tableColumn id="9" xr3:uid="{00000000-0010-0000-0600-000009000000}" name="Aug" totalsRowFunction="sum" dataDxfId="246" totalsRowDxfId="245"/>
    <tableColumn id="10" xr3:uid="{00000000-0010-0000-0600-00000A000000}" name="Sep" totalsRowFunction="sum" dataDxfId="244" totalsRowDxfId="243"/>
    <tableColumn id="11" xr3:uid="{00000000-0010-0000-0600-00000B000000}" name="Okt" totalsRowFunction="sum" dataDxfId="242" totalsRowDxfId="241"/>
    <tableColumn id="12" xr3:uid="{00000000-0010-0000-0600-00000C000000}" name="Nov" totalsRowFunction="sum" dataDxfId="240" totalsRowDxfId="239"/>
    <tableColumn id="13" xr3:uid="{00000000-0010-0000-0600-00000D000000}" name="Dec" totalsRowFunction="sum" dataDxfId="238" totalsRowDxfId="237"/>
    <tableColumn id="14" xr3:uid="{00000000-0010-0000-0600-00000E000000}" name="GADS" totalsRowFunction="sum" dataDxfId="236" totalsRowDxfId="235">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Šajā tabulā ievadiet faktiskās apmācību un komandējumu ikmēneša izmaksas. Kopsumma tiek automātiski aprēķināta beigā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arbinieku_faktiskās_izmaksas" displayName="Darbinieku_faktiskās_izmaksas" ref="B5:O8" totalsRowCount="1" headerRowDxfId="234" totalsRowDxfId="231" headerRowBorderDxfId="233" tableBorderDxfId="232" totalsRowBorderDxfId="230">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Darbinieku izmaksas" totalsRowLabel="Starpsumma" dataDxfId="229" totalsRowDxfId="228"/>
    <tableColumn id="2" xr3:uid="{00000000-0010-0000-0700-000002000000}" name="Jan" totalsRowFunction="sum" dataDxfId="227" totalsRowDxfId="226">
      <calculatedColumnFormula>C5*0.27</calculatedColumnFormula>
    </tableColumn>
    <tableColumn id="3" xr3:uid="{00000000-0010-0000-0700-000003000000}" name="Feb" totalsRowFunction="sum" dataDxfId="225" totalsRowDxfId="224">
      <calculatedColumnFormula>D5*0.27</calculatedColumnFormula>
    </tableColumn>
    <tableColumn id="4" xr3:uid="{00000000-0010-0000-0700-000004000000}" name="Mar" totalsRowFunction="sum" dataDxfId="223" totalsRowDxfId="222">
      <calculatedColumnFormula>E5*0.27</calculatedColumnFormula>
    </tableColumn>
    <tableColumn id="5" xr3:uid="{00000000-0010-0000-0700-000005000000}" name="Apr" totalsRowFunction="sum" dataDxfId="221" totalsRowDxfId="220">
      <calculatedColumnFormula>F5*0.27</calculatedColumnFormula>
    </tableColumn>
    <tableColumn id="6" xr3:uid="{00000000-0010-0000-0700-000006000000}" name="Maijs" totalsRowFunction="sum" dataDxfId="219" totalsRowDxfId="218">
      <calculatedColumnFormula>G5*0.27</calculatedColumnFormula>
    </tableColumn>
    <tableColumn id="7" xr3:uid="{00000000-0010-0000-0700-000007000000}" name="Jūn" totalsRowFunction="sum" dataDxfId="217" totalsRowDxfId="216">
      <calculatedColumnFormula>H5*0.27</calculatedColumnFormula>
    </tableColumn>
    <tableColumn id="8" xr3:uid="{00000000-0010-0000-0700-000008000000}" name="Jūl" totalsRowFunction="sum" dataDxfId="215" totalsRowDxfId="214"/>
    <tableColumn id="9" xr3:uid="{00000000-0010-0000-0700-000009000000}" name="Aug" totalsRowFunction="sum" dataDxfId="213" totalsRowDxfId="212"/>
    <tableColumn id="10" xr3:uid="{00000000-0010-0000-0700-00000A000000}" name="Sep" totalsRowFunction="sum" dataDxfId="211" totalsRowDxfId="210"/>
    <tableColumn id="11" xr3:uid="{00000000-0010-0000-0700-00000B000000}" name="Okt" totalsRowFunction="sum" dataDxfId="209" totalsRowDxfId="208"/>
    <tableColumn id="12" xr3:uid="{00000000-0010-0000-0700-00000C000000}" name="Nov" totalsRowFunction="sum" dataDxfId="207" totalsRowDxfId="206"/>
    <tableColumn id="13" xr3:uid="{00000000-0010-0000-0700-00000D000000}" name="Dec" totalsRowFunction="sum" dataDxfId="205" totalsRowDxfId="204"/>
    <tableColumn id="14" xr3:uid="{00000000-0010-0000-0700-00000E000000}" name="GADS" totalsRowFunction="sum" dataDxfId="203" totalsRowDxfId="202">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Šajā tabulā ievadiet faktiskās darbinieku ikmēneša izmaksas. Kopsumma tiek automātiski aprēķināta beigās"/>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tabSelected="1" workbookViewId="0"/>
  </sheetViews>
  <sheetFormatPr defaultRowHeight="12.75" x14ac:dyDescent="0.2"/>
  <cols>
    <col min="1" max="1" width="2.7109375" customWidth="1"/>
    <col min="2" max="2" width="75.42578125" customWidth="1"/>
    <col min="3" max="3" width="2.7109375" customWidth="1"/>
  </cols>
  <sheetData>
    <row r="1" spans="2:2" s="32" customFormat="1" ht="30" customHeight="1" x14ac:dyDescent="0.2">
      <c r="B1" s="33" t="s">
        <v>0</v>
      </c>
    </row>
    <row r="2" spans="2:2" ht="36.75" customHeight="1" x14ac:dyDescent="0.2">
      <c r="B2" s="46" t="s">
        <v>1</v>
      </c>
    </row>
    <row r="3" spans="2:2" ht="30" customHeight="1" x14ac:dyDescent="0.2">
      <c r="B3" s="46" t="s">
        <v>2</v>
      </c>
    </row>
    <row r="4" spans="2:2" ht="40.5" customHeight="1" x14ac:dyDescent="0.2">
      <c r="B4" s="46" t="s">
        <v>3</v>
      </c>
    </row>
    <row r="5" spans="2:2" ht="36" customHeight="1" x14ac:dyDescent="0.2">
      <c r="B5" s="46" t="s">
        <v>4</v>
      </c>
    </row>
    <row r="6" spans="2:2" ht="36" customHeight="1" x14ac:dyDescent="0.2">
      <c r="B6" s="48" t="s">
        <v>5</v>
      </c>
    </row>
    <row r="7" spans="2:2" ht="53.25" customHeight="1" x14ac:dyDescent="0.2">
      <c r="B7" s="46" t="s">
        <v>6</v>
      </c>
    </row>
    <row r="8" spans="2:2" ht="40.5" customHeight="1" x14ac:dyDescent="0.25">
      <c r="B8" s="47"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T40"/>
  <sheetViews>
    <sheetView showGridLines="0" zoomScaleNormal="100" workbookViewId="0"/>
  </sheetViews>
  <sheetFormatPr defaultColWidth="9.140625" defaultRowHeight="21" customHeight="1" x14ac:dyDescent="0.3"/>
  <cols>
    <col min="1" max="1" width="4.7109375" style="1" customWidth="1"/>
    <col min="2" max="2" width="49.5703125" style="1" bestFit="1" customWidth="1"/>
    <col min="3" max="13" width="17.7109375" style="1" customWidth="1"/>
    <col min="14" max="14" width="18" style="1" customWidth="1"/>
    <col min="15" max="15" width="20.140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ht="24" customHeight="1" x14ac:dyDescent="0.3">
      <c r="A1" s="36" t="s">
        <v>8</v>
      </c>
      <c r="B1" s="11"/>
      <c r="C1" s="11"/>
      <c r="D1" s="11"/>
      <c r="E1" s="11"/>
      <c r="F1" s="8"/>
      <c r="G1" s="8"/>
      <c r="H1" s="8"/>
      <c r="I1" s="8"/>
      <c r="J1" s="8"/>
      <c r="K1" s="8"/>
      <c r="L1" s="8"/>
      <c r="M1" s="8"/>
      <c r="N1" s="8"/>
      <c r="O1" s="8"/>
      <c r="P1" s="68" t="s">
        <v>73</v>
      </c>
    </row>
    <row r="2" spans="1:20" ht="45" customHeight="1" x14ac:dyDescent="0.35">
      <c r="A2" s="34" t="s">
        <v>9</v>
      </c>
      <c r="B2" s="131" t="s">
        <v>96</v>
      </c>
      <c r="C2" s="131"/>
      <c r="D2" s="131"/>
      <c r="E2" s="143"/>
      <c r="F2" s="9"/>
      <c r="G2" s="9"/>
      <c r="H2" s="9"/>
      <c r="I2" s="9"/>
      <c r="J2" s="9"/>
      <c r="K2" s="128" t="s">
        <v>60</v>
      </c>
      <c r="L2" s="128"/>
      <c r="M2" s="128"/>
      <c r="N2" s="127" t="s">
        <v>68</v>
      </c>
      <c r="O2" s="127"/>
      <c r="P2" s="8"/>
    </row>
    <row r="3" spans="1:20" ht="30" customHeight="1" x14ac:dyDescent="0.3">
      <c r="A3" s="34" t="s">
        <v>10</v>
      </c>
      <c r="B3" s="131"/>
      <c r="C3" s="131"/>
      <c r="D3" s="131"/>
      <c r="E3" s="144"/>
      <c r="F3" s="10"/>
      <c r="G3" s="10"/>
      <c r="H3" s="10"/>
      <c r="I3" s="10"/>
      <c r="J3" s="10"/>
      <c r="K3" s="132" t="s">
        <v>61</v>
      </c>
      <c r="L3" s="132"/>
      <c r="M3" s="132"/>
      <c r="N3" s="127"/>
      <c r="O3" s="127"/>
      <c r="P3" s="8"/>
    </row>
    <row r="4" spans="1:20" s="23" customFormat="1" ht="49.5" customHeight="1" x14ac:dyDescent="0.3">
      <c r="A4" s="37" t="s">
        <v>11</v>
      </c>
      <c r="B4" s="24" t="s">
        <v>17</v>
      </c>
      <c r="C4" s="25" t="s">
        <v>44</v>
      </c>
      <c r="D4" s="25" t="s">
        <v>46</v>
      </c>
      <c r="E4" s="25" t="s">
        <v>48</v>
      </c>
      <c r="F4" s="25" t="s">
        <v>50</v>
      </c>
      <c r="G4" s="25" t="s">
        <v>52</v>
      </c>
      <c r="H4" s="25" t="s">
        <v>54</v>
      </c>
      <c r="I4" s="25" t="s">
        <v>56</v>
      </c>
      <c r="J4" s="25" t="s">
        <v>58</v>
      </c>
      <c r="K4" s="25" t="s">
        <v>62</v>
      </c>
      <c r="L4" s="25" t="s">
        <v>64</v>
      </c>
      <c r="M4" s="25" t="s">
        <v>66</v>
      </c>
      <c r="N4" s="89" t="s">
        <v>69</v>
      </c>
      <c r="O4" s="25" t="s">
        <v>71</v>
      </c>
      <c r="R4" s="125" t="s">
        <v>74</v>
      </c>
      <c r="S4" s="126"/>
      <c r="T4" s="126"/>
    </row>
    <row r="5" spans="1:20" s="3" customFormat="1" ht="24.95" customHeight="1" thickBot="1" x14ac:dyDescent="0.35">
      <c r="A5" s="44" t="s">
        <v>12</v>
      </c>
      <c r="B5" s="49" t="s">
        <v>18</v>
      </c>
      <c r="C5" s="66" t="s">
        <v>45</v>
      </c>
      <c r="D5" s="64" t="s">
        <v>47</v>
      </c>
      <c r="E5" s="90" t="s">
        <v>49</v>
      </c>
      <c r="F5" s="64" t="s">
        <v>51</v>
      </c>
      <c r="G5" s="64" t="s">
        <v>53</v>
      </c>
      <c r="H5" s="64" t="s">
        <v>55</v>
      </c>
      <c r="I5" s="64" t="s">
        <v>57</v>
      </c>
      <c r="J5" s="64" t="s">
        <v>59</v>
      </c>
      <c r="K5" s="64" t="s">
        <v>63</v>
      </c>
      <c r="L5" s="64" t="s">
        <v>65</v>
      </c>
      <c r="M5" s="64" t="s">
        <v>67</v>
      </c>
      <c r="N5" s="64" t="s">
        <v>70</v>
      </c>
      <c r="O5" s="65" t="s">
        <v>71</v>
      </c>
      <c r="R5" s="126"/>
      <c r="S5" s="126"/>
      <c r="T5" s="126"/>
    </row>
    <row r="6" spans="1:20" ht="24.95" customHeight="1" thickBot="1" x14ac:dyDescent="0.35">
      <c r="A6" s="35"/>
      <c r="B6" s="50" t="s">
        <v>19</v>
      </c>
      <c r="C6" s="94">
        <v>85000</v>
      </c>
      <c r="D6" s="95">
        <v>85000</v>
      </c>
      <c r="E6" s="95">
        <v>85000</v>
      </c>
      <c r="F6" s="95">
        <v>87500</v>
      </c>
      <c r="G6" s="95">
        <v>87500</v>
      </c>
      <c r="H6" s="95">
        <v>87500</v>
      </c>
      <c r="I6" s="95">
        <v>87500</v>
      </c>
      <c r="J6" s="95">
        <v>92400</v>
      </c>
      <c r="K6" s="95">
        <v>92400</v>
      </c>
      <c r="L6" s="95">
        <v>92400</v>
      </c>
      <c r="M6" s="95">
        <v>92400</v>
      </c>
      <c r="N6" s="95">
        <v>92400</v>
      </c>
      <c r="O6" s="96">
        <f>SUM(C6:N6)</f>
        <v>1067000</v>
      </c>
      <c r="R6" s="126"/>
      <c r="S6" s="126"/>
      <c r="T6" s="126"/>
    </row>
    <row r="7" spans="1:20" ht="24.95" customHeight="1" thickBot="1" x14ac:dyDescent="0.35">
      <c r="A7" s="35"/>
      <c r="B7" s="50" t="s">
        <v>20</v>
      </c>
      <c r="C7" s="94">
        <f>C6*0.27</f>
        <v>22950</v>
      </c>
      <c r="D7" s="95">
        <f>D6*0.27</f>
        <v>22950</v>
      </c>
      <c r="E7" s="95">
        <f>E6*0.27</f>
        <v>22950</v>
      </c>
      <c r="F7" s="95">
        <f>F6*0.27</f>
        <v>23625</v>
      </c>
      <c r="G7" s="95">
        <f>G6*0.27</f>
        <v>23625</v>
      </c>
      <c r="H7" s="95">
        <f>H6*0.27</f>
        <v>23625</v>
      </c>
      <c r="I7" s="95">
        <f>I6*0.27</f>
        <v>23625</v>
      </c>
      <c r="J7" s="95">
        <f>J6*0.27</f>
        <v>24948</v>
      </c>
      <c r="K7" s="95">
        <f>K6*0.27</f>
        <v>24948</v>
      </c>
      <c r="L7" s="95">
        <f>L6*0.27</f>
        <v>24948</v>
      </c>
      <c r="M7" s="95">
        <f>M6*0.27</f>
        <v>24948</v>
      </c>
      <c r="N7" s="95">
        <f>N6*0.27</f>
        <v>24948</v>
      </c>
      <c r="O7" s="96">
        <f>SUM(C7:N7)</f>
        <v>288090</v>
      </c>
      <c r="R7" s="126"/>
      <c r="S7" s="126"/>
      <c r="T7" s="126"/>
    </row>
    <row r="8" spans="1:20" ht="24.95" customHeight="1" x14ac:dyDescent="0.3">
      <c r="A8" s="35"/>
      <c r="B8" s="51" t="s">
        <v>21</v>
      </c>
      <c r="C8" s="97">
        <f>SUBTOTAL(109,Darbinieku_plāns[Jan])</f>
        <v>107950</v>
      </c>
      <c r="D8" s="98">
        <f>SUBTOTAL(109,Darbinieku_plāns[Feb])</f>
        <v>107950</v>
      </c>
      <c r="E8" s="98">
        <f>SUBTOTAL(109,Darbinieku_plāns[Mar])</f>
        <v>107950</v>
      </c>
      <c r="F8" s="98">
        <f>SUBTOTAL(109,Darbinieku_plāns[Apr])</f>
        <v>111125</v>
      </c>
      <c r="G8" s="98">
        <f>SUBTOTAL(109,Darbinieku_plāns[Maijs])</f>
        <v>111125</v>
      </c>
      <c r="H8" s="98">
        <f>SUBTOTAL(109,Darbinieku_plāns[Jūn])</f>
        <v>111125</v>
      </c>
      <c r="I8" s="98">
        <f>SUBTOTAL(109,Darbinieku_plāns[Jūl])</f>
        <v>111125</v>
      </c>
      <c r="J8" s="98">
        <f>SUBTOTAL(109,Darbinieku_plāns[Aug])</f>
        <v>117348</v>
      </c>
      <c r="K8" s="98">
        <f>SUBTOTAL(109,Darbinieku_plāns[Sep])</f>
        <v>117348</v>
      </c>
      <c r="L8" s="98">
        <f>SUBTOTAL(109,Darbinieku_plāns[Okt])</f>
        <v>117348</v>
      </c>
      <c r="M8" s="98">
        <f>SUBTOTAL(109,Darbinieku_plāns[Nov])</f>
        <v>117348</v>
      </c>
      <c r="N8" s="98">
        <f>SUBTOTAL(109,Darbinieku_plāns[Dec])</f>
        <v>117348</v>
      </c>
      <c r="O8" s="99">
        <f>SUBTOTAL(109,Darbinieku_plāns[GADS])</f>
        <v>1355090</v>
      </c>
      <c r="R8" s="126"/>
      <c r="S8" s="126"/>
      <c r="T8" s="126"/>
    </row>
    <row r="9" spans="1:20" ht="21" customHeight="1" thickBot="1" x14ac:dyDescent="0.35">
      <c r="A9" s="145"/>
      <c r="B9" s="129"/>
      <c r="C9" s="129"/>
      <c r="D9" s="146"/>
      <c r="E9" s="146"/>
      <c r="F9" s="146"/>
      <c r="G9" s="146"/>
      <c r="H9" s="146"/>
      <c r="I9" s="146"/>
      <c r="J9" s="146"/>
      <c r="K9" s="146"/>
      <c r="L9" s="146"/>
      <c r="M9" s="146"/>
      <c r="N9" s="146"/>
      <c r="O9" s="147"/>
      <c r="R9" s="126"/>
      <c r="S9" s="126"/>
      <c r="T9" s="126"/>
    </row>
    <row r="10" spans="1:20" ht="24.95" customHeight="1" thickBot="1" x14ac:dyDescent="0.35">
      <c r="A10" s="35" t="s">
        <v>13</v>
      </c>
      <c r="B10" s="60" t="s">
        <v>22</v>
      </c>
      <c r="C10" s="57" t="s">
        <v>45</v>
      </c>
      <c r="D10" s="58" t="s">
        <v>47</v>
      </c>
      <c r="E10" s="58" t="s">
        <v>49</v>
      </c>
      <c r="F10" s="58" t="s">
        <v>51</v>
      </c>
      <c r="G10" s="58" t="s">
        <v>53</v>
      </c>
      <c r="H10" s="58" t="s">
        <v>55</v>
      </c>
      <c r="I10" s="58" t="s">
        <v>57</v>
      </c>
      <c r="J10" s="58" t="s">
        <v>59</v>
      </c>
      <c r="K10" s="58" t="s">
        <v>63</v>
      </c>
      <c r="L10" s="58" t="s">
        <v>65</v>
      </c>
      <c r="M10" s="58" t="s">
        <v>67</v>
      </c>
      <c r="N10" s="58" t="s">
        <v>70</v>
      </c>
      <c r="O10" s="59" t="s">
        <v>71</v>
      </c>
      <c r="R10" s="126"/>
      <c r="S10" s="126"/>
      <c r="T10" s="126"/>
    </row>
    <row r="11" spans="1:20" ht="24.95" customHeight="1" thickBot="1" x14ac:dyDescent="0.35">
      <c r="A11" s="35"/>
      <c r="B11" s="86" t="s">
        <v>23</v>
      </c>
      <c r="C11" s="94">
        <v>9800</v>
      </c>
      <c r="D11" s="95">
        <v>9800</v>
      </c>
      <c r="E11" s="95">
        <v>9800</v>
      </c>
      <c r="F11" s="95">
        <v>9800</v>
      </c>
      <c r="G11" s="95">
        <v>9800</v>
      </c>
      <c r="H11" s="95">
        <v>9800</v>
      </c>
      <c r="I11" s="95">
        <v>9800</v>
      </c>
      <c r="J11" s="95">
        <v>9800</v>
      </c>
      <c r="K11" s="95">
        <v>9800</v>
      </c>
      <c r="L11" s="95">
        <v>9800</v>
      </c>
      <c r="M11" s="95">
        <v>9800</v>
      </c>
      <c r="N11" s="95">
        <v>9800</v>
      </c>
      <c r="O11" s="96">
        <f t="shared" ref="O11:O18" si="0">SUM(C11:N11)</f>
        <v>117600</v>
      </c>
      <c r="R11" s="126"/>
      <c r="S11" s="126"/>
      <c r="T11" s="126"/>
    </row>
    <row r="12" spans="1:20" ht="24.95" customHeight="1" thickBot="1" x14ac:dyDescent="0.35">
      <c r="A12" s="35"/>
      <c r="B12" s="86" t="s">
        <v>24</v>
      </c>
      <c r="C12" s="94"/>
      <c r="D12" s="95">
        <v>400</v>
      </c>
      <c r="E12" s="95">
        <v>400</v>
      </c>
      <c r="F12" s="95">
        <v>100</v>
      </c>
      <c r="G12" s="95">
        <v>100</v>
      </c>
      <c r="H12" s="95">
        <v>100</v>
      </c>
      <c r="I12" s="95">
        <v>100</v>
      </c>
      <c r="J12" s="95">
        <v>100</v>
      </c>
      <c r="K12" s="95">
        <v>100</v>
      </c>
      <c r="L12" s="95">
        <v>100</v>
      </c>
      <c r="M12" s="95">
        <v>400</v>
      </c>
      <c r="N12" s="95">
        <v>400</v>
      </c>
      <c r="O12" s="96">
        <f t="shared" si="0"/>
        <v>2300</v>
      </c>
      <c r="R12" s="126"/>
      <c r="S12" s="126"/>
      <c r="T12" s="126"/>
    </row>
    <row r="13" spans="1:20" ht="24.95" customHeight="1" thickBot="1" x14ac:dyDescent="0.35">
      <c r="A13" s="35"/>
      <c r="B13" s="86" t="s">
        <v>25</v>
      </c>
      <c r="C13" s="94">
        <v>300</v>
      </c>
      <c r="D13" s="95">
        <v>300</v>
      </c>
      <c r="E13" s="95">
        <v>300</v>
      </c>
      <c r="F13" s="95">
        <v>300</v>
      </c>
      <c r="G13" s="95">
        <v>300</v>
      </c>
      <c r="H13" s="95">
        <v>300</v>
      </c>
      <c r="I13" s="95">
        <v>300</v>
      </c>
      <c r="J13" s="95">
        <v>300</v>
      </c>
      <c r="K13" s="95">
        <v>300</v>
      </c>
      <c r="L13" s="95">
        <v>300</v>
      </c>
      <c r="M13" s="95">
        <v>300</v>
      </c>
      <c r="N13" s="95">
        <v>300</v>
      </c>
      <c r="O13" s="96">
        <f t="shared" si="0"/>
        <v>3600</v>
      </c>
      <c r="R13" s="126"/>
      <c r="S13" s="126"/>
      <c r="T13" s="126"/>
    </row>
    <row r="14" spans="1:20" ht="24.95" customHeight="1" thickBot="1" x14ac:dyDescent="0.35">
      <c r="A14" s="35"/>
      <c r="B14" s="86" t="s">
        <v>26</v>
      </c>
      <c r="C14" s="94">
        <v>40</v>
      </c>
      <c r="D14" s="95">
        <v>40</v>
      </c>
      <c r="E14" s="95">
        <v>40</v>
      </c>
      <c r="F14" s="95">
        <v>40</v>
      </c>
      <c r="G14" s="95">
        <v>40</v>
      </c>
      <c r="H14" s="95">
        <v>40</v>
      </c>
      <c r="I14" s="95">
        <v>40</v>
      </c>
      <c r="J14" s="95">
        <v>40</v>
      </c>
      <c r="K14" s="95">
        <v>40</v>
      </c>
      <c r="L14" s="95">
        <v>40</v>
      </c>
      <c r="M14" s="95">
        <v>40</v>
      </c>
      <c r="N14" s="95">
        <v>40</v>
      </c>
      <c r="O14" s="96">
        <f t="shared" si="0"/>
        <v>480</v>
      </c>
    </row>
    <row r="15" spans="1:20" ht="24.95" customHeight="1" thickBot="1" x14ac:dyDescent="0.35">
      <c r="A15" s="35"/>
      <c r="B15" s="86" t="s">
        <v>27</v>
      </c>
      <c r="C15" s="94">
        <v>250</v>
      </c>
      <c r="D15" s="95">
        <v>250</v>
      </c>
      <c r="E15" s="95">
        <v>250</v>
      </c>
      <c r="F15" s="95">
        <v>250</v>
      </c>
      <c r="G15" s="95">
        <v>250</v>
      </c>
      <c r="H15" s="95">
        <v>250</v>
      </c>
      <c r="I15" s="95">
        <v>250</v>
      </c>
      <c r="J15" s="95">
        <v>250</v>
      </c>
      <c r="K15" s="95">
        <v>250</v>
      </c>
      <c r="L15" s="95">
        <v>250</v>
      </c>
      <c r="M15" s="95">
        <v>250</v>
      </c>
      <c r="N15" s="95">
        <v>250</v>
      </c>
      <c r="O15" s="96">
        <f t="shared" si="0"/>
        <v>3000</v>
      </c>
    </row>
    <row r="16" spans="1:20" ht="24.95" customHeight="1" thickBot="1" x14ac:dyDescent="0.35">
      <c r="A16" s="35"/>
      <c r="B16" s="86" t="s">
        <v>28</v>
      </c>
      <c r="C16" s="94">
        <v>180</v>
      </c>
      <c r="D16" s="95">
        <v>180</v>
      </c>
      <c r="E16" s="95">
        <v>180</v>
      </c>
      <c r="F16" s="95">
        <v>180</v>
      </c>
      <c r="G16" s="95">
        <v>180</v>
      </c>
      <c r="H16" s="95">
        <v>180</v>
      </c>
      <c r="I16" s="95">
        <v>180</v>
      </c>
      <c r="J16" s="95">
        <v>180</v>
      </c>
      <c r="K16" s="95">
        <v>180</v>
      </c>
      <c r="L16" s="95">
        <v>180</v>
      </c>
      <c r="M16" s="95">
        <v>180</v>
      </c>
      <c r="N16" s="95">
        <v>180</v>
      </c>
      <c r="O16" s="96">
        <f t="shared" si="0"/>
        <v>2160</v>
      </c>
    </row>
    <row r="17" spans="1:15" ht="24.95" customHeight="1" thickBot="1" x14ac:dyDescent="0.35">
      <c r="A17" s="35"/>
      <c r="B17" s="86" t="s">
        <v>29</v>
      </c>
      <c r="C17" s="94">
        <v>200</v>
      </c>
      <c r="D17" s="95">
        <v>200</v>
      </c>
      <c r="E17" s="95">
        <v>200</v>
      </c>
      <c r="F17" s="95">
        <v>200</v>
      </c>
      <c r="G17" s="95">
        <v>200</v>
      </c>
      <c r="H17" s="95">
        <v>200</v>
      </c>
      <c r="I17" s="95">
        <v>200</v>
      </c>
      <c r="J17" s="95">
        <v>200</v>
      </c>
      <c r="K17" s="95">
        <v>200</v>
      </c>
      <c r="L17" s="95">
        <v>200</v>
      </c>
      <c r="M17" s="95">
        <v>200</v>
      </c>
      <c r="N17" s="95">
        <v>200</v>
      </c>
      <c r="O17" s="96">
        <f t="shared" si="0"/>
        <v>2400</v>
      </c>
    </row>
    <row r="18" spans="1:15" ht="24.95" customHeight="1" thickBot="1" x14ac:dyDescent="0.35">
      <c r="A18" s="35"/>
      <c r="B18" s="86" t="s">
        <v>30</v>
      </c>
      <c r="C18" s="94">
        <v>600</v>
      </c>
      <c r="D18" s="95">
        <v>600</v>
      </c>
      <c r="E18" s="95">
        <v>600</v>
      </c>
      <c r="F18" s="95">
        <v>600</v>
      </c>
      <c r="G18" s="95">
        <v>600</v>
      </c>
      <c r="H18" s="95">
        <v>600</v>
      </c>
      <c r="I18" s="95">
        <v>600</v>
      </c>
      <c r="J18" s="95">
        <v>600</v>
      </c>
      <c r="K18" s="95">
        <v>600</v>
      </c>
      <c r="L18" s="95">
        <v>600</v>
      </c>
      <c r="M18" s="95">
        <v>600</v>
      </c>
      <c r="N18" s="95">
        <v>600</v>
      </c>
      <c r="O18" s="96">
        <f t="shared" si="0"/>
        <v>7200</v>
      </c>
    </row>
    <row r="19" spans="1:15" ht="24.95" customHeight="1" thickBot="1" x14ac:dyDescent="0.35">
      <c r="A19" s="35"/>
      <c r="B19" s="67" t="s">
        <v>21</v>
      </c>
      <c r="C19" s="101">
        <f>SUBTOTAL(109,Biroja_plāns[Jan])</f>
        <v>11370</v>
      </c>
      <c r="D19" s="102">
        <f>SUBTOTAL(109,Biroja_plāns[Feb])</f>
        <v>11770</v>
      </c>
      <c r="E19" s="102">
        <f>SUBTOTAL(109,Biroja_plāns[Mar])</f>
        <v>11770</v>
      </c>
      <c r="F19" s="102">
        <f>SUBTOTAL(109,Biroja_plāns[Apr])</f>
        <v>11470</v>
      </c>
      <c r="G19" s="102">
        <f>SUBTOTAL(109,Biroja_plāns[Maijs])</f>
        <v>11470</v>
      </c>
      <c r="H19" s="102">
        <f>SUBTOTAL(109,Biroja_plāns[Jūn])</f>
        <v>11470</v>
      </c>
      <c r="I19" s="102">
        <f>SUBTOTAL(109,Biroja_plāns[Jūl])</f>
        <v>11470</v>
      </c>
      <c r="J19" s="102">
        <f>SUBTOTAL(109,Biroja_plāns[Aug])</f>
        <v>11470</v>
      </c>
      <c r="K19" s="102">
        <f>SUBTOTAL(109,Biroja_plāns[Sep])</f>
        <v>11470</v>
      </c>
      <c r="L19" s="102">
        <f>SUBTOTAL(109,Biroja_plāns[Okt])</f>
        <v>11470</v>
      </c>
      <c r="M19" s="102">
        <f>SUBTOTAL(109,Biroja_plāns[Nov])</f>
        <v>11770</v>
      </c>
      <c r="N19" s="102">
        <f>SUBTOTAL(109,Biroja_plāns[Dec])</f>
        <v>11770</v>
      </c>
      <c r="O19" s="100">
        <f>SUBTOTAL(109,Biroja_plāns[GADS])</f>
        <v>138740</v>
      </c>
    </row>
    <row r="20" spans="1:15" ht="21" customHeight="1" x14ac:dyDescent="0.3">
      <c r="A20" s="145"/>
      <c r="B20" s="130"/>
      <c r="C20" s="130"/>
      <c r="D20" s="146"/>
      <c r="E20" s="146"/>
      <c r="F20" s="148"/>
      <c r="G20" s="148"/>
      <c r="H20" s="148"/>
      <c r="I20" s="148"/>
      <c r="J20" s="148"/>
      <c r="K20" s="148"/>
      <c r="L20" s="148"/>
      <c r="M20" s="148"/>
      <c r="N20" s="148"/>
      <c r="O20" s="147"/>
    </row>
    <row r="21" spans="1:15" ht="24.95" customHeight="1" thickBot="1" x14ac:dyDescent="0.35">
      <c r="A21" s="35" t="s">
        <v>14</v>
      </c>
      <c r="B21" s="61" t="s">
        <v>31</v>
      </c>
      <c r="C21" s="54" t="s">
        <v>45</v>
      </c>
      <c r="D21" s="54" t="s">
        <v>47</v>
      </c>
      <c r="E21" s="54" t="s">
        <v>49</v>
      </c>
      <c r="F21" s="54" t="s">
        <v>51</v>
      </c>
      <c r="G21" s="54" t="s">
        <v>53</v>
      </c>
      <c r="H21" s="54" t="s">
        <v>55</v>
      </c>
      <c r="I21" s="54" t="s">
        <v>57</v>
      </c>
      <c r="J21" s="54" t="s">
        <v>59</v>
      </c>
      <c r="K21" s="54" t="s">
        <v>63</v>
      </c>
      <c r="L21" s="54" t="s">
        <v>65</v>
      </c>
      <c r="M21" s="54" t="s">
        <v>67</v>
      </c>
      <c r="N21" s="54" t="s">
        <v>70</v>
      </c>
      <c r="O21" s="55" t="s">
        <v>71</v>
      </c>
    </row>
    <row r="22" spans="1:15" ht="24.95" customHeight="1" thickBot="1" x14ac:dyDescent="0.35">
      <c r="A22" s="35"/>
      <c r="B22" s="50" t="s">
        <v>32</v>
      </c>
      <c r="C22" s="103">
        <v>500</v>
      </c>
      <c r="D22" s="104">
        <v>500</v>
      </c>
      <c r="E22" s="104">
        <v>500</v>
      </c>
      <c r="F22" s="104">
        <v>500</v>
      </c>
      <c r="G22" s="104">
        <v>500</v>
      </c>
      <c r="H22" s="104">
        <v>500</v>
      </c>
      <c r="I22" s="104">
        <v>500</v>
      </c>
      <c r="J22" s="104">
        <v>500</v>
      </c>
      <c r="K22" s="104">
        <v>500</v>
      </c>
      <c r="L22" s="104">
        <v>500</v>
      </c>
      <c r="M22" s="104">
        <v>500</v>
      </c>
      <c r="N22" s="104">
        <v>500</v>
      </c>
      <c r="O22" s="96">
        <f t="shared" ref="O22:O27" si="1">SUM(C22:N22)</f>
        <v>6000</v>
      </c>
    </row>
    <row r="23" spans="1:15" ht="24.95" customHeight="1" thickBot="1" x14ac:dyDescent="0.35">
      <c r="A23" s="35"/>
      <c r="B23" s="50" t="s">
        <v>33</v>
      </c>
      <c r="C23" s="103">
        <v>200</v>
      </c>
      <c r="D23" s="104">
        <v>200</v>
      </c>
      <c r="E23" s="104">
        <v>200</v>
      </c>
      <c r="F23" s="104">
        <v>200</v>
      </c>
      <c r="G23" s="104">
        <v>200</v>
      </c>
      <c r="H23" s="104">
        <v>1000</v>
      </c>
      <c r="I23" s="104">
        <v>200</v>
      </c>
      <c r="J23" s="104">
        <v>200</v>
      </c>
      <c r="K23" s="104">
        <v>200</v>
      </c>
      <c r="L23" s="104">
        <v>200</v>
      </c>
      <c r="M23" s="104">
        <v>200</v>
      </c>
      <c r="N23" s="104">
        <v>1000</v>
      </c>
      <c r="O23" s="96">
        <f t="shared" si="1"/>
        <v>4000</v>
      </c>
    </row>
    <row r="24" spans="1:15" ht="24.95" customHeight="1" thickBot="1" x14ac:dyDescent="0.35">
      <c r="A24" s="35"/>
      <c r="B24" s="50" t="s">
        <v>34</v>
      </c>
      <c r="C24" s="103">
        <v>5000</v>
      </c>
      <c r="D24" s="104">
        <v>0</v>
      </c>
      <c r="E24" s="104">
        <v>0</v>
      </c>
      <c r="F24" s="104">
        <v>5000</v>
      </c>
      <c r="G24" s="104">
        <v>0</v>
      </c>
      <c r="H24" s="104">
        <v>0</v>
      </c>
      <c r="I24" s="104">
        <v>5000</v>
      </c>
      <c r="J24" s="104">
        <v>0</v>
      </c>
      <c r="K24" s="104">
        <v>0</v>
      </c>
      <c r="L24" s="104">
        <v>5000</v>
      </c>
      <c r="M24" s="104">
        <v>0</v>
      </c>
      <c r="N24" s="104">
        <v>0</v>
      </c>
      <c r="O24" s="96">
        <f t="shared" si="1"/>
        <v>20000</v>
      </c>
    </row>
    <row r="25" spans="1:15" ht="24.95" customHeight="1" thickBot="1" x14ac:dyDescent="0.35">
      <c r="A25" s="35"/>
      <c r="B25" s="50" t="s">
        <v>35</v>
      </c>
      <c r="C25" s="103">
        <v>200</v>
      </c>
      <c r="D25" s="104">
        <v>200</v>
      </c>
      <c r="E25" s="104">
        <v>200</v>
      </c>
      <c r="F25" s="104">
        <v>200</v>
      </c>
      <c r="G25" s="104">
        <v>200</v>
      </c>
      <c r="H25" s="104">
        <v>200</v>
      </c>
      <c r="I25" s="104">
        <v>200</v>
      </c>
      <c r="J25" s="104">
        <v>200</v>
      </c>
      <c r="K25" s="104">
        <v>200</v>
      </c>
      <c r="L25" s="104">
        <v>200</v>
      </c>
      <c r="M25" s="104">
        <v>200</v>
      </c>
      <c r="N25" s="104">
        <v>200</v>
      </c>
      <c r="O25" s="96">
        <f t="shared" si="1"/>
        <v>2400</v>
      </c>
    </row>
    <row r="26" spans="1:15" ht="24.95" customHeight="1" thickBot="1" x14ac:dyDescent="0.35">
      <c r="A26" s="35"/>
      <c r="B26" s="50" t="s">
        <v>36</v>
      </c>
      <c r="C26" s="103">
        <v>2000</v>
      </c>
      <c r="D26" s="104">
        <v>2000</v>
      </c>
      <c r="E26" s="104">
        <v>2000</v>
      </c>
      <c r="F26" s="104">
        <v>5000</v>
      </c>
      <c r="G26" s="104">
        <v>2000</v>
      </c>
      <c r="H26" s="104">
        <v>2000</v>
      </c>
      <c r="I26" s="104">
        <v>2000</v>
      </c>
      <c r="J26" s="104">
        <v>5000</v>
      </c>
      <c r="K26" s="104">
        <v>2000</v>
      </c>
      <c r="L26" s="104">
        <v>2000</v>
      </c>
      <c r="M26" s="104">
        <v>2000</v>
      </c>
      <c r="N26" s="104">
        <v>5000</v>
      </c>
      <c r="O26" s="96">
        <f t="shared" si="1"/>
        <v>33000</v>
      </c>
    </row>
    <row r="27" spans="1:15" ht="24.95" customHeight="1" thickBot="1" x14ac:dyDescent="0.35">
      <c r="A27" s="35"/>
      <c r="B27" s="50" t="s">
        <v>37</v>
      </c>
      <c r="C27" s="103">
        <v>200</v>
      </c>
      <c r="D27" s="104">
        <v>200</v>
      </c>
      <c r="E27" s="104">
        <v>200</v>
      </c>
      <c r="F27" s="104">
        <v>200</v>
      </c>
      <c r="G27" s="104">
        <v>200</v>
      </c>
      <c r="H27" s="104">
        <v>200</v>
      </c>
      <c r="I27" s="104">
        <v>200</v>
      </c>
      <c r="J27" s="104">
        <v>200</v>
      </c>
      <c r="K27" s="104">
        <v>200</v>
      </c>
      <c r="L27" s="104">
        <v>200</v>
      </c>
      <c r="M27" s="104">
        <v>200</v>
      </c>
      <c r="N27" s="104">
        <v>200</v>
      </c>
      <c r="O27" s="96">
        <f t="shared" si="1"/>
        <v>2400</v>
      </c>
    </row>
    <row r="28" spans="1:15" ht="24.95" customHeight="1" x14ac:dyDescent="0.3">
      <c r="A28" s="35"/>
      <c r="B28" s="52" t="s">
        <v>21</v>
      </c>
      <c r="C28" s="97">
        <f>SUBTOTAL(109,Mārketinga_plāns[Jan])</f>
        <v>8100</v>
      </c>
      <c r="D28" s="98">
        <f>SUBTOTAL(109,Mārketinga_plāns[Feb])</f>
        <v>3100</v>
      </c>
      <c r="E28" s="98">
        <f>SUBTOTAL(109,Mārketinga_plāns[Mar])</f>
        <v>3100</v>
      </c>
      <c r="F28" s="98">
        <f>SUBTOTAL(109,Mārketinga_plāns[Apr])</f>
        <v>11100</v>
      </c>
      <c r="G28" s="98">
        <f>SUBTOTAL(109,Mārketinga_plāns[Maijs])</f>
        <v>3100</v>
      </c>
      <c r="H28" s="98">
        <f>SUBTOTAL(109,Mārketinga_plāns[Jūn])</f>
        <v>3900</v>
      </c>
      <c r="I28" s="98">
        <f>SUBTOTAL(109,Mārketinga_plāns[Jūl])</f>
        <v>8100</v>
      </c>
      <c r="J28" s="98">
        <f>SUBTOTAL(109,Mārketinga_plāns[Aug])</f>
        <v>6100</v>
      </c>
      <c r="K28" s="98">
        <f>SUBTOTAL(109,Mārketinga_plāns[Sep])</f>
        <v>3100</v>
      </c>
      <c r="L28" s="98">
        <f>SUBTOTAL(109,Mārketinga_plāns[Okt])</f>
        <v>8100</v>
      </c>
      <c r="M28" s="98">
        <f>SUBTOTAL(109,Mārketinga_plāns[Nov])</f>
        <v>3100</v>
      </c>
      <c r="N28" s="98">
        <f>SUBTOTAL(109,Mārketinga_plāns[Dec])</f>
        <v>6900</v>
      </c>
      <c r="O28" s="99">
        <f>SUBTOTAL(109,Mārketinga_plāns[GADS])</f>
        <v>67800</v>
      </c>
    </row>
    <row r="29" spans="1:15" ht="21" customHeight="1" x14ac:dyDescent="0.3">
      <c r="A29" s="145"/>
      <c r="B29" s="129"/>
      <c r="C29" s="129"/>
      <c r="D29" s="148"/>
      <c r="E29" s="148"/>
      <c r="F29" s="148"/>
      <c r="G29" s="148"/>
      <c r="H29" s="148"/>
      <c r="I29" s="148"/>
      <c r="J29" s="148"/>
      <c r="K29" s="148"/>
      <c r="L29" s="148"/>
      <c r="M29" s="148"/>
      <c r="N29" s="148"/>
      <c r="O29" s="147"/>
    </row>
    <row r="30" spans="1:15" ht="21" customHeight="1" thickBot="1" x14ac:dyDescent="0.35">
      <c r="A30" s="35" t="s">
        <v>15</v>
      </c>
      <c r="B30" s="62" t="s">
        <v>38</v>
      </c>
      <c r="C30" s="54" t="s">
        <v>45</v>
      </c>
      <c r="D30" s="54" t="s">
        <v>47</v>
      </c>
      <c r="E30" s="54" t="s">
        <v>49</v>
      </c>
      <c r="F30" s="54" t="s">
        <v>51</v>
      </c>
      <c r="G30" s="54" t="s">
        <v>53</v>
      </c>
      <c r="H30" s="54" t="s">
        <v>55</v>
      </c>
      <c r="I30" s="54" t="s">
        <v>57</v>
      </c>
      <c r="J30" s="54" t="s">
        <v>59</v>
      </c>
      <c r="K30" s="54" t="s">
        <v>63</v>
      </c>
      <c r="L30" s="54" t="s">
        <v>65</v>
      </c>
      <c r="M30" s="54" t="s">
        <v>67</v>
      </c>
      <c r="N30" s="54" t="s">
        <v>70</v>
      </c>
      <c r="O30" s="55" t="s">
        <v>71</v>
      </c>
    </row>
    <row r="31" spans="1:15" ht="21" customHeight="1" thickBot="1" x14ac:dyDescent="0.35">
      <c r="A31" s="35"/>
      <c r="B31" s="50" t="s">
        <v>39</v>
      </c>
      <c r="C31" s="103">
        <v>2000</v>
      </c>
      <c r="D31" s="104">
        <v>2000</v>
      </c>
      <c r="E31" s="104">
        <v>2000</v>
      </c>
      <c r="F31" s="104">
        <v>2000</v>
      </c>
      <c r="G31" s="104">
        <v>2000</v>
      </c>
      <c r="H31" s="104">
        <v>2000</v>
      </c>
      <c r="I31" s="104">
        <v>2000</v>
      </c>
      <c r="J31" s="104">
        <v>2000</v>
      </c>
      <c r="K31" s="104">
        <v>2000</v>
      </c>
      <c r="L31" s="104">
        <v>2000</v>
      </c>
      <c r="M31" s="104">
        <v>2000</v>
      </c>
      <c r="N31" s="104">
        <v>2000</v>
      </c>
      <c r="O31" s="105">
        <f>SUM(C31:N31)</f>
        <v>24000</v>
      </c>
    </row>
    <row r="32" spans="1:15" ht="21" customHeight="1" thickBot="1" x14ac:dyDescent="0.35">
      <c r="A32" s="35"/>
      <c r="B32" s="50" t="s">
        <v>40</v>
      </c>
      <c r="C32" s="103">
        <v>2000</v>
      </c>
      <c r="D32" s="104">
        <v>2000</v>
      </c>
      <c r="E32" s="104">
        <v>2000</v>
      </c>
      <c r="F32" s="104">
        <v>2000</v>
      </c>
      <c r="G32" s="104">
        <v>2000</v>
      </c>
      <c r="H32" s="104">
        <v>2000</v>
      </c>
      <c r="I32" s="104">
        <v>2000</v>
      </c>
      <c r="J32" s="104">
        <v>2000</v>
      </c>
      <c r="K32" s="104">
        <v>2000</v>
      </c>
      <c r="L32" s="104">
        <v>2000</v>
      </c>
      <c r="M32" s="104">
        <v>2000</v>
      </c>
      <c r="N32" s="104">
        <v>2000</v>
      </c>
      <c r="O32" s="105">
        <f>SUM(C32:N32)</f>
        <v>24000</v>
      </c>
    </row>
    <row r="33" spans="1:15" ht="21" customHeight="1" x14ac:dyDescent="0.3">
      <c r="A33" s="35"/>
      <c r="B33" s="52" t="s">
        <v>21</v>
      </c>
      <c r="C33" s="106">
        <f>SUBTOTAL(109,Apmācību_un_komandējumu_plāns[Jan])</f>
        <v>4000</v>
      </c>
      <c r="D33" s="107">
        <f>SUBTOTAL(109,Apmācību_un_komandējumu_plāns[Feb])</f>
        <v>4000</v>
      </c>
      <c r="E33" s="107">
        <f>SUBTOTAL(109,Apmācību_un_komandējumu_plāns[Mar])</f>
        <v>4000</v>
      </c>
      <c r="F33" s="107">
        <f>SUBTOTAL(109,Apmācību_un_komandējumu_plāns[Apr])</f>
        <v>4000</v>
      </c>
      <c r="G33" s="107">
        <f>SUBTOTAL(109,Apmācību_un_komandējumu_plāns[Maijs])</f>
        <v>4000</v>
      </c>
      <c r="H33" s="107">
        <f>SUBTOTAL(109,Apmācību_un_komandējumu_plāns[Jūn])</f>
        <v>4000</v>
      </c>
      <c r="I33" s="107">
        <f>SUBTOTAL(109,Apmācību_un_komandējumu_plāns[Jūl])</f>
        <v>4000</v>
      </c>
      <c r="J33" s="107">
        <f>SUBTOTAL(109,Apmācību_un_komandējumu_plāns[Aug])</f>
        <v>4000</v>
      </c>
      <c r="K33" s="107">
        <f>SUBTOTAL(109,Apmācību_un_komandējumu_plāns[Sep])</f>
        <v>4000</v>
      </c>
      <c r="L33" s="107">
        <f>SUBTOTAL(109,Apmācību_un_komandējumu_plāns[Okt])</f>
        <v>4000</v>
      </c>
      <c r="M33" s="107">
        <f>SUBTOTAL(109,Apmācību_un_komandējumu_plāns[Nov])</f>
        <v>4000</v>
      </c>
      <c r="N33" s="107">
        <f>SUBTOTAL(109,Apmācību_un_komandējumu_plāns[Dec])</f>
        <v>4000</v>
      </c>
      <c r="O33" s="108">
        <f>SUBTOTAL(109,Apmācību_un_komandējumu_plāns[GADS])</f>
        <v>48000</v>
      </c>
    </row>
    <row r="34" spans="1:15" ht="21" customHeight="1" x14ac:dyDescent="0.3">
      <c r="A34" s="35"/>
      <c r="B34" s="129"/>
      <c r="C34" s="129"/>
      <c r="D34" s="4"/>
      <c r="E34" s="4"/>
      <c r="F34" s="4"/>
      <c r="G34" s="4"/>
      <c r="H34" s="4"/>
      <c r="I34" s="4"/>
      <c r="J34" s="4"/>
      <c r="K34" s="4"/>
      <c r="L34" s="4"/>
      <c r="M34" s="4"/>
      <c r="N34" s="4"/>
      <c r="O34" s="4"/>
    </row>
    <row r="35" spans="1:15" ht="24.95" customHeight="1" thickBot="1" x14ac:dyDescent="0.35">
      <c r="A35" s="35" t="s">
        <v>16</v>
      </c>
      <c r="B35" s="26" t="s">
        <v>41</v>
      </c>
      <c r="C35" s="28" t="s">
        <v>45</v>
      </c>
      <c r="D35" s="28" t="s">
        <v>47</v>
      </c>
      <c r="E35" s="28" t="s">
        <v>49</v>
      </c>
      <c r="F35" s="28" t="s">
        <v>51</v>
      </c>
      <c r="G35" s="28" t="s">
        <v>53</v>
      </c>
      <c r="H35" s="28" t="s">
        <v>55</v>
      </c>
      <c r="I35" s="28" t="s">
        <v>57</v>
      </c>
      <c r="J35" s="28" t="s">
        <v>59</v>
      </c>
      <c r="K35" s="28" t="s">
        <v>63</v>
      </c>
      <c r="L35" s="28" t="s">
        <v>65</v>
      </c>
      <c r="M35" s="28" t="s">
        <v>67</v>
      </c>
      <c r="N35" s="28" t="s">
        <v>70</v>
      </c>
      <c r="O35" s="28" t="s">
        <v>72</v>
      </c>
    </row>
    <row r="36" spans="1:15" ht="24.95" customHeight="1" thickBot="1" x14ac:dyDescent="0.35">
      <c r="A36" s="35"/>
      <c r="B36" s="27" t="s">
        <v>42</v>
      </c>
      <c r="C36" s="109">
        <f>Apmācību_un_komandējumu_plāns[[#Totals],[Jan]]+Mārketinga_plāns[[#Totals],[Jan]]+Biroja_plāns[[#Totals],[Jan]]+Darbinieku_plāns[[#Totals],[Jan]]</f>
        <v>131420</v>
      </c>
      <c r="D36" s="109">
        <f>Apmācību_un_komandējumu_plāns[[#Totals],[Feb]]+Mārketinga_plāns[[#Totals],[Feb]]+Biroja_plāns[[#Totals],[Feb]]+Darbinieku_plāns[[#Totals],[Feb]]</f>
        <v>126820</v>
      </c>
      <c r="E36" s="109">
        <f>Apmācību_un_komandējumu_plāns[[#Totals],[Mar]]+Mārketinga_plāns[[#Totals],[Mar]]+Biroja_plāns[[#Totals],[Mar]]+Darbinieku_plāns[[#Totals],[Mar]]</f>
        <v>126820</v>
      </c>
      <c r="F36" s="109">
        <f>Apmācību_un_komandējumu_plāns[[#Totals],[Apr]]+Mārketinga_plāns[[#Totals],[Apr]]+Biroja_plāns[[#Totals],[Apr]]+Darbinieku_plāns[[#Totals],[Apr]]</f>
        <v>137695</v>
      </c>
      <c r="G36" s="109">
        <f>Apmācību_un_komandējumu_plāns[[#Totals],[Maijs]]+Mārketinga_plāns[[#Totals],[Maijs]]+Biroja_plāns[[#Totals],[Maijs]]+Darbinieku_plāns[[#Totals],[Maijs]]</f>
        <v>129695</v>
      </c>
      <c r="H36" s="109">
        <f>Apmācību_un_komandējumu_plāns[[#Totals],[Jūn]]+Mārketinga_plāns[[#Totals],[Jūn]]+Biroja_plāns[[#Totals],[Jūn]]+Darbinieku_plāns[[#Totals],[Jūn]]</f>
        <v>130495</v>
      </c>
      <c r="I36" s="110">
        <f>Apmācību_un_komandējumu_plāns[[#Totals],[Jūl]]+Mārketinga_plāns[[#Totals],[Jūl]]+Biroja_plāns[[#Totals],[Jūl]]+Darbinieku_plāns[[#Totals],[Jūl]]</f>
        <v>134695</v>
      </c>
      <c r="J36" s="109">
        <f>Apmācību_un_komandējumu_plāns[[#Totals],[Aug]]+Mārketinga_plāns[[#Totals],[Aug]]+Biroja_plāns[[#Totals],[Aug]]+Darbinieku_plāns[[#Totals],[Aug]]</f>
        <v>138918</v>
      </c>
      <c r="K36" s="109">
        <f>Apmācību_un_komandējumu_plāns[[#Totals],[Sep]]+Mārketinga_plāns[[#Totals],[Sep]]+Biroja_plāns[[#Totals],[Sep]]+Darbinieku_plāns[[#Totals],[Sep]]</f>
        <v>135918</v>
      </c>
      <c r="L36" s="109">
        <f>Apmācību_un_komandējumu_plāns[[#Totals],[Okt]]+Mārketinga_plāns[[#Totals],[Okt]]+Biroja_plāns[[#Totals],[Okt]]+Darbinieku_plāns[[#Totals],[Okt]]</f>
        <v>140918</v>
      </c>
      <c r="M36" s="109">
        <f>Apmācību_un_komandējumu_plāns[[#Totals],[Nov]]+Mārketinga_plāns[[#Totals],[Nov]]+Biroja_plāns[[#Totals],[Nov]]+Darbinieku_plāns[[#Totals],[Nov]]</f>
        <v>136218</v>
      </c>
      <c r="N36" s="109">
        <f>Apmācību_un_komandējumu_plāns[[#Totals],[Dec]]+Mārketinga_plāns[[#Totals],[Dec]]+Biroja_plāns[[#Totals],[Dec]]+Darbinieku_plāns[[#Totals],[Dec]]</f>
        <v>140018</v>
      </c>
      <c r="O36" s="109">
        <f>Apmācību_un_komandējumu_plāns[[#Totals],[GADS]]+Mārketinga_plāns[[#Totals],[GADS]]+Biroja_plāns[[#Totals],[GADS]]+Darbinieku_plāns[[#Totals],[GADS]]</f>
        <v>1609630</v>
      </c>
    </row>
    <row r="37" spans="1:15" ht="24.95" customHeight="1" x14ac:dyDescent="0.3">
      <c r="A37" s="35"/>
      <c r="B37" s="27" t="s">
        <v>43</v>
      </c>
      <c r="C37" s="109">
        <f>SUM($C$36:C36)</f>
        <v>131420</v>
      </c>
      <c r="D37" s="109">
        <f>SUM($C$36:D36)</f>
        <v>258240</v>
      </c>
      <c r="E37" s="109">
        <f>SUM($C$36:E36)</f>
        <v>385060</v>
      </c>
      <c r="F37" s="109">
        <f>SUM($C$36:F36)</f>
        <v>522755</v>
      </c>
      <c r="G37" s="109">
        <f>SUM($C$36:G36)</f>
        <v>652450</v>
      </c>
      <c r="H37" s="109">
        <f>SUM($C$36:H36)</f>
        <v>782945</v>
      </c>
      <c r="I37" s="109">
        <f>SUM($C$36:I36)</f>
        <v>917640</v>
      </c>
      <c r="J37" s="109">
        <f>SUM($C$36:J36)</f>
        <v>1056558</v>
      </c>
      <c r="K37" s="109">
        <f>SUM($C$36:K36)</f>
        <v>1192476</v>
      </c>
      <c r="L37" s="109">
        <f>SUM($C$36:L36)</f>
        <v>1333394</v>
      </c>
      <c r="M37" s="109">
        <f>SUM($C$36:M36)</f>
        <v>1469612</v>
      </c>
      <c r="N37" s="109">
        <f>SUM($C$36:N36)</f>
        <v>1609630</v>
      </c>
      <c r="O37" s="109"/>
    </row>
    <row r="38" spans="1:15" ht="21" customHeight="1" x14ac:dyDescent="0.3">
      <c r="A38" s="145"/>
      <c r="B38" s="149"/>
      <c r="C38" s="149"/>
      <c r="D38" s="149"/>
      <c r="E38" s="149"/>
      <c r="F38" s="149"/>
      <c r="G38" s="149"/>
      <c r="H38" s="149"/>
      <c r="I38" s="149"/>
      <c r="J38" s="149"/>
      <c r="K38" s="149"/>
      <c r="L38" s="149"/>
      <c r="M38" s="149"/>
      <c r="N38" s="150"/>
      <c r="O38" s="150"/>
    </row>
    <row r="39" spans="1:15" ht="21" customHeight="1" x14ac:dyDescent="0.3">
      <c r="A39" s="149"/>
      <c r="B39" s="149"/>
      <c r="C39" s="149"/>
      <c r="D39" s="149"/>
      <c r="E39" s="149"/>
      <c r="F39" s="149"/>
      <c r="G39" s="149"/>
      <c r="H39" s="149"/>
      <c r="I39" s="149"/>
      <c r="J39" s="149"/>
      <c r="K39" s="149"/>
      <c r="L39" s="149"/>
      <c r="M39" s="149"/>
      <c r="N39" s="149"/>
      <c r="O39" s="149"/>
    </row>
    <row r="40" spans="1:15" ht="21" customHeight="1" x14ac:dyDescent="0.3">
      <c r="A40" s="149"/>
      <c r="B40" s="149"/>
      <c r="C40" s="149"/>
      <c r="D40" s="149"/>
      <c r="E40" s="149"/>
      <c r="F40" s="149"/>
      <c r="G40" s="149"/>
      <c r="H40" s="149"/>
      <c r="I40" s="149"/>
      <c r="J40" s="149"/>
      <c r="K40" s="149"/>
      <c r="L40" s="149"/>
      <c r="M40" s="149"/>
      <c r="N40" s="149"/>
      <c r="O40" s="149"/>
    </row>
  </sheetData>
  <mergeCells count="9">
    <mergeCell ref="R4:T13"/>
    <mergeCell ref="N2:O3"/>
    <mergeCell ref="K2:M2"/>
    <mergeCell ref="B34:C34"/>
    <mergeCell ref="B29:C29"/>
    <mergeCell ref="B20:C20"/>
    <mergeCell ref="B9:C9"/>
    <mergeCell ref="B2:D3"/>
    <mergeCell ref="K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B893D"/>
    <pageSetUpPr autoPageBreaks="0" fitToPage="1"/>
  </sheetPr>
  <dimension ref="A1:P41"/>
  <sheetViews>
    <sheetView showGridLines="0" zoomScaleNormal="100" workbookViewId="0"/>
  </sheetViews>
  <sheetFormatPr defaultColWidth="9.140625" defaultRowHeight="21" customHeight="1" x14ac:dyDescent="0.3"/>
  <cols>
    <col min="1" max="1" width="4.7109375" style="1" customWidth="1"/>
    <col min="2" max="2" width="49.5703125" style="5" bestFit="1" customWidth="1"/>
    <col min="3" max="13" width="17.7109375" style="5" customWidth="1"/>
    <col min="14" max="14" width="18" style="5" customWidth="1"/>
    <col min="15" max="15" width="19.140625" style="5" customWidth="1"/>
    <col min="16" max="16" width="4.7109375" style="1" customWidth="1"/>
    <col min="17" max="16384" width="9.140625" style="5"/>
  </cols>
  <sheetData>
    <row r="1" spans="1:16" s="1" customFormat="1" ht="24" customHeight="1" x14ac:dyDescent="0.3">
      <c r="A1" s="36" t="s">
        <v>75</v>
      </c>
      <c r="B1" s="11"/>
      <c r="C1" s="11"/>
      <c r="D1" s="11"/>
      <c r="E1" s="11"/>
      <c r="F1" s="8"/>
      <c r="G1" s="8"/>
      <c r="H1" s="8"/>
      <c r="I1" s="8"/>
      <c r="J1" s="8"/>
      <c r="K1" s="8"/>
      <c r="L1" s="8"/>
      <c r="M1" s="8"/>
      <c r="N1" s="8"/>
      <c r="O1" s="8"/>
      <c r="P1" s="68" t="s">
        <v>73</v>
      </c>
    </row>
    <row r="2" spans="1:16" s="1" customFormat="1" ht="45" customHeight="1" x14ac:dyDescent="0.35">
      <c r="A2" s="34" t="s">
        <v>97</v>
      </c>
      <c r="B2" s="131" t="str">
        <f>'PLĀNOTIE IZDEVUMI'!B2:D3</f>
        <v>Uzņēmuma nosaukumu</v>
      </c>
      <c r="C2" s="131"/>
      <c r="D2" s="131"/>
      <c r="E2" s="143"/>
      <c r="F2" s="9"/>
      <c r="G2" s="9"/>
      <c r="H2" s="9"/>
      <c r="I2" s="9"/>
      <c r="J2" s="9"/>
      <c r="K2" s="128" t="str">
        <f>darblapas_nosaukums</f>
        <v>Detalizēti izdevumu aprēķini</v>
      </c>
      <c r="L2" s="128"/>
      <c r="M2" s="128"/>
      <c r="N2" s="127" t="s">
        <v>68</v>
      </c>
      <c r="O2" s="127"/>
      <c r="P2" s="8"/>
    </row>
    <row r="3" spans="1:16" s="1" customFormat="1" ht="30" customHeight="1" x14ac:dyDescent="0.3">
      <c r="A3" s="34" t="s">
        <v>10</v>
      </c>
      <c r="B3" s="131"/>
      <c r="C3" s="131"/>
      <c r="D3" s="131"/>
      <c r="E3" s="144"/>
      <c r="F3" s="10"/>
      <c r="G3" s="10"/>
      <c r="H3" s="10"/>
      <c r="I3" s="10"/>
      <c r="J3" s="10"/>
      <c r="K3" s="133" t="s">
        <v>61</v>
      </c>
      <c r="L3" s="133"/>
      <c r="M3" s="133"/>
      <c r="N3" s="127"/>
      <c r="O3" s="127"/>
      <c r="P3" s="8"/>
    </row>
    <row r="4" spans="1:16" s="23" customFormat="1" ht="49.5" customHeight="1" x14ac:dyDescent="0.3">
      <c r="A4" s="37" t="s">
        <v>76</v>
      </c>
      <c r="B4" s="24" t="s">
        <v>82</v>
      </c>
      <c r="C4" s="25" t="s">
        <v>44</v>
      </c>
      <c r="D4" s="25" t="s">
        <v>46</v>
      </c>
      <c r="E4" s="25" t="s">
        <v>48</v>
      </c>
      <c r="F4" s="25" t="s">
        <v>50</v>
      </c>
      <c r="G4" s="25" t="s">
        <v>52</v>
      </c>
      <c r="H4" s="25" t="s">
        <v>54</v>
      </c>
      <c r="I4" s="25" t="s">
        <v>56</v>
      </c>
      <c r="J4" s="25" t="s">
        <v>58</v>
      </c>
      <c r="K4" s="25" t="s">
        <v>62</v>
      </c>
      <c r="L4" s="25" t="s">
        <v>64</v>
      </c>
      <c r="M4" s="25" t="s">
        <v>66</v>
      </c>
      <c r="N4" s="25" t="s">
        <v>69</v>
      </c>
      <c r="O4" s="25" t="s">
        <v>71</v>
      </c>
    </row>
    <row r="5" spans="1:16" s="6" customFormat="1" ht="24.95" customHeight="1" thickBot="1" x14ac:dyDescent="0.35">
      <c r="A5" s="44" t="s">
        <v>77</v>
      </c>
      <c r="B5" s="49" t="s">
        <v>18</v>
      </c>
      <c r="C5" s="73" t="s">
        <v>45</v>
      </c>
      <c r="D5" s="69" t="s">
        <v>47</v>
      </c>
      <c r="E5" s="91" t="s">
        <v>49</v>
      </c>
      <c r="F5" s="69" t="s">
        <v>51</v>
      </c>
      <c r="G5" s="69" t="s">
        <v>53</v>
      </c>
      <c r="H5" s="69" t="s">
        <v>55</v>
      </c>
      <c r="I5" s="69" t="s">
        <v>57</v>
      </c>
      <c r="J5" s="69" t="s">
        <v>59</v>
      </c>
      <c r="K5" s="69" t="s">
        <v>63</v>
      </c>
      <c r="L5" s="69" t="s">
        <v>65</v>
      </c>
      <c r="M5" s="69" t="s">
        <v>67</v>
      </c>
      <c r="N5" s="69" t="s">
        <v>70</v>
      </c>
      <c r="O5" s="70" t="s">
        <v>71</v>
      </c>
      <c r="P5" s="3"/>
    </row>
    <row r="6" spans="1:16" s="6" customFormat="1" ht="24.95" customHeight="1" thickBot="1" x14ac:dyDescent="0.35">
      <c r="A6" s="35"/>
      <c r="B6" s="50" t="s">
        <v>19</v>
      </c>
      <c r="C6" s="103">
        <v>85000</v>
      </c>
      <c r="D6" s="104">
        <v>85000</v>
      </c>
      <c r="E6" s="104">
        <v>85000</v>
      </c>
      <c r="F6" s="104">
        <v>88000</v>
      </c>
      <c r="G6" s="104">
        <v>88000</v>
      </c>
      <c r="H6" s="104">
        <v>88000</v>
      </c>
      <c r="I6" s="104"/>
      <c r="J6" s="104"/>
      <c r="K6" s="104"/>
      <c r="L6" s="104"/>
      <c r="M6" s="104"/>
      <c r="N6" s="104"/>
      <c r="O6" s="105">
        <f>SUM(C6:N6)</f>
        <v>519000</v>
      </c>
      <c r="P6" s="1"/>
    </row>
    <row r="7" spans="1:16" s="6" customFormat="1" ht="24.95" customHeight="1" thickBot="1" x14ac:dyDescent="0.35">
      <c r="A7" s="35"/>
      <c r="B7" s="50" t="s">
        <v>20</v>
      </c>
      <c r="C7" s="103">
        <f>C6*0.27</f>
        <v>22950</v>
      </c>
      <c r="D7" s="104">
        <f>D6*0.27</f>
        <v>22950</v>
      </c>
      <c r="E7" s="104">
        <f>E6*0.27</f>
        <v>22950</v>
      </c>
      <c r="F7" s="104">
        <f>F6*0.27</f>
        <v>23760</v>
      </c>
      <c r="G7" s="104">
        <f>G6*0.27</f>
        <v>23760</v>
      </c>
      <c r="H7" s="104">
        <f>H6*0.27</f>
        <v>23760</v>
      </c>
      <c r="I7" s="104">
        <f>I6*0.27</f>
        <v>0</v>
      </c>
      <c r="J7" s="104">
        <f>J6*0.27</f>
        <v>0</v>
      </c>
      <c r="K7" s="104">
        <f>K6*0.27</f>
        <v>0</v>
      </c>
      <c r="L7" s="104">
        <f>L6*0.27</f>
        <v>0</v>
      </c>
      <c r="M7" s="104">
        <f>M6*0.27</f>
        <v>0</v>
      </c>
      <c r="N7" s="104">
        <f>N6*0.27</f>
        <v>0</v>
      </c>
      <c r="O7" s="105">
        <f>SUM(C7:N7)</f>
        <v>140130</v>
      </c>
      <c r="P7" s="1"/>
    </row>
    <row r="8" spans="1:16" ht="24.95" customHeight="1" x14ac:dyDescent="0.3">
      <c r="A8" s="35"/>
      <c r="B8" s="74" t="s">
        <v>21</v>
      </c>
      <c r="C8" s="111">
        <f>SUBTOTAL(109,Darbinieku_faktiskās_izmaksas[Jan])</f>
        <v>107950</v>
      </c>
      <c r="D8" s="112">
        <f>SUBTOTAL(109,Darbinieku_faktiskās_izmaksas[Feb])</f>
        <v>107950</v>
      </c>
      <c r="E8" s="112">
        <f>SUBTOTAL(109,Darbinieku_faktiskās_izmaksas[Mar])</f>
        <v>107950</v>
      </c>
      <c r="F8" s="112">
        <f>SUBTOTAL(109,Darbinieku_faktiskās_izmaksas[Apr])</f>
        <v>111760</v>
      </c>
      <c r="G8" s="112">
        <f>SUBTOTAL(109,Darbinieku_faktiskās_izmaksas[Maijs])</f>
        <v>111760</v>
      </c>
      <c r="H8" s="112">
        <f>SUBTOTAL(109,Darbinieku_faktiskās_izmaksas[Jūn])</f>
        <v>111760</v>
      </c>
      <c r="I8" s="112">
        <f>SUBTOTAL(109,Darbinieku_faktiskās_izmaksas[Jūl])</f>
        <v>0</v>
      </c>
      <c r="J8" s="112">
        <f>SUBTOTAL(109,Darbinieku_faktiskās_izmaksas[Aug])</f>
        <v>0</v>
      </c>
      <c r="K8" s="112">
        <f>SUBTOTAL(109,Darbinieku_faktiskās_izmaksas[Sep])</f>
        <v>0</v>
      </c>
      <c r="L8" s="112">
        <f>SUBTOTAL(109,Darbinieku_faktiskās_izmaksas[Okt])</f>
        <v>0</v>
      </c>
      <c r="M8" s="112">
        <f>SUBTOTAL(109,Darbinieku_faktiskās_izmaksas[Nov])</f>
        <v>0</v>
      </c>
      <c r="N8" s="112">
        <f>SUBTOTAL(109,Darbinieku_faktiskās_izmaksas[Dec])</f>
        <v>0</v>
      </c>
      <c r="O8" s="113">
        <f>SUBTOTAL(109,Darbinieku_faktiskās_izmaksas[GADS])</f>
        <v>659130</v>
      </c>
    </row>
    <row r="9" spans="1:16" s="1" customFormat="1" ht="21" customHeight="1" x14ac:dyDescent="0.3">
      <c r="A9" s="145"/>
      <c r="B9" s="129"/>
      <c r="C9" s="129"/>
      <c r="D9" s="146"/>
      <c r="E9" s="146"/>
      <c r="F9" s="146"/>
      <c r="G9" s="146"/>
      <c r="H9" s="146"/>
      <c r="I9" s="146"/>
      <c r="J9" s="146"/>
      <c r="K9" s="146"/>
      <c r="L9" s="146"/>
      <c r="M9" s="146"/>
      <c r="N9" s="146"/>
      <c r="O9" s="147"/>
    </row>
    <row r="10" spans="1:16" ht="24.95" customHeight="1" thickBot="1" x14ac:dyDescent="0.35">
      <c r="A10" s="35" t="s">
        <v>78</v>
      </c>
      <c r="B10" s="56" t="s">
        <v>22</v>
      </c>
      <c r="C10" s="73" t="s">
        <v>45</v>
      </c>
      <c r="D10" s="69" t="s">
        <v>47</v>
      </c>
      <c r="E10" s="69" t="s">
        <v>49</v>
      </c>
      <c r="F10" s="69" t="s">
        <v>51</v>
      </c>
      <c r="G10" s="69" t="s">
        <v>53</v>
      </c>
      <c r="H10" s="69" t="s">
        <v>55</v>
      </c>
      <c r="I10" s="69" t="s">
        <v>57</v>
      </c>
      <c r="J10" s="69" t="s">
        <v>59</v>
      </c>
      <c r="K10" s="69" t="s">
        <v>63</v>
      </c>
      <c r="L10" s="69" t="s">
        <v>65</v>
      </c>
      <c r="M10" s="69" t="s">
        <v>67</v>
      </c>
      <c r="N10" s="69" t="s">
        <v>70</v>
      </c>
      <c r="O10" s="70" t="s">
        <v>71</v>
      </c>
    </row>
    <row r="11" spans="1:16" ht="24.95" customHeight="1" thickBot="1" x14ac:dyDescent="0.35">
      <c r="A11" s="35"/>
      <c r="B11" s="50" t="s">
        <v>23</v>
      </c>
      <c r="C11" s="103">
        <v>9800</v>
      </c>
      <c r="D11" s="104">
        <v>9800</v>
      </c>
      <c r="E11" s="104">
        <v>9800</v>
      </c>
      <c r="F11" s="104">
        <v>9800</v>
      </c>
      <c r="G11" s="104">
        <v>9800</v>
      </c>
      <c r="H11" s="104">
        <v>9800</v>
      </c>
      <c r="I11" s="104"/>
      <c r="J11" s="104"/>
      <c r="K11" s="104"/>
      <c r="L11" s="104"/>
      <c r="M11" s="104"/>
      <c r="N11" s="104"/>
      <c r="O11" s="105">
        <f t="shared" ref="O11:O18" si="0">SUM(C11:N11)</f>
        <v>58800</v>
      </c>
    </row>
    <row r="12" spans="1:16" ht="24.95" customHeight="1" thickBot="1" x14ac:dyDescent="0.35">
      <c r="A12" s="35"/>
      <c r="B12" s="50" t="s">
        <v>24</v>
      </c>
      <c r="C12" s="103">
        <v>4</v>
      </c>
      <c r="D12" s="104">
        <v>430</v>
      </c>
      <c r="E12" s="104">
        <v>385</v>
      </c>
      <c r="F12" s="104">
        <v>230</v>
      </c>
      <c r="G12" s="104">
        <v>87</v>
      </c>
      <c r="H12" s="104">
        <v>88</v>
      </c>
      <c r="I12" s="104"/>
      <c r="J12" s="104"/>
      <c r="K12" s="104"/>
      <c r="L12" s="104"/>
      <c r="M12" s="104"/>
      <c r="N12" s="104"/>
      <c r="O12" s="105">
        <f t="shared" si="0"/>
        <v>1224</v>
      </c>
    </row>
    <row r="13" spans="1:16" ht="24.95" customHeight="1" thickBot="1" x14ac:dyDescent="0.35">
      <c r="A13" s="35"/>
      <c r="B13" s="50" t="s">
        <v>25</v>
      </c>
      <c r="C13" s="103">
        <v>288</v>
      </c>
      <c r="D13" s="104">
        <v>278</v>
      </c>
      <c r="E13" s="104">
        <v>268</v>
      </c>
      <c r="F13" s="104">
        <v>299</v>
      </c>
      <c r="G13" s="104">
        <v>306</v>
      </c>
      <c r="H13" s="104">
        <v>290</v>
      </c>
      <c r="I13" s="104"/>
      <c r="J13" s="104"/>
      <c r="K13" s="104"/>
      <c r="L13" s="104"/>
      <c r="M13" s="104"/>
      <c r="N13" s="104"/>
      <c r="O13" s="105">
        <f t="shared" si="0"/>
        <v>1729</v>
      </c>
    </row>
    <row r="14" spans="1:16" ht="24.95" customHeight="1" thickBot="1" x14ac:dyDescent="0.35">
      <c r="A14" s="35"/>
      <c r="B14" s="50" t="s">
        <v>26</v>
      </c>
      <c r="C14" s="103">
        <v>35</v>
      </c>
      <c r="D14" s="104">
        <v>33</v>
      </c>
      <c r="E14" s="104">
        <v>34</v>
      </c>
      <c r="F14" s="104">
        <v>36</v>
      </c>
      <c r="G14" s="104">
        <v>34</v>
      </c>
      <c r="H14" s="104">
        <v>36</v>
      </c>
      <c r="I14" s="104"/>
      <c r="J14" s="104"/>
      <c r="K14" s="104"/>
      <c r="L14" s="104"/>
      <c r="M14" s="104"/>
      <c r="N14" s="104"/>
      <c r="O14" s="105">
        <f t="shared" si="0"/>
        <v>208</v>
      </c>
    </row>
    <row r="15" spans="1:16" ht="24.95" customHeight="1" thickBot="1" x14ac:dyDescent="0.35">
      <c r="A15" s="35"/>
      <c r="B15" s="50" t="s">
        <v>27</v>
      </c>
      <c r="C15" s="103">
        <v>224</v>
      </c>
      <c r="D15" s="104">
        <v>235</v>
      </c>
      <c r="E15" s="104">
        <v>265</v>
      </c>
      <c r="F15" s="104">
        <v>245</v>
      </c>
      <c r="G15" s="104">
        <v>245</v>
      </c>
      <c r="H15" s="104">
        <v>220</v>
      </c>
      <c r="I15" s="104"/>
      <c r="J15" s="104"/>
      <c r="K15" s="104"/>
      <c r="L15" s="104"/>
      <c r="M15" s="104"/>
      <c r="N15" s="104"/>
      <c r="O15" s="105">
        <f t="shared" si="0"/>
        <v>1434</v>
      </c>
    </row>
    <row r="16" spans="1:16" ht="24.95" customHeight="1" thickBot="1" x14ac:dyDescent="0.35">
      <c r="A16" s="35"/>
      <c r="B16" s="50" t="s">
        <v>28</v>
      </c>
      <c r="C16" s="103">
        <v>180</v>
      </c>
      <c r="D16" s="104">
        <v>180</v>
      </c>
      <c r="E16" s="104">
        <v>180</v>
      </c>
      <c r="F16" s="104">
        <v>180</v>
      </c>
      <c r="G16" s="104">
        <v>180</v>
      </c>
      <c r="H16" s="104">
        <v>180</v>
      </c>
      <c r="I16" s="104"/>
      <c r="J16" s="104"/>
      <c r="K16" s="104"/>
      <c r="L16" s="104"/>
      <c r="M16" s="104"/>
      <c r="N16" s="104"/>
      <c r="O16" s="105">
        <f t="shared" si="0"/>
        <v>1080</v>
      </c>
    </row>
    <row r="17" spans="1:16" ht="24.95" customHeight="1" thickBot="1" x14ac:dyDescent="0.35">
      <c r="A17" s="35"/>
      <c r="B17" s="50" t="s">
        <v>29</v>
      </c>
      <c r="C17" s="103">
        <v>256</v>
      </c>
      <c r="D17" s="104">
        <v>142</v>
      </c>
      <c r="E17" s="104">
        <v>160</v>
      </c>
      <c r="F17" s="104">
        <v>221</v>
      </c>
      <c r="G17" s="104">
        <v>256</v>
      </c>
      <c r="H17" s="104">
        <v>240</v>
      </c>
      <c r="I17" s="104"/>
      <c r="J17" s="104"/>
      <c r="K17" s="104"/>
      <c r="L17" s="104"/>
      <c r="M17" s="104"/>
      <c r="N17" s="104"/>
      <c r="O17" s="105">
        <f t="shared" si="0"/>
        <v>1275</v>
      </c>
    </row>
    <row r="18" spans="1:16" ht="24.95" customHeight="1" thickBot="1" x14ac:dyDescent="0.35">
      <c r="A18" s="35"/>
      <c r="B18" s="50" t="s">
        <v>30</v>
      </c>
      <c r="C18" s="103">
        <v>600</v>
      </c>
      <c r="D18" s="104">
        <v>600</v>
      </c>
      <c r="E18" s="104">
        <v>600</v>
      </c>
      <c r="F18" s="104">
        <v>600</v>
      </c>
      <c r="G18" s="104">
        <v>600</v>
      </c>
      <c r="H18" s="104">
        <v>600</v>
      </c>
      <c r="I18" s="104"/>
      <c r="J18" s="104"/>
      <c r="K18" s="104"/>
      <c r="L18" s="104"/>
      <c r="M18" s="104"/>
      <c r="N18" s="104"/>
      <c r="O18" s="105">
        <f t="shared" si="0"/>
        <v>3600</v>
      </c>
    </row>
    <row r="19" spans="1:16" ht="24.95" customHeight="1" x14ac:dyDescent="0.3">
      <c r="A19" s="35"/>
      <c r="B19" s="75" t="s">
        <v>21</v>
      </c>
      <c r="C19" s="107">
        <f>SUBTOTAL(109,Biroja_faktiskās_izmaksas[Jan])</f>
        <v>11387</v>
      </c>
      <c r="D19" s="107">
        <f>SUBTOTAL(109,Biroja_faktiskās_izmaksas[Feb])</f>
        <v>11698</v>
      </c>
      <c r="E19" s="107">
        <f>SUBTOTAL(109,Biroja_faktiskās_izmaksas[Mar])</f>
        <v>11692</v>
      </c>
      <c r="F19" s="107">
        <f>SUBTOTAL(109,Biroja_faktiskās_izmaksas[Apr])</f>
        <v>11611</v>
      </c>
      <c r="G19" s="107">
        <f>SUBTOTAL(109,Biroja_faktiskās_izmaksas[Maijs])</f>
        <v>11508</v>
      </c>
      <c r="H19" s="107">
        <f>SUBTOTAL(109,Biroja_faktiskās_izmaksas[Jūn])</f>
        <v>11454</v>
      </c>
      <c r="I19" s="107">
        <f>SUBTOTAL(109,Biroja_faktiskās_izmaksas[Jūl])</f>
        <v>0</v>
      </c>
      <c r="J19" s="107">
        <f>SUBTOTAL(109,Biroja_faktiskās_izmaksas[Aug])</f>
        <v>0</v>
      </c>
      <c r="K19" s="107">
        <f>SUBTOTAL(109,Biroja_faktiskās_izmaksas[Sep])</f>
        <v>0</v>
      </c>
      <c r="L19" s="107">
        <f>SUBTOTAL(109,Biroja_faktiskās_izmaksas[Okt])</f>
        <v>0</v>
      </c>
      <c r="M19" s="107">
        <f>SUBTOTAL(109,Biroja_faktiskās_izmaksas[Nov])</f>
        <v>0</v>
      </c>
      <c r="N19" s="107">
        <f>SUBTOTAL(109,Biroja_faktiskās_izmaksas[Dec])</f>
        <v>0</v>
      </c>
      <c r="O19" s="108">
        <f>SUBTOTAL(109,Biroja_faktiskās_izmaksas[GADS])</f>
        <v>69350</v>
      </c>
    </row>
    <row r="20" spans="1:16" ht="21" customHeight="1" x14ac:dyDescent="0.3">
      <c r="A20" s="145"/>
      <c r="B20" s="130"/>
      <c r="C20" s="130"/>
      <c r="D20" s="146"/>
      <c r="E20" s="146"/>
      <c r="F20" s="148"/>
      <c r="G20" s="148"/>
      <c r="H20" s="148"/>
      <c r="I20" s="148"/>
      <c r="J20" s="148"/>
      <c r="K20" s="148"/>
      <c r="L20" s="148"/>
      <c r="M20" s="148"/>
      <c r="N20" s="148"/>
      <c r="O20" s="147"/>
    </row>
    <row r="21" spans="1:16" ht="24.95" customHeight="1" thickBot="1" x14ac:dyDescent="0.35">
      <c r="A21" s="35" t="s">
        <v>79</v>
      </c>
      <c r="B21" s="76" t="s">
        <v>31</v>
      </c>
      <c r="C21" s="73" t="s">
        <v>45</v>
      </c>
      <c r="D21" s="69" t="s">
        <v>47</v>
      </c>
      <c r="E21" s="69" t="s">
        <v>49</v>
      </c>
      <c r="F21" s="69" t="s">
        <v>51</v>
      </c>
      <c r="G21" s="69" t="s">
        <v>53</v>
      </c>
      <c r="H21" s="69" t="s">
        <v>55</v>
      </c>
      <c r="I21" s="69" t="s">
        <v>57</v>
      </c>
      <c r="J21" s="69" t="s">
        <v>59</v>
      </c>
      <c r="K21" s="69" t="s">
        <v>63</v>
      </c>
      <c r="L21" s="69" t="s">
        <v>65</v>
      </c>
      <c r="M21" s="69" t="s">
        <v>67</v>
      </c>
      <c r="N21" s="69" t="s">
        <v>70</v>
      </c>
      <c r="O21" s="70" t="s">
        <v>71</v>
      </c>
    </row>
    <row r="22" spans="1:16" ht="24.95" customHeight="1" thickBot="1" x14ac:dyDescent="0.35">
      <c r="A22" s="35"/>
      <c r="B22" s="50" t="s">
        <v>32</v>
      </c>
      <c r="C22" s="103">
        <v>500</v>
      </c>
      <c r="D22" s="104">
        <v>500</v>
      </c>
      <c r="E22" s="104">
        <v>500</v>
      </c>
      <c r="F22" s="104">
        <v>500</v>
      </c>
      <c r="G22" s="104">
        <v>500</v>
      </c>
      <c r="H22" s="104">
        <v>500</v>
      </c>
      <c r="I22" s="104"/>
      <c r="J22" s="104"/>
      <c r="K22" s="104"/>
      <c r="L22" s="104"/>
      <c r="M22" s="104"/>
      <c r="N22" s="104"/>
      <c r="O22" s="105">
        <f t="shared" ref="O22:O27" si="1">SUM(C22:N22)</f>
        <v>3000</v>
      </c>
    </row>
    <row r="23" spans="1:16" ht="24.95" customHeight="1" thickBot="1" x14ac:dyDescent="0.35">
      <c r="A23" s="35"/>
      <c r="B23" s="50" t="s">
        <v>33</v>
      </c>
      <c r="C23" s="103">
        <v>200</v>
      </c>
      <c r="D23" s="104">
        <v>200</v>
      </c>
      <c r="E23" s="104">
        <v>200</v>
      </c>
      <c r="F23" s="104">
        <v>200</v>
      </c>
      <c r="G23" s="104">
        <v>200</v>
      </c>
      <c r="H23" s="104">
        <v>1500</v>
      </c>
      <c r="I23" s="104"/>
      <c r="J23" s="104"/>
      <c r="K23" s="104"/>
      <c r="L23" s="104"/>
      <c r="M23" s="104"/>
      <c r="N23" s="104"/>
      <c r="O23" s="105">
        <f t="shared" si="1"/>
        <v>2500</v>
      </c>
    </row>
    <row r="24" spans="1:16" ht="24.95" customHeight="1" thickBot="1" x14ac:dyDescent="0.35">
      <c r="A24" s="35"/>
      <c r="B24" s="50" t="s">
        <v>34</v>
      </c>
      <c r="C24" s="103">
        <v>4800</v>
      </c>
      <c r="D24" s="104">
        <v>0</v>
      </c>
      <c r="E24" s="104">
        <v>0</v>
      </c>
      <c r="F24" s="104">
        <v>5500</v>
      </c>
      <c r="G24" s="104">
        <v>0</v>
      </c>
      <c r="H24" s="104">
        <v>0</v>
      </c>
      <c r="I24" s="104"/>
      <c r="J24" s="104"/>
      <c r="K24" s="104"/>
      <c r="L24" s="104"/>
      <c r="M24" s="104"/>
      <c r="N24" s="104"/>
      <c r="O24" s="105">
        <f t="shared" si="1"/>
        <v>10300</v>
      </c>
    </row>
    <row r="25" spans="1:16" ht="24.95" customHeight="1" thickBot="1" x14ac:dyDescent="0.35">
      <c r="A25" s="35"/>
      <c r="B25" s="50" t="s">
        <v>35</v>
      </c>
      <c r="C25" s="103">
        <v>100</v>
      </c>
      <c r="D25" s="104">
        <v>500</v>
      </c>
      <c r="E25" s="104">
        <v>100</v>
      </c>
      <c r="F25" s="104">
        <v>100</v>
      </c>
      <c r="G25" s="104">
        <v>600</v>
      </c>
      <c r="H25" s="104">
        <v>180</v>
      </c>
      <c r="I25" s="104"/>
      <c r="J25" s="104"/>
      <c r="K25" s="104"/>
      <c r="L25" s="104"/>
      <c r="M25" s="104"/>
      <c r="N25" s="104"/>
      <c r="O25" s="105">
        <f t="shared" si="1"/>
        <v>1580</v>
      </c>
    </row>
    <row r="26" spans="1:16" ht="24.95" customHeight="1" thickBot="1" x14ac:dyDescent="0.35">
      <c r="A26" s="35"/>
      <c r="B26" s="50" t="s">
        <v>36</v>
      </c>
      <c r="C26" s="103">
        <v>1800</v>
      </c>
      <c r="D26" s="104">
        <v>2200</v>
      </c>
      <c r="E26" s="104">
        <v>2200</v>
      </c>
      <c r="F26" s="104">
        <v>4700</v>
      </c>
      <c r="G26" s="104">
        <v>1500</v>
      </c>
      <c r="H26" s="104">
        <v>2300</v>
      </c>
      <c r="I26" s="104"/>
      <c r="J26" s="104"/>
      <c r="K26" s="104"/>
      <c r="L26" s="104"/>
      <c r="M26" s="104"/>
      <c r="N26" s="104"/>
      <c r="O26" s="105">
        <f t="shared" si="1"/>
        <v>14700</v>
      </c>
    </row>
    <row r="27" spans="1:16" ht="24.95" customHeight="1" thickBot="1" x14ac:dyDescent="0.35">
      <c r="A27" s="35"/>
      <c r="B27" s="50" t="s">
        <v>37</v>
      </c>
      <c r="C27" s="103">
        <v>145</v>
      </c>
      <c r="D27" s="104">
        <v>156</v>
      </c>
      <c r="E27" s="104">
        <v>123</v>
      </c>
      <c r="F27" s="104">
        <v>223</v>
      </c>
      <c r="G27" s="104">
        <v>187</v>
      </c>
      <c r="H27" s="104">
        <v>245</v>
      </c>
      <c r="I27" s="104"/>
      <c r="J27" s="104"/>
      <c r="K27" s="104"/>
      <c r="L27" s="104"/>
      <c r="M27" s="104"/>
      <c r="N27" s="104"/>
      <c r="O27" s="105">
        <f t="shared" si="1"/>
        <v>1079</v>
      </c>
    </row>
    <row r="28" spans="1:16" ht="24.95" customHeight="1" x14ac:dyDescent="0.3">
      <c r="A28" s="35"/>
      <c r="B28" s="72" t="s">
        <v>21</v>
      </c>
      <c r="C28" s="114">
        <f>SUBTOTAL(109,Mārketinga_faktiskās_izmaksas[Jan])</f>
        <v>7545</v>
      </c>
      <c r="D28" s="107">
        <f>SUBTOTAL(109,Mārketinga_faktiskās_izmaksas[Feb])</f>
        <v>3556</v>
      </c>
      <c r="E28" s="107">
        <f>SUBTOTAL(109,Mārketinga_faktiskās_izmaksas[Mar])</f>
        <v>3123</v>
      </c>
      <c r="F28" s="107">
        <f>SUBTOTAL(109,Mārketinga_faktiskās_izmaksas[Apr])</f>
        <v>11223</v>
      </c>
      <c r="G28" s="107">
        <f>SUBTOTAL(109,Mārketinga_faktiskās_izmaksas[Maijs])</f>
        <v>2987</v>
      </c>
      <c r="H28" s="107">
        <f>SUBTOTAL(109,Mārketinga_faktiskās_izmaksas[Jūn])</f>
        <v>4725</v>
      </c>
      <c r="I28" s="107">
        <f>SUBTOTAL(109,Mārketinga_faktiskās_izmaksas[Jūl])</f>
        <v>0</v>
      </c>
      <c r="J28" s="107">
        <f>SUBTOTAL(109,Mārketinga_faktiskās_izmaksas[Aug])</f>
        <v>0</v>
      </c>
      <c r="K28" s="107">
        <f>SUBTOTAL(109,Mārketinga_faktiskās_izmaksas[Sep])</f>
        <v>0</v>
      </c>
      <c r="L28" s="107">
        <f>SUBTOTAL(109,Mārketinga_faktiskās_izmaksas[Okt])</f>
        <v>0</v>
      </c>
      <c r="M28" s="107">
        <f>SUBTOTAL(109,Mārketinga_faktiskās_izmaksas[Nov])</f>
        <v>0</v>
      </c>
      <c r="N28" s="107">
        <f>SUBTOTAL(109,Mārketinga_faktiskās_izmaksas[Dec])</f>
        <v>0</v>
      </c>
      <c r="O28" s="108">
        <f>SUBTOTAL(109,Mārketinga_faktiskās_izmaksas[GADS])</f>
        <v>33159</v>
      </c>
    </row>
    <row r="29" spans="1:16" ht="21" customHeight="1" x14ac:dyDescent="0.3">
      <c r="A29" s="145"/>
      <c r="B29" s="129"/>
      <c r="C29" s="129"/>
      <c r="D29" s="148"/>
      <c r="E29" s="148"/>
      <c r="F29" s="148"/>
      <c r="G29" s="148"/>
      <c r="H29" s="148"/>
      <c r="I29" s="148"/>
      <c r="J29" s="148"/>
      <c r="K29" s="148"/>
      <c r="L29" s="148"/>
      <c r="M29" s="148"/>
      <c r="N29" s="148"/>
      <c r="O29" s="147"/>
      <c r="P29" s="149"/>
    </row>
    <row r="30" spans="1:16" ht="24.95" customHeight="1" thickBot="1" x14ac:dyDescent="0.35">
      <c r="A30" s="35" t="s">
        <v>80</v>
      </c>
      <c r="B30" s="63" t="s">
        <v>38</v>
      </c>
      <c r="C30" s="69" t="s">
        <v>45</v>
      </c>
      <c r="D30" s="69" t="s">
        <v>47</v>
      </c>
      <c r="E30" s="69" t="s">
        <v>49</v>
      </c>
      <c r="F30" s="69" t="s">
        <v>51</v>
      </c>
      <c r="G30" s="69" t="s">
        <v>53</v>
      </c>
      <c r="H30" s="69" t="s">
        <v>55</v>
      </c>
      <c r="I30" s="69" t="s">
        <v>57</v>
      </c>
      <c r="J30" s="69" t="s">
        <v>59</v>
      </c>
      <c r="K30" s="69" t="s">
        <v>63</v>
      </c>
      <c r="L30" s="69" t="s">
        <v>65</v>
      </c>
      <c r="M30" s="69" t="s">
        <v>67</v>
      </c>
      <c r="N30" s="69" t="s">
        <v>70</v>
      </c>
      <c r="O30" s="70" t="s">
        <v>71</v>
      </c>
    </row>
    <row r="31" spans="1:16" ht="24.95" customHeight="1" thickBot="1" x14ac:dyDescent="0.35">
      <c r="A31" s="35"/>
      <c r="B31" s="71" t="s">
        <v>39</v>
      </c>
      <c r="C31" s="104">
        <v>1600</v>
      </c>
      <c r="D31" s="104">
        <v>2400</v>
      </c>
      <c r="E31" s="104">
        <v>1400</v>
      </c>
      <c r="F31" s="104">
        <v>1600</v>
      </c>
      <c r="G31" s="104">
        <v>1200</v>
      </c>
      <c r="H31" s="104">
        <v>2800</v>
      </c>
      <c r="I31" s="104"/>
      <c r="J31" s="104"/>
      <c r="K31" s="104"/>
      <c r="L31" s="104"/>
      <c r="M31" s="104"/>
      <c r="N31" s="104"/>
      <c r="O31" s="105">
        <f>SUM(C31:N31)</f>
        <v>11000</v>
      </c>
    </row>
    <row r="32" spans="1:16" ht="24.95" customHeight="1" thickBot="1" x14ac:dyDescent="0.35">
      <c r="A32" s="35"/>
      <c r="B32" s="71" t="s">
        <v>40</v>
      </c>
      <c r="C32" s="104">
        <v>1200</v>
      </c>
      <c r="D32" s="104">
        <v>2200</v>
      </c>
      <c r="E32" s="104">
        <v>1400</v>
      </c>
      <c r="F32" s="104">
        <v>1200</v>
      </c>
      <c r="G32" s="104">
        <v>800</v>
      </c>
      <c r="H32" s="104">
        <v>3500</v>
      </c>
      <c r="I32" s="104"/>
      <c r="J32" s="104"/>
      <c r="K32" s="104"/>
      <c r="L32" s="104"/>
      <c r="M32" s="104"/>
      <c r="N32" s="104"/>
      <c r="O32" s="105">
        <f>SUM(C32:N32)</f>
        <v>10300</v>
      </c>
    </row>
    <row r="33" spans="1:16" ht="24.95" customHeight="1" x14ac:dyDescent="0.3">
      <c r="A33" s="35"/>
      <c r="B33" s="75" t="s">
        <v>21</v>
      </c>
      <c r="C33" s="107">
        <f>SUBTOTAL(109,Apmācību_un_komandējumu_faktiskās_izmaksas[Jan])</f>
        <v>2800</v>
      </c>
      <c r="D33" s="107">
        <f>SUBTOTAL(109,Apmācību_un_komandējumu_faktiskās_izmaksas[Feb])</f>
        <v>4600</v>
      </c>
      <c r="E33" s="107">
        <f>SUBTOTAL(109,Apmācību_un_komandējumu_faktiskās_izmaksas[Mar])</f>
        <v>2800</v>
      </c>
      <c r="F33" s="107">
        <f>SUBTOTAL(109,Apmācību_un_komandējumu_faktiskās_izmaksas[Apr])</f>
        <v>2800</v>
      </c>
      <c r="G33" s="107">
        <f>SUBTOTAL(109,Apmācību_un_komandējumu_faktiskās_izmaksas[Maijs])</f>
        <v>2000</v>
      </c>
      <c r="H33" s="107">
        <f>SUBTOTAL(109,Apmācību_un_komandējumu_faktiskās_izmaksas[Jūn])</f>
        <v>6300</v>
      </c>
      <c r="I33" s="107">
        <f>SUBTOTAL(109,Apmācību_un_komandējumu_faktiskās_izmaksas[Jūl])</f>
        <v>0</v>
      </c>
      <c r="J33" s="107">
        <f>SUBTOTAL(109,Apmācību_un_komandējumu_faktiskās_izmaksas[Aug])</f>
        <v>0</v>
      </c>
      <c r="K33" s="107">
        <f>SUBTOTAL(109,Apmācību_un_komandējumu_faktiskās_izmaksas[Sep])</f>
        <v>0</v>
      </c>
      <c r="L33" s="107">
        <f>SUBTOTAL(109,Apmācību_un_komandējumu_faktiskās_izmaksas[Okt])</f>
        <v>0</v>
      </c>
      <c r="M33" s="107">
        <f>SUBTOTAL(109,Apmācību_un_komandējumu_faktiskās_izmaksas[Nov])</f>
        <v>0</v>
      </c>
      <c r="N33" s="107">
        <f>SUBTOTAL(109,Apmācību_un_komandējumu_faktiskās_izmaksas[Dec])</f>
        <v>0</v>
      </c>
      <c r="O33" s="108">
        <f>SUBTOTAL(109,Apmācību_un_komandējumu_faktiskās_izmaksas[GADS])</f>
        <v>21300</v>
      </c>
    </row>
    <row r="34" spans="1:16" ht="21" customHeight="1" x14ac:dyDescent="0.3">
      <c r="A34" s="145"/>
      <c r="B34" s="129"/>
      <c r="C34" s="129"/>
      <c r="D34" s="147"/>
      <c r="E34" s="147"/>
      <c r="F34" s="147"/>
      <c r="G34" s="147"/>
      <c r="H34" s="147"/>
      <c r="I34" s="147"/>
      <c r="J34" s="147"/>
      <c r="K34" s="147"/>
      <c r="L34" s="147"/>
      <c r="M34" s="147"/>
      <c r="N34" s="147"/>
      <c r="O34" s="147"/>
    </row>
    <row r="35" spans="1:16" ht="24.95" customHeight="1" thickBot="1" x14ac:dyDescent="0.35">
      <c r="A35" s="35" t="s">
        <v>81</v>
      </c>
      <c r="B35" s="30" t="s">
        <v>43</v>
      </c>
      <c r="C35" s="31" t="s">
        <v>45</v>
      </c>
      <c r="D35" s="31" t="s">
        <v>47</v>
      </c>
      <c r="E35" s="31" t="s">
        <v>49</v>
      </c>
      <c r="F35" s="31" t="s">
        <v>51</v>
      </c>
      <c r="G35" s="31" t="s">
        <v>53</v>
      </c>
      <c r="H35" s="31" t="s">
        <v>55</v>
      </c>
      <c r="I35" s="31" t="s">
        <v>57</v>
      </c>
      <c r="J35" s="31" t="s">
        <v>59</v>
      </c>
      <c r="K35" s="31" t="s">
        <v>63</v>
      </c>
      <c r="L35" s="31" t="s">
        <v>65</v>
      </c>
      <c r="M35" s="31" t="s">
        <v>67</v>
      </c>
      <c r="N35" s="31" t="s">
        <v>70</v>
      </c>
      <c r="O35" s="78" t="s">
        <v>72</v>
      </c>
    </row>
    <row r="36" spans="1:16" ht="24.95" customHeight="1" thickBot="1" x14ac:dyDescent="0.35">
      <c r="A36" s="35"/>
      <c r="B36" s="77" t="s">
        <v>83</v>
      </c>
      <c r="C36" s="115">
        <f>Apmācību_un_komandējumu_faktiskās_izmaksas[[#Totals],[Jan]]+Mārketinga_faktiskās_izmaksas[[#Totals],[Jan]]+Biroja_faktiskās_izmaksas[[#Totals],[Jan]]+Darbinieku_faktiskās_izmaksas[[#Totals],[Jan]]</f>
        <v>129682</v>
      </c>
      <c r="D36" s="116">
        <f>Apmācību_un_komandējumu_faktiskās_izmaksas[[#Totals],[Feb]]+Mārketinga_faktiskās_izmaksas[[#Totals],[Feb]]+Biroja_faktiskās_izmaksas[[#Totals],[Feb]]+Darbinieku_faktiskās_izmaksas[[#Totals],[Feb]]</f>
        <v>127804</v>
      </c>
      <c r="E36" s="116">
        <f>Apmācību_un_komandējumu_faktiskās_izmaksas[[#Totals],[Mar]]+Mārketinga_faktiskās_izmaksas[[#Totals],[Mar]]+Biroja_faktiskās_izmaksas[[#Totals],[Mar]]+Darbinieku_faktiskās_izmaksas[[#Totals],[Mar]]</f>
        <v>125565</v>
      </c>
      <c r="F36" s="116">
        <f>Apmācību_un_komandējumu_faktiskās_izmaksas[[#Totals],[Apr]]+Mārketinga_faktiskās_izmaksas[[#Totals],[Apr]]+Biroja_faktiskās_izmaksas[[#Totals],[Apr]]+Darbinieku_faktiskās_izmaksas[[#Totals],[Apr]]</f>
        <v>137394</v>
      </c>
      <c r="G36" s="116">
        <f>Apmācību_un_komandējumu_faktiskās_izmaksas[[#Totals],[Maijs]]+Mārketinga_faktiskās_izmaksas[[#Totals],[Maijs]]+Biroja_faktiskās_izmaksas[[#Totals],[Maijs]]+Darbinieku_faktiskās_izmaksas[[#Totals],[Maijs]]</f>
        <v>128255</v>
      </c>
      <c r="H36" s="116">
        <f>Apmācību_un_komandējumu_faktiskās_izmaksas[[#Totals],[Jūn]]+Mārketinga_faktiskās_izmaksas[[#Totals],[Jūn]]+Biroja_faktiskās_izmaksas[[#Totals],[Jūn]]+Darbinieku_faktiskās_izmaksas[[#Totals],[Jūn]]</f>
        <v>134239</v>
      </c>
      <c r="I36" s="116">
        <f>Apmācību_un_komandējumu_faktiskās_izmaksas[[#Totals],[Jūl]]+Mārketinga_faktiskās_izmaksas[[#Totals],[Jūl]]+Biroja_faktiskās_izmaksas[[#Totals],[Jūl]]+Darbinieku_faktiskās_izmaksas[[#Totals],[Jūl]]</f>
        <v>0</v>
      </c>
      <c r="J36" s="116">
        <f>Apmācību_un_komandējumu_faktiskās_izmaksas[[#Totals],[Aug]]+Mārketinga_faktiskās_izmaksas[[#Totals],[Aug]]+Biroja_faktiskās_izmaksas[[#Totals],[Aug]]+Darbinieku_faktiskās_izmaksas[[#Totals],[Aug]]</f>
        <v>0</v>
      </c>
      <c r="K36" s="116">
        <f>Apmācību_un_komandējumu_faktiskās_izmaksas[[#Totals],[Sep]]+Mārketinga_faktiskās_izmaksas[[#Totals],[Sep]]+Biroja_faktiskās_izmaksas[[#Totals],[Sep]]+Darbinieku_faktiskās_izmaksas[[#Totals],[Sep]]</f>
        <v>0</v>
      </c>
      <c r="L36" s="116">
        <f>Apmācību_un_komandējumu_faktiskās_izmaksas[[#Totals],[Okt]]+Mārketinga_faktiskās_izmaksas[[#Totals],[Okt]]+Biroja_faktiskās_izmaksas[[#Totals],[Okt]]+Darbinieku_faktiskās_izmaksas[[#Totals],[Okt]]</f>
        <v>0</v>
      </c>
      <c r="M36" s="116">
        <f>Apmācību_un_komandējumu_faktiskās_izmaksas[[#Totals],[Nov]]+Mārketinga_faktiskās_izmaksas[[#Totals],[Nov]]+Biroja_faktiskās_izmaksas[[#Totals],[Nov]]+Darbinieku_faktiskās_izmaksas[[#Totals],[Nov]]</f>
        <v>0</v>
      </c>
      <c r="N36" s="116">
        <f>Apmācību_un_komandējumu_faktiskās_izmaksas[[#Totals],[Dec]]+Mārketinga_faktiskās_izmaksas[[#Totals],[Dec]]+Biroja_faktiskās_izmaksas[[#Totals],[Dec]]+Darbinieku_faktiskās_izmaksas[[#Totals],[Dec]]</f>
        <v>0</v>
      </c>
      <c r="O36" s="116">
        <f>Apmācību_un_komandējumu_faktiskās_izmaksas[[#Totals],[GADS]]+Mārketinga_faktiskās_izmaksas[[#Totals],[GADS]]+Biroja_faktiskās_izmaksas[[#Totals],[GADS]]+Darbinieku_faktiskās_izmaksas[[#Totals],[GADS]]</f>
        <v>782939</v>
      </c>
      <c r="P36"/>
    </row>
    <row r="37" spans="1:16" ht="24.95" customHeight="1" thickBot="1" x14ac:dyDescent="0.35">
      <c r="A37" s="35"/>
      <c r="B37" s="77" t="s">
        <v>84</v>
      </c>
      <c r="C37" s="117">
        <f>SUM($C$36:C36)</f>
        <v>129682</v>
      </c>
      <c r="D37" s="118">
        <f>SUM($C$36:D36)</f>
        <v>257486</v>
      </c>
      <c r="E37" s="118">
        <f>SUM($C$36:E36)</f>
        <v>383051</v>
      </c>
      <c r="F37" s="118">
        <f>SUM($C$36:F36)</f>
        <v>520445</v>
      </c>
      <c r="G37" s="118">
        <f>SUM($C$36:G36)</f>
        <v>648700</v>
      </c>
      <c r="H37" s="119">
        <f>SUM($C$36:H36)</f>
        <v>782939</v>
      </c>
      <c r="I37" s="118">
        <f>SUM($C$36:I36)</f>
        <v>782939</v>
      </c>
      <c r="J37" s="118">
        <f>SUM($C$36:J36)</f>
        <v>782939</v>
      </c>
      <c r="K37" s="118">
        <f>SUM($C$36:K36)</f>
        <v>782939</v>
      </c>
      <c r="L37" s="118">
        <f>SUM($C$36:L36)</f>
        <v>782939</v>
      </c>
      <c r="M37" s="119">
        <f>SUM($C$36:M36)</f>
        <v>782939</v>
      </c>
      <c r="N37" s="118">
        <f>SUM($C$36:N36)</f>
        <v>782939</v>
      </c>
      <c r="O37" s="119"/>
      <c r="P37"/>
    </row>
    <row r="38" spans="1:16" ht="21" customHeight="1" x14ac:dyDescent="0.3">
      <c r="A38" s="149"/>
      <c r="B38" s="2"/>
      <c r="C38" s="2"/>
      <c r="D38" s="2"/>
      <c r="E38" s="2"/>
      <c r="F38" s="2"/>
      <c r="G38" s="2"/>
      <c r="H38" s="2"/>
      <c r="I38" s="2"/>
      <c r="J38" s="2"/>
      <c r="K38" s="2"/>
      <c r="L38" s="15"/>
      <c r="M38" s="15"/>
      <c r="N38" s="15"/>
      <c r="O38" s="15"/>
    </row>
    <row r="39" spans="1:16" ht="21" customHeight="1" x14ac:dyDescent="0.3">
      <c r="A39" s="149"/>
      <c r="B39" s="2"/>
      <c r="C39" s="2"/>
      <c r="D39" s="2"/>
      <c r="E39" s="2"/>
      <c r="F39" s="2"/>
      <c r="G39" s="2"/>
      <c r="H39" s="2"/>
      <c r="I39" s="2"/>
      <c r="J39" s="2"/>
      <c r="K39" s="2"/>
      <c r="L39" s="2"/>
      <c r="M39" s="2"/>
      <c r="N39" s="2"/>
      <c r="O39" s="2"/>
    </row>
    <row r="40" spans="1:16" ht="21" customHeight="1" x14ac:dyDescent="0.3">
      <c r="A40" s="149"/>
      <c r="B40" s="2"/>
      <c r="C40" s="2"/>
      <c r="D40" s="2"/>
      <c r="E40" s="2"/>
      <c r="F40" s="2"/>
      <c r="G40" s="2"/>
      <c r="H40" s="2"/>
      <c r="I40" s="2"/>
      <c r="J40" s="2"/>
      <c r="K40" s="2"/>
      <c r="L40" s="2"/>
      <c r="M40" s="2"/>
      <c r="N40" s="2"/>
      <c r="O40" s="2"/>
    </row>
    <row r="41" spans="1:16" ht="21" customHeight="1" x14ac:dyDescent="0.3">
      <c r="B41" s="2"/>
      <c r="C41" s="2"/>
      <c r="D41" s="2"/>
      <c r="E41" s="2"/>
      <c r="F41" s="2"/>
      <c r="G41" s="2"/>
      <c r="H41" s="2"/>
      <c r="I41" s="2"/>
      <c r="J41" s="2"/>
      <c r="K41" s="2"/>
      <c r="L41" s="2"/>
      <c r="M41" s="2"/>
      <c r="N41" s="2"/>
      <c r="O41" s="2"/>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9"/>
  <sheetViews>
    <sheetView showGridLines="0" zoomScaleNormal="100" workbookViewId="0"/>
  </sheetViews>
  <sheetFormatPr defaultColWidth="9.140625" defaultRowHeight="21" customHeight="1" x14ac:dyDescent="0.3"/>
  <cols>
    <col min="1" max="1" width="4.7109375" style="1" customWidth="1"/>
    <col min="2" max="2" width="49.5703125" style="5" bestFit="1" customWidth="1"/>
    <col min="3" max="13" width="17.7109375" style="5" customWidth="1"/>
    <col min="14" max="14" width="18.85546875" style="5" customWidth="1"/>
    <col min="15" max="15" width="21.7109375" style="5" customWidth="1"/>
    <col min="16" max="16" width="4.7109375" style="1" customWidth="1"/>
    <col min="17" max="16384" width="9.140625" style="5"/>
  </cols>
  <sheetData>
    <row r="1" spans="1:16" s="1" customFormat="1" ht="24" customHeight="1" x14ac:dyDescent="0.3">
      <c r="A1" s="36" t="s">
        <v>98</v>
      </c>
      <c r="B1" s="11"/>
      <c r="C1" s="11"/>
      <c r="D1" s="11"/>
      <c r="E1" s="11"/>
      <c r="F1" s="8"/>
      <c r="G1" s="8"/>
      <c r="H1" s="8"/>
      <c r="I1" s="8"/>
      <c r="J1" s="8"/>
      <c r="K1" s="8"/>
      <c r="L1" s="8"/>
      <c r="M1" s="8"/>
      <c r="N1" s="8"/>
      <c r="O1" s="8"/>
      <c r="P1" s="68" t="s">
        <v>73</v>
      </c>
    </row>
    <row r="2" spans="1:16" s="1" customFormat="1" ht="45" customHeight="1" x14ac:dyDescent="0.35">
      <c r="A2" s="34" t="s">
        <v>97</v>
      </c>
      <c r="B2" s="131" t="str">
        <f>'PLĀNOTIE IZDEVUMI'!B2:D3</f>
        <v>Uzņēmuma nosaukumu</v>
      </c>
      <c r="C2" s="131"/>
      <c r="D2" s="131"/>
      <c r="E2" s="143"/>
      <c r="F2" s="9"/>
      <c r="G2" s="9"/>
      <c r="H2" s="9"/>
      <c r="I2" s="9"/>
      <c r="J2" s="9"/>
      <c r="K2" s="128" t="str">
        <f>darblapas_nosaukums</f>
        <v>Detalizēti izdevumu aprēķini</v>
      </c>
      <c r="L2" s="128"/>
      <c r="M2" s="128"/>
      <c r="N2" s="127" t="s">
        <v>68</v>
      </c>
      <c r="O2" s="127"/>
      <c r="P2" s="8"/>
    </row>
    <row r="3" spans="1:16" s="1" customFormat="1" ht="30" customHeight="1" x14ac:dyDescent="0.3">
      <c r="A3" s="34" t="s">
        <v>10</v>
      </c>
      <c r="B3" s="131"/>
      <c r="C3" s="131"/>
      <c r="D3" s="131"/>
      <c r="E3" s="144"/>
      <c r="F3" s="10"/>
      <c r="G3" s="10"/>
      <c r="H3" s="10"/>
      <c r="I3" s="10"/>
      <c r="J3" s="10"/>
      <c r="K3" s="133" t="s">
        <v>61</v>
      </c>
      <c r="L3" s="133"/>
      <c r="M3" s="133"/>
      <c r="N3" s="127"/>
      <c r="O3" s="127"/>
      <c r="P3" s="8"/>
    </row>
    <row r="4" spans="1:16" s="23" customFormat="1" ht="49.5" customHeight="1" x14ac:dyDescent="0.3">
      <c r="A4" s="37" t="s">
        <v>99</v>
      </c>
      <c r="B4" s="24" t="s">
        <v>86</v>
      </c>
      <c r="C4" s="25" t="s">
        <v>44</v>
      </c>
      <c r="D4" s="25" t="s">
        <v>46</v>
      </c>
      <c r="E4" s="25" t="s">
        <v>48</v>
      </c>
      <c r="F4" s="25" t="s">
        <v>50</v>
      </c>
      <c r="G4" s="25" t="s">
        <v>52</v>
      </c>
      <c r="H4" s="25" t="s">
        <v>54</v>
      </c>
      <c r="I4" s="25" t="s">
        <v>56</v>
      </c>
      <c r="J4" s="25" t="s">
        <v>58</v>
      </c>
      <c r="K4" s="25" t="s">
        <v>62</v>
      </c>
      <c r="L4" s="25" t="s">
        <v>64</v>
      </c>
      <c r="M4" s="25" t="s">
        <v>66</v>
      </c>
      <c r="N4" s="25" t="s">
        <v>69</v>
      </c>
      <c r="O4" s="25" t="s">
        <v>71</v>
      </c>
    </row>
    <row r="5" spans="1:16" s="6" customFormat="1" ht="24.95" customHeight="1" thickBot="1" x14ac:dyDescent="0.35">
      <c r="A5" s="44" t="s">
        <v>100</v>
      </c>
      <c r="B5" s="63" t="s">
        <v>18</v>
      </c>
      <c r="C5" s="79" t="s">
        <v>45</v>
      </c>
      <c r="D5" s="79" t="s">
        <v>47</v>
      </c>
      <c r="E5" s="92" t="s">
        <v>49</v>
      </c>
      <c r="F5" s="79" t="s">
        <v>51</v>
      </c>
      <c r="G5" s="79" t="s">
        <v>53</v>
      </c>
      <c r="H5" s="79" t="s">
        <v>55</v>
      </c>
      <c r="I5" s="79" t="s">
        <v>57</v>
      </c>
      <c r="J5" s="79" t="s">
        <v>59</v>
      </c>
      <c r="K5" s="79" t="s">
        <v>63</v>
      </c>
      <c r="L5" s="79" t="s">
        <v>65</v>
      </c>
      <c r="M5" s="79" t="s">
        <v>67</v>
      </c>
      <c r="N5" s="79" t="s">
        <v>70</v>
      </c>
      <c r="O5" s="80" t="s">
        <v>71</v>
      </c>
      <c r="P5" s="3"/>
    </row>
    <row r="6" spans="1:16" ht="24.95" customHeight="1" thickBot="1" x14ac:dyDescent="0.35">
      <c r="A6" s="35"/>
      <c r="B6" s="50" t="s">
        <v>19</v>
      </c>
      <c r="C6" s="103">
        <f>INDEX(Darbinieku_plāns[],MATCH(INDEX(Darbinieku_vērtību_novirzes[],ROW()-ROW(Darbinieku_vērtību_novirzes[[#Headers],[Jan]]),1),INDEX(Darbinieku_plāns[],,1),0),MATCH(Darbinieku_vērtību_novirzes[[#Headers],[Jan]],Darbinieku_plāns[#Headers],0))-INDEX(Darbinieku_faktiskās_izmaksas[],MATCH(INDEX(Darbinieku_vērtību_novirzes[],ROW()-ROW(Darbinieku_vērtību_novirzes[[#Headers],[Jan]]),1),INDEX(Darbinieku_plāns[],,1),0),MATCH(Darbinieku_vērtību_novirzes[[#Headers],[Jan]],Darbinieku_faktiskās_izmaksas[#Headers],0))</f>
        <v>0</v>
      </c>
      <c r="D6" s="104">
        <f>INDEX(Darbinieku_plāns[],MATCH(INDEX(Darbinieku_vērtību_novirzes[],ROW()-ROW(Darbinieku_vērtību_novirzes[[#Headers],[Feb]]),1),INDEX(Darbinieku_plāns[],,1),0),MATCH(Darbinieku_vērtību_novirzes[[#Headers],[Feb]],Darbinieku_plāns[#Headers],0))-INDEX(Darbinieku_faktiskās_izmaksas[],MATCH(INDEX(Darbinieku_vērtību_novirzes[],ROW()-ROW(Darbinieku_vērtību_novirzes[[#Headers],[Feb]]),1),INDEX(Darbinieku_plāns[],,1),0),MATCH(Darbinieku_vērtību_novirzes[[#Headers],[Feb]],Darbinieku_faktiskās_izmaksas[#Headers],0))</f>
        <v>0</v>
      </c>
      <c r="E6" s="104">
        <f>INDEX(Darbinieku_plāns[],MATCH(INDEX(Darbinieku_vērtību_novirzes[],ROW()-ROW(Darbinieku_vērtību_novirzes[[#Headers],[Mar]]),1),INDEX(Darbinieku_plāns[],,1),0),MATCH(Darbinieku_vērtību_novirzes[[#Headers],[Mar]],Darbinieku_plāns[#Headers],0))-INDEX(Darbinieku_faktiskās_izmaksas[],MATCH(INDEX(Darbinieku_vērtību_novirzes[],ROW()-ROW(Darbinieku_vērtību_novirzes[[#Headers],[Mar]]),1),INDEX(Darbinieku_plāns[],,1),0),MATCH(Darbinieku_vērtību_novirzes[[#Headers],[Mar]],Darbinieku_faktiskās_izmaksas[#Headers],0))</f>
        <v>0</v>
      </c>
      <c r="F6" s="104">
        <f>INDEX(Darbinieku_plāns[],MATCH(INDEX(Darbinieku_vērtību_novirzes[],ROW()-ROW(Darbinieku_vērtību_novirzes[[#Headers],[Apr]]),1),INDEX(Darbinieku_plāns[],,1),0),MATCH(Darbinieku_vērtību_novirzes[[#Headers],[Apr]],Darbinieku_plāns[#Headers],0))-INDEX(Darbinieku_faktiskās_izmaksas[],MATCH(INDEX(Darbinieku_vērtību_novirzes[],ROW()-ROW(Darbinieku_vērtību_novirzes[[#Headers],[Apr]]),1),INDEX(Darbinieku_plāns[],,1),0),MATCH(Darbinieku_vērtību_novirzes[[#Headers],[Apr]],Darbinieku_faktiskās_izmaksas[#Headers],0))</f>
        <v>-500</v>
      </c>
      <c r="G6" s="104">
        <f>INDEX(Darbinieku_plāns[],MATCH(INDEX(Darbinieku_vērtību_novirzes[],ROW()-ROW(Darbinieku_vērtību_novirzes[[#Headers],[Maijs]]),1),INDEX(Darbinieku_plāns[],,1),0),MATCH(Darbinieku_vērtību_novirzes[[#Headers],[Maijs]],Darbinieku_plāns[#Headers],0))-INDEX(Darbinieku_faktiskās_izmaksas[],MATCH(INDEX(Darbinieku_vērtību_novirzes[],ROW()-ROW(Darbinieku_vērtību_novirzes[[#Headers],[Maijs]]),1),INDEX(Darbinieku_plāns[],,1),0),MATCH(Darbinieku_vērtību_novirzes[[#Headers],[Maijs]],Darbinieku_faktiskās_izmaksas[#Headers],0))</f>
        <v>-500</v>
      </c>
      <c r="H6" s="104">
        <f>INDEX(Darbinieku_plāns[],MATCH(INDEX(Darbinieku_vērtību_novirzes[],ROW()-ROW(Darbinieku_vērtību_novirzes[[#Headers],[Jūn]]),1),INDEX(Darbinieku_plāns[],,1),0),MATCH(Darbinieku_vērtību_novirzes[[#Headers],[Jūn]],Darbinieku_plāns[#Headers],0))-INDEX(Darbinieku_faktiskās_izmaksas[],MATCH(INDEX(Darbinieku_vērtību_novirzes[],ROW()-ROW(Darbinieku_vērtību_novirzes[[#Headers],[Jūn]]),1),INDEX(Darbinieku_plāns[],,1),0),MATCH(Darbinieku_vērtību_novirzes[[#Headers],[Jūn]],Darbinieku_faktiskās_izmaksas[#Headers],0))</f>
        <v>-500</v>
      </c>
      <c r="I6" s="104">
        <f>INDEX(Darbinieku_plāns[],MATCH(INDEX(Darbinieku_vērtību_novirzes[],ROW()-ROW(Darbinieku_vērtību_novirzes[[#Headers],[Jūl]]),1),INDEX(Darbinieku_plāns[],,1),0),MATCH(Darbinieku_vērtību_novirzes[[#Headers],[Jūl]],Darbinieku_plāns[#Headers],0))-INDEX(Darbinieku_faktiskās_izmaksas[],MATCH(INDEX(Darbinieku_vērtību_novirzes[],ROW()-ROW(Darbinieku_vērtību_novirzes[[#Headers],[Jūl]]),1),INDEX(Darbinieku_plāns[],,1),0),MATCH(Darbinieku_vērtību_novirzes[[#Headers],[Jūl]],Darbinieku_faktiskās_izmaksas[#Headers],0))</f>
        <v>87500</v>
      </c>
      <c r="J6" s="104">
        <f>INDEX(Darbinieku_plāns[],MATCH(INDEX(Darbinieku_vērtību_novirzes[],ROW()-ROW(Darbinieku_vērtību_novirzes[[#Headers],[Aug]]),1),INDEX(Darbinieku_plāns[],,1),0),MATCH(Darbinieku_vērtību_novirzes[[#Headers],[Aug]],Darbinieku_plāns[#Headers],0))-INDEX(Darbinieku_faktiskās_izmaksas[],MATCH(INDEX(Darbinieku_vērtību_novirzes[],ROW()-ROW(Darbinieku_vērtību_novirzes[[#Headers],[Aug]]),1),INDEX(Darbinieku_plāns[],,1),0),MATCH(Darbinieku_vērtību_novirzes[[#Headers],[Aug]],Darbinieku_faktiskās_izmaksas[#Headers],0))</f>
        <v>92400</v>
      </c>
      <c r="K6" s="104">
        <f>INDEX(Darbinieku_plāns[],MATCH(INDEX(Darbinieku_vērtību_novirzes[],ROW()-ROW(Darbinieku_vērtību_novirzes[[#Headers],[Sep]]),1),INDEX(Darbinieku_plāns[],,1),0),MATCH(Darbinieku_vērtību_novirzes[[#Headers],[Sep]],Darbinieku_plāns[#Headers],0))-INDEX(Darbinieku_faktiskās_izmaksas[],MATCH(INDEX(Darbinieku_vērtību_novirzes[],ROW()-ROW(Darbinieku_vērtību_novirzes[[#Headers],[Sep]]),1),INDEX(Darbinieku_plāns[],,1),0),MATCH(Darbinieku_vērtību_novirzes[[#Headers],[Sep]],Darbinieku_faktiskās_izmaksas[#Headers],0))</f>
        <v>92400</v>
      </c>
      <c r="L6" s="104">
        <f>INDEX(Darbinieku_plāns[],MATCH(INDEX(Darbinieku_vērtību_novirzes[],ROW()-ROW(Darbinieku_vērtību_novirzes[[#Headers],[Okt]]),1),INDEX(Darbinieku_plāns[],,1),0),MATCH(Darbinieku_vērtību_novirzes[[#Headers],[Okt]],Darbinieku_plāns[#Headers],0))-INDEX(Darbinieku_faktiskās_izmaksas[],MATCH(INDEX(Darbinieku_vērtību_novirzes[],ROW()-ROW(Darbinieku_vērtību_novirzes[[#Headers],[Okt]]),1),INDEX(Darbinieku_plāns[],,1),0),MATCH(Darbinieku_vērtību_novirzes[[#Headers],[Okt]],Darbinieku_faktiskās_izmaksas[#Headers],0))</f>
        <v>92400</v>
      </c>
      <c r="M6" s="104">
        <f>INDEX(Darbinieku_plāns[],MATCH(INDEX(Darbinieku_vērtību_novirzes[],ROW()-ROW(Darbinieku_vērtību_novirzes[[#Headers],[Nov]]),1),INDEX(Darbinieku_plāns[],,1),0),MATCH(Darbinieku_vērtību_novirzes[[#Headers],[Nov]],Darbinieku_plāns[#Headers],0))-INDEX(Darbinieku_faktiskās_izmaksas[],MATCH(INDEX(Darbinieku_vērtību_novirzes[],ROW()-ROW(Darbinieku_vērtību_novirzes[[#Headers],[Nov]]),1),INDEX(Darbinieku_plāns[],,1),0),MATCH(Darbinieku_vērtību_novirzes[[#Headers],[Nov]],Darbinieku_faktiskās_izmaksas[#Headers],0))</f>
        <v>92400</v>
      </c>
      <c r="N6" s="104">
        <f>INDEX(Darbinieku_plāns[],MATCH(INDEX(Darbinieku_vērtību_novirzes[],ROW()-ROW(Darbinieku_vērtību_novirzes[[#Headers],[Dec]]),1),INDEX(Darbinieku_plāns[],,1),0),MATCH(Darbinieku_vērtību_novirzes[[#Headers],[Dec]],Darbinieku_plāns[#Headers],0))-INDEX(Darbinieku_faktiskās_izmaksas[],MATCH(INDEX(Darbinieku_vērtību_novirzes[],ROW()-ROW(Darbinieku_vērtību_novirzes[[#Headers],[Dec]]),1),INDEX(Darbinieku_plāns[],,1),0),MATCH(Darbinieku_vērtību_novirzes[[#Headers],[Dec]],Darbinieku_faktiskās_izmaksas[#Headers],0))</f>
        <v>92400</v>
      </c>
      <c r="O6" s="105">
        <f>SUM(Darbinieku_vērtību_novirzes[[#This Row],[Jan]:[Dec]])</f>
        <v>548000</v>
      </c>
    </row>
    <row r="7" spans="1:16" ht="24.95" customHeight="1" thickBot="1" x14ac:dyDescent="0.35">
      <c r="A7" s="35"/>
      <c r="B7" s="50" t="s">
        <v>20</v>
      </c>
      <c r="C7" s="103">
        <f>INDEX(Darbinieku_plāns[],MATCH(INDEX(Darbinieku_vērtību_novirzes[],ROW()-ROW(Darbinieku_vērtību_novirzes[[#Headers],[Jan]]),1),INDEX(Darbinieku_plāns[],,1),0),MATCH(Darbinieku_vērtību_novirzes[[#Headers],[Jan]],Darbinieku_plāns[#Headers],0))-INDEX(Darbinieku_faktiskās_izmaksas[],MATCH(INDEX(Darbinieku_vērtību_novirzes[],ROW()-ROW(Darbinieku_vērtību_novirzes[[#Headers],[Jan]]),1),INDEX(Darbinieku_plāns[],,1),0),MATCH(Darbinieku_vērtību_novirzes[[#Headers],[Jan]],Darbinieku_faktiskās_izmaksas[#Headers],0))</f>
        <v>0</v>
      </c>
      <c r="D7" s="104">
        <f>INDEX(Darbinieku_plāns[],MATCH(INDEX(Darbinieku_vērtību_novirzes[],ROW()-ROW(Darbinieku_vērtību_novirzes[[#Headers],[Feb]]),1),INDEX(Darbinieku_plāns[],,1),0),MATCH(Darbinieku_vērtību_novirzes[[#Headers],[Feb]],Darbinieku_plāns[#Headers],0))-INDEX(Darbinieku_faktiskās_izmaksas[],MATCH(INDEX(Darbinieku_vērtību_novirzes[],ROW()-ROW(Darbinieku_vērtību_novirzes[[#Headers],[Feb]]),1),INDEX(Darbinieku_plāns[],,1),0),MATCH(Darbinieku_vērtību_novirzes[[#Headers],[Feb]],Darbinieku_faktiskās_izmaksas[#Headers],0))</f>
        <v>0</v>
      </c>
      <c r="E7" s="104">
        <f>INDEX(Darbinieku_plāns[],MATCH(INDEX(Darbinieku_vērtību_novirzes[],ROW()-ROW(Darbinieku_vērtību_novirzes[[#Headers],[Mar]]),1),INDEX(Darbinieku_plāns[],,1),0),MATCH(Darbinieku_vērtību_novirzes[[#Headers],[Mar]],Darbinieku_plāns[#Headers],0))-INDEX(Darbinieku_faktiskās_izmaksas[],MATCH(INDEX(Darbinieku_vērtību_novirzes[],ROW()-ROW(Darbinieku_vērtību_novirzes[[#Headers],[Mar]]),1),INDEX(Darbinieku_plāns[],,1),0),MATCH(Darbinieku_vērtību_novirzes[[#Headers],[Mar]],Darbinieku_faktiskās_izmaksas[#Headers],0))</f>
        <v>0</v>
      </c>
      <c r="F7" s="104">
        <f>INDEX(Darbinieku_plāns[],MATCH(INDEX(Darbinieku_vērtību_novirzes[],ROW()-ROW(Darbinieku_vērtību_novirzes[[#Headers],[Apr]]),1),INDEX(Darbinieku_plāns[],,1),0),MATCH(Darbinieku_vērtību_novirzes[[#Headers],[Apr]],Darbinieku_plāns[#Headers],0))-INDEX(Darbinieku_faktiskās_izmaksas[],MATCH(INDEX(Darbinieku_vērtību_novirzes[],ROW()-ROW(Darbinieku_vērtību_novirzes[[#Headers],[Apr]]),1),INDEX(Darbinieku_plāns[],,1),0),MATCH(Darbinieku_vērtību_novirzes[[#Headers],[Apr]],Darbinieku_faktiskās_izmaksas[#Headers],0))</f>
        <v>-135</v>
      </c>
      <c r="G7" s="104">
        <f>INDEX(Darbinieku_plāns[],MATCH(INDEX(Darbinieku_vērtību_novirzes[],ROW()-ROW(Darbinieku_vērtību_novirzes[[#Headers],[Maijs]]),1),INDEX(Darbinieku_plāns[],,1),0),MATCH(Darbinieku_vērtību_novirzes[[#Headers],[Maijs]],Darbinieku_plāns[#Headers],0))-INDEX(Darbinieku_faktiskās_izmaksas[],MATCH(INDEX(Darbinieku_vērtību_novirzes[],ROW()-ROW(Darbinieku_vērtību_novirzes[[#Headers],[Maijs]]),1),INDEX(Darbinieku_plāns[],,1),0),MATCH(Darbinieku_vērtību_novirzes[[#Headers],[Maijs]],Darbinieku_faktiskās_izmaksas[#Headers],0))</f>
        <v>-135</v>
      </c>
      <c r="H7" s="104">
        <f>INDEX(Darbinieku_plāns[],MATCH(INDEX(Darbinieku_vērtību_novirzes[],ROW()-ROW(Darbinieku_vērtību_novirzes[[#Headers],[Jūn]]),1),INDEX(Darbinieku_plāns[],,1),0),MATCH(Darbinieku_vērtību_novirzes[[#Headers],[Jūn]],Darbinieku_plāns[#Headers],0))-INDEX(Darbinieku_faktiskās_izmaksas[],MATCH(INDEX(Darbinieku_vērtību_novirzes[],ROW()-ROW(Darbinieku_vērtību_novirzes[[#Headers],[Jūn]]),1),INDEX(Darbinieku_plāns[],,1),0),MATCH(Darbinieku_vērtību_novirzes[[#Headers],[Jūn]],Darbinieku_faktiskās_izmaksas[#Headers],0))</f>
        <v>-135</v>
      </c>
      <c r="I7" s="104">
        <f>INDEX(Darbinieku_plāns[],MATCH(INDEX(Darbinieku_vērtību_novirzes[],ROW()-ROW(Darbinieku_vērtību_novirzes[[#Headers],[Jūl]]),1),INDEX(Darbinieku_plāns[],,1),0),MATCH(Darbinieku_vērtību_novirzes[[#Headers],[Jūl]],Darbinieku_plāns[#Headers],0))-INDEX(Darbinieku_faktiskās_izmaksas[],MATCH(INDEX(Darbinieku_vērtību_novirzes[],ROW()-ROW(Darbinieku_vērtību_novirzes[[#Headers],[Jūl]]),1),INDEX(Darbinieku_plāns[],,1),0),MATCH(Darbinieku_vērtību_novirzes[[#Headers],[Jūl]],Darbinieku_faktiskās_izmaksas[#Headers],0))</f>
        <v>23625</v>
      </c>
      <c r="J7" s="104">
        <f>INDEX(Darbinieku_plāns[],MATCH(INDEX(Darbinieku_vērtību_novirzes[],ROW()-ROW(Darbinieku_vērtību_novirzes[[#Headers],[Aug]]),1),INDEX(Darbinieku_plāns[],,1),0),MATCH(Darbinieku_vērtību_novirzes[[#Headers],[Aug]],Darbinieku_plāns[#Headers],0))-INDEX(Darbinieku_faktiskās_izmaksas[],MATCH(INDEX(Darbinieku_vērtību_novirzes[],ROW()-ROW(Darbinieku_vērtību_novirzes[[#Headers],[Aug]]),1),INDEX(Darbinieku_plāns[],,1),0),MATCH(Darbinieku_vērtību_novirzes[[#Headers],[Aug]],Darbinieku_faktiskās_izmaksas[#Headers],0))</f>
        <v>24948</v>
      </c>
      <c r="K7" s="104">
        <f>INDEX(Darbinieku_plāns[],MATCH(INDEX(Darbinieku_vērtību_novirzes[],ROW()-ROW(Darbinieku_vērtību_novirzes[[#Headers],[Sep]]),1),INDEX(Darbinieku_plāns[],,1),0),MATCH(Darbinieku_vērtību_novirzes[[#Headers],[Sep]],Darbinieku_plāns[#Headers],0))-INDEX(Darbinieku_faktiskās_izmaksas[],MATCH(INDEX(Darbinieku_vērtību_novirzes[],ROW()-ROW(Darbinieku_vērtību_novirzes[[#Headers],[Sep]]),1),INDEX(Darbinieku_plāns[],,1),0),MATCH(Darbinieku_vērtību_novirzes[[#Headers],[Sep]],Darbinieku_faktiskās_izmaksas[#Headers],0))</f>
        <v>24948</v>
      </c>
      <c r="L7" s="104">
        <f>INDEX(Darbinieku_plāns[],MATCH(INDEX(Darbinieku_vērtību_novirzes[],ROW()-ROW(Darbinieku_vērtību_novirzes[[#Headers],[Okt]]),1),INDEX(Darbinieku_plāns[],,1),0),MATCH(Darbinieku_vērtību_novirzes[[#Headers],[Okt]],Darbinieku_plāns[#Headers],0))-INDEX(Darbinieku_faktiskās_izmaksas[],MATCH(INDEX(Darbinieku_vērtību_novirzes[],ROW()-ROW(Darbinieku_vērtību_novirzes[[#Headers],[Okt]]),1),INDEX(Darbinieku_plāns[],,1),0),MATCH(Darbinieku_vērtību_novirzes[[#Headers],[Okt]],Darbinieku_faktiskās_izmaksas[#Headers],0))</f>
        <v>24948</v>
      </c>
      <c r="M7" s="104">
        <f>INDEX(Darbinieku_plāns[],MATCH(INDEX(Darbinieku_vērtību_novirzes[],ROW()-ROW(Darbinieku_vērtību_novirzes[[#Headers],[Nov]]),1),INDEX(Darbinieku_plāns[],,1),0),MATCH(Darbinieku_vērtību_novirzes[[#Headers],[Nov]],Darbinieku_plāns[#Headers],0))-INDEX(Darbinieku_faktiskās_izmaksas[],MATCH(INDEX(Darbinieku_vērtību_novirzes[],ROW()-ROW(Darbinieku_vērtību_novirzes[[#Headers],[Nov]]),1),INDEX(Darbinieku_plāns[],,1),0),MATCH(Darbinieku_vērtību_novirzes[[#Headers],[Nov]],Darbinieku_faktiskās_izmaksas[#Headers],0))</f>
        <v>24948</v>
      </c>
      <c r="N7" s="104">
        <f>INDEX(Darbinieku_plāns[],MATCH(INDEX(Darbinieku_vērtību_novirzes[],ROW()-ROW(Darbinieku_vērtību_novirzes[[#Headers],[Dec]]),1),INDEX(Darbinieku_plāns[],,1),0),MATCH(Darbinieku_vērtību_novirzes[[#Headers],[Dec]],Darbinieku_plāns[#Headers],0))-INDEX(Darbinieku_faktiskās_izmaksas[],MATCH(INDEX(Darbinieku_vērtību_novirzes[],ROW()-ROW(Darbinieku_vērtību_novirzes[[#Headers],[Dec]]),1),INDEX(Darbinieku_plāns[],,1),0),MATCH(Darbinieku_vērtību_novirzes[[#Headers],[Dec]],Darbinieku_faktiskās_izmaksas[#Headers],0))</f>
        <v>24948</v>
      </c>
      <c r="O7" s="105">
        <f>SUM(Darbinieku_vērtību_novirzes[[#This Row],[Jan]:[Dec]])</f>
        <v>147960</v>
      </c>
    </row>
    <row r="8" spans="1:16" ht="24.95" customHeight="1" x14ac:dyDescent="0.3">
      <c r="A8" s="35"/>
      <c r="B8" s="81" t="s">
        <v>21</v>
      </c>
      <c r="C8" s="112">
        <f>SUBTOTAL(109,Darbinieku_vērtību_novirzes[Jan])</f>
        <v>0</v>
      </c>
      <c r="D8" s="112">
        <f>SUBTOTAL(109,Darbinieku_vērtību_novirzes[Feb])</f>
        <v>0</v>
      </c>
      <c r="E8" s="112">
        <f>SUBTOTAL(109,Darbinieku_vērtību_novirzes[Mar])</f>
        <v>0</v>
      </c>
      <c r="F8" s="112">
        <f>SUBTOTAL(109,Darbinieku_vērtību_novirzes[Apr])</f>
        <v>-635</v>
      </c>
      <c r="G8" s="112">
        <f>SUBTOTAL(109,Darbinieku_vērtību_novirzes[Maijs])</f>
        <v>-635</v>
      </c>
      <c r="H8" s="112">
        <f>SUBTOTAL(109,Darbinieku_vērtību_novirzes[Jūn])</f>
        <v>-635</v>
      </c>
      <c r="I8" s="112">
        <f>SUBTOTAL(109,Darbinieku_vērtību_novirzes[Jūl])</f>
        <v>111125</v>
      </c>
      <c r="J8" s="112">
        <f>SUBTOTAL(109,Darbinieku_vērtību_novirzes[Aug])</f>
        <v>117348</v>
      </c>
      <c r="K8" s="112">
        <f>SUBTOTAL(109,Darbinieku_vērtību_novirzes[Sep])</f>
        <v>117348</v>
      </c>
      <c r="L8" s="112">
        <f>SUBTOTAL(109,Darbinieku_vērtību_novirzes[Okt])</f>
        <v>117348</v>
      </c>
      <c r="M8" s="112">
        <f>SUBTOTAL(109,Darbinieku_vērtību_novirzes[Nov])</f>
        <v>117348</v>
      </c>
      <c r="N8" s="112">
        <f>SUBTOTAL(109,Darbinieku_vērtību_novirzes[Dec])</f>
        <v>117348</v>
      </c>
      <c r="O8" s="113">
        <f>SUBTOTAL(109,Darbinieku_vērtību_novirzes[GADS])</f>
        <v>695960</v>
      </c>
    </row>
    <row r="9" spans="1:16" ht="21" customHeight="1" x14ac:dyDescent="0.3">
      <c r="A9" s="145"/>
      <c r="B9" s="134"/>
      <c r="C9" s="134"/>
      <c r="D9" s="146"/>
      <c r="E9" s="146"/>
      <c r="F9" s="146"/>
      <c r="G9" s="146"/>
      <c r="H9" s="146"/>
      <c r="I9" s="146"/>
      <c r="J9" s="146"/>
      <c r="K9" s="146"/>
      <c r="L9" s="146"/>
      <c r="M9" s="146"/>
      <c r="N9" s="146"/>
      <c r="O9" s="147"/>
    </row>
    <row r="10" spans="1:16" ht="24.95" customHeight="1" thickBot="1" x14ac:dyDescent="0.35">
      <c r="A10" s="35" t="s">
        <v>101</v>
      </c>
      <c r="B10" s="53" t="s">
        <v>22</v>
      </c>
      <c r="C10" s="69" t="s">
        <v>45</v>
      </c>
      <c r="D10" s="69" t="s">
        <v>47</v>
      </c>
      <c r="E10" s="69" t="s">
        <v>49</v>
      </c>
      <c r="F10" s="69" t="s">
        <v>51</v>
      </c>
      <c r="G10" s="69" t="s">
        <v>53</v>
      </c>
      <c r="H10" s="69" t="s">
        <v>55</v>
      </c>
      <c r="I10" s="69" t="s">
        <v>57</v>
      </c>
      <c r="J10" s="69" t="s">
        <v>59</v>
      </c>
      <c r="K10" s="69" t="s">
        <v>63</v>
      </c>
      <c r="L10" s="69" t="s">
        <v>65</v>
      </c>
      <c r="M10" s="69" t="s">
        <v>67</v>
      </c>
      <c r="N10" s="69" t="s">
        <v>70</v>
      </c>
      <c r="O10" s="70" t="s">
        <v>71</v>
      </c>
    </row>
    <row r="11" spans="1:16" ht="24.95" customHeight="1" thickBot="1" x14ac:dyDescent="0.35">
      <c r="A11" s="35"/>
      <c r="B11" s="71" t="s">
        <v>23</v>
      </c>
      <c r="C11" s="104">
        <f>INDEX(Biroja_plāns[],MATCH(INDEX(Biroja_vērtību_novirzes[],ROW()-ROW(Biroja_vērtību_novirzes[[#Headers],[Jan]]),1),INDEX(Biroja_plāns[],,1),0),MATCH(Biroja_vērtību_novirzes[[#Headers],[Jan]],Biroja_plāns[#Headers],0))-INDEX(Biroja_faktiskās_izmaksas[],MATCH(INDEX(Biroja_vērtību_novirzes[],ROW()-ROW(Biroja_vērtību_novirzes[[#Headers],[Jan]]),1),INDEX(Biroja_plāns[],,1),0),MATCH(Biroja_vērtību_novirzes[[#Headers],[Jan]],Biroja_faktiskās_izmaksas[#Headers],0))</f>
        <v>0</v>
      </c>
      <c r="D11" s="104">
        <f>INDEX(Biroja_plāns[],MATCH(INDEX(Biroja_vērtību_novirzes[],ROW()-ROW(Biroja_vērtību_novirzes[[#Headers],[Feb]]),1),INDEX(Biroja_plāns[],,1),0),MATCH(Biroja_vērtību_novirzes[[#Headers],[Feb]],Biroja_plāns[#Headers],0))-INDEX(Biroja_faktiskās_izmaksas[],MATCH(INDEX(Biroja_vērtību_novirzes[],ROW()-ROW(Biroja_vērtību_novirzes[[#Headers],[Feb]]),1),INDEX(Biroja_plāns[],,1),0),MATCH(Biroja_vērtību_novirzes[[#Headers],[Feb]],Biroja_faktiskās_izmaksas[#Headers],0))</f>
        <v>0</v>
      </c>
      <c r="E11" s="104">
        <f>INDEX(Biroja_plāns[],MATCH(INDEX(Biroja_vērtību_novirzes[],ROW()-ROW(Biroja_vērtību_novirzes[[#Headers],[Mar]]),1),INDEX(Biroja_plāns[],,1),0),MATCH(Biroja_vērtību_novirzes[[#Headers],[Mar]],Biroja_plāns[#Headers],0))-INDEX(Biroja_faktiskās_izmaksas[],MATCH(INDEX(Biroja_vērtību_novirzes[],ROW()-ROW(Biroja_vērtību_novirzes[[#Headers],[Mar]]),1),INDEX(Biroja_plāns[],,1),0),MATCH(Biroja_vērtību_novirzes[[#Headers],[Mar]],Biroja_faktiskās_izmaksas[#Headers],0))</f>
        <v>0</v>
      </c>
      <c r="F11" s="104">
        <f>INDEX(Biroja_plāns[],MATCH(INDEX(Biroja_vērtību_novirzes[],ROW()-ROW(Biroja_vērtību_novirzes[[#Headers],[Apr]]),1),INDEX(Biroja_plāns[],,1),0),MATCH(Biroja_vērtību_novirzes[[#Headers],[Apr]],Biroja_plāns[#Headers],0))-INDEX(Biroja_faktiskās_izmaksas[],MATCH(INDEX(Biroja_vērtību_novirzes[],ROW()-ROW(Biroja_vērtību_novirzes[[#Headers],[Apr]]),1),INDEX(Biroja_plāns[],,1),0),MATCH(Biroja_vērtību_novirzes[[#Headers],[Apr]],Biroja_faktiskās_izmaksas[#Headers],0))</f>
        <v>0</v>
      </c>
      <c r="G11" s="104">
        <f>INDEX(Biroja_plāns[],MATCH(INDEX(Biroja_vērtību_novirzes[],ROW()-ROW(Biroja_vērtību_novirzes[[#Headers],[Maijs]]),1),INDEX(Biroja_plāns[],,1),0),MATCH(Biroja_vērtību_novirzes[[#Headers],[Maijs]],Biroja_plāns[#Headers],0))-INDEX(Biroja_faktiskās_izmaksas[],MATCH(INDEX(Biroja_vērtību_novirzes[],ROW()-ROW(Biroja_vērtību_novirzes[[#Headers],[Maijs]]),1),INDEX(Biroja_plāns[],,1),0),MATCH(Biroja_vērtību_novirzes[[#Headers],[Maijs]],Biroja_faktiskās_izmaksas[#Headers],0))</f>
        <v>0</v>
      </c>
      <c r="H11" s="104">
        <f>INDEX(Biroja_plāns[],MATCH(INDEX(Biroja_vērtību_novirzes[],ROW()-ROW(Biroja_vērtību_novirzes[[#Headers],[Jūn]]),1),INDEX(Biroja_plāns[],,1),0),MATCH(Biroja_vērtību_novirzes[[#Headers],[Jūn]],Biroja_plāns[#Headers],0))-INDEX(Biroja_faktiskās_izmaksas[],MATCH(INDEX(Biroja_vērtību_novirzes[],ROW()-ROW(Biroja_vērtību_novirzes[[#Headers],[Jūn]]),1),INDEX(Biroja_plāns[],,1),0),MATCH(Biroja_vērtību_novirzes[[#Headers],[Jūn]],Biroja_faktiskās_izmaksas[#Headers],0))</f>
        <v>0</v>
      </c>
      <c r="I11" s="104">
        <f>INDEX(Biroja_plāns[],MATCH(INDEX(Biroja_vērtību_novirzes[],ROW()-ROW(Biroja_vērtību_novirzes[[#Headers],[Jūl]]),1),INDEX(Biroja_plāns[],,1),0),MATCH(Biroja_vērtību_novirzes[[#Headers],[Jūl]],Biroja_plāns[#Headers],0))-INDEX(Biroja_faktiskās_izmaksas[],MATCH(INDEX(Biroja_vērtību_novirzes[],ROW()-ROW(Biroja_vērtību_novirzes[[#Headers],[Jūl]]),1),INDEX(Biroja_plāns[],,1),0),MATCH(Biroja_vērtību_novirzes[[#Headers],[Jūl]],Biroja_faktiskās_izmaksas[#Headers],0))</f>
        <v>9800</v>
      </c>
      <c r="J11" s="104">
        <f>INDEX(Biroja_plāns[],MATCH(INDEX(Biroja_vērtību_novirzes[],ROW()-ROW(Biroja_vērtību_novirzes[[#Headers],[Aug]]),1),INDEX(Biroja_plāns[],,1),0),MATCH(Biroja_vērtību_novirzes[[#Headers],[Aug]],Biroja_plāns[#Headers],0))-INDEX(Biroja_faktiskās_izmaksas[],MATCH(INDEX(Biroja_vērtību_novirzes[],ROW()-ROW(Biroja_vērtību_novirzes[[#Headers],[Aug]]),1),INDEX(Biroja_plāns[],,1),0),MATCH(Biroja_vērtību_novirzes[[#Headers],[Aug]],Biroja_faktiskās_izmaksas[#Headers],0))</f>
        <v>9800</v>
      </c>
      <c r="K11" s="104">
        <f>INDEX(Biroja_plāns[],MATCH(INDEX(Biroja_vērtību_novirzes[],ROW()-ROW(Biroja_vērtību_novirzes[[#Headers],[Sep]]),1),INDEX(Biroja_plāns[],,1),0),MATCH(Biroja_vērtību_novirzes[[#Headers],[Sep]],Biroja_plāns[#Headers],0))-INDEX(Biroja_faktiskās_izmaksas[],MATCH(INDEX(Biroja_vērtību_novirzes[],ROW()-ROW(Biroja_vērtību_novirzes[[#Headers],[Sep]]),1),INDEX(Biroja_plāns[],,1),0),MATCH(Biroja_vērtību_novirzes[[#Headers],[Sep]],Biroja_faktiskās_izmaksas[#Headers],0))</f>
        <v>9800</v>
      </c>
      <c r="L11" s="104">
        <f>INDEX(Biroja_plāns[],MATCH(INDEX(Biroja_vērtību_novirzes[],ROW()-ROW(Biroja_vērtību_novirzes[[#Headers],[Okt]]),1),INDEX(Biroja_plāns[],,1),0),MATCH(Biroja_vērtību_novirzes[[#Headers],[Okt]],Biroja_plāns[#Headers],0))-INDEX(Biroja_faktiskās_izmaksas[],MATCH(INDEX(Biroja_vērtību_novirzes[],ROW()-ROW(Biroja_vērtību_novirzes[[#Headers],[Okt]]),1),INDEX(Biroja_plāns[],,1),0),MATCH(Biroja_vērtību_novirzes[[#Headers],[Okt]],Biroja_faktiskās_izmaksas[#Headers],0))</f>
        <v>9800</v>
      </c>
      <c r="M11" s="104">
        <f>INDEX(Biroja_plāns[],MATCH(INDEX(Biroja_vērtību_novirzes[],ROW()-ROW(Biroja_vērtību_novirzes[[#Headers],[Nov]]),1),INDEX(Biroja_plāns[],,1),0),MATCH(Biroja_vērtību_novirzes[[#Headers],[Nov]],Biroja_plāns[#Headers],0))-INDEX(Biroja_faktiskās_izmaksas[],MATCH(INDEX(Biroja_vērtību_novirzes[],ROW()-ROW(Biroja_vērtību_novirzes[[#Headers],[Nov]]),1),INDEX(Biroja_plāns[],,1),0),MATCH(Biroja_vērtību_novirzes[[#Headers],[Nov]],Biroja_faktiskās_izmaksas[#Headers],0))</f>
        <v>9800</v>
      </c>
      <c r="N11" s="104">
        <f>INDEX(Biroja_plāns[],MATCH(INDEX(Biroja_vērtību_novirzes[],ROW()-ROW(Biroja_vērtību_novirzes[[#Headers],[Dec]]),1),INDEX(Biroja_plāns[],,1),0),MATCH(Biroja_vērtību_novirzes[[#Headers],[Dec]],Biroja_plāns[#Headers],0))-INDEX(Biroja_faktiskās_izmaksas[],MATCH(INDEX(Biroja_vērtību_novirzes[],ROW()-ROW(Biroja_vērtību_novirzes[[#Headers],[Dec]]),1),INDEX(Biroja_plāns[],,1),0),MATCH(Biroja_vērtību_novirzes[[#Headers],[Dec]],Biroja_faktiskās_izmaksas[#Headers],0))</f>
        <v>9800</v>
      </c>
      <c r="O11" s="105">
        <f>SUM(Biroja_vērtību_novirzes[[#This Row],[Jan]:[Dec]])</f>
        <v>58800</v>
      </c>
    </row>
    <row r="12" spans="1:16" ht="24.95" customHeight="1" thickBot="1" x14ac:dyDescent="0.35">
      <c r="A12" s="35"/>
      <c r="B12" s="71" t="s">
        <v>24</v>
      </c>
      <c r="C12" s="104">
        <f>INDEX(Biroja_plāns[],MATCH(INDEX(Biroja_vērtību_novirzes[],ROW()-ROW(Biroja_vērtību_novirzes[[#Headers],[Jan]]),1),INDEX(Biroja_plāns[],,1),0),MATCH(Biroja_vērtību_novirzes[[#Headers],[Jan]],Biroja_plāns[#Headers],0))-INDEX(Biroja_faktiskās_izmaksas[],MATCH(INDEX(Biroja_vērtību_novirzes[],ROW()-ROW(Biroja_vērtību_novirzes[[#Headers],[Jan]]),1),INDEX(Biroja_plāns[],,1),0),MATCH(Biroja_vērtību_novirzes[[#Headers],[Jan]],Biroja_faktiskās_izmaksas[#Headers],0))</f>
        <v>-4</v>
      </c>
      <c r="D12" s="104">
        <f>INDEX(Biroja_plāns[],MATCH(INDEX(Biroja_vērtību_novirzes[],ROW()-ROW(Biroja_vērtību_novirzes[[#Headers],[Feb]]),1),INDEX(Biroja_plāns[],,1),0),MATCH(Biroja_vērtību_novirzes[[#Headers],[Feb]],Biroja_plāns[#Headers],0))-INDEX(Biroja_faktiskās_izmaksas[],MATCH(INDEX(Biroja_vērtību_novirzes[],ROW()-ROW(Biroja_vērtību_novirzes[[#Headers],[Feb]]),1),INDEX(Biroja_plāns[],,1),0),MATCH(Biroja_vērtību_novirzes[[#Headers],[Feb]],Biroja_faktiskās_izmaksas[#Headers],0))</f>
        <v>-30</v>
      </c>
      <c r="E12" s="104">
        <f>INDEX(Biroja_plāns[],MATCH(INDEX(Biroja_vērtību_novirzes[],ROW()-ROW(Biroja_vērtību_novirzes[[#Headers],[Mar]]),1),INDEX(Biroja_plāns[],,1),0),MATCH(Biroja_vērtību_novirzes[[#Headers],[Mar]],Biroja_plāns[#Headers],0))-INDEX(Biroja_faktiskās_izmaksas[],MATCH(INDEX(Biroja_vērtību_novirzes[],ROW()-ROW(Biroja_vērtību_novirzes[[#Headers],[Mar]]),1),INDEX(Biroja_plāns[],,1),0),MATCH(Biroja_vērtību_novirzes[[#Headers],[Mar]],Biroja_faktiskās_izmaksas[#Headers],0))</f>
        <v>15</v>
      </c>
      <c r="F12" s="104">
        <f>INDEX(Biroja_plāns[],MATCH(INDEX(Biroja_vērtību_novirzes[],ROW()-ROW(Biroja_vērtību_novirzes[[#Headers],[Apr]]),1),INDEX(Biroja_plāns[],,1),0),MATCH(Biroja_vērtību_novirzes[[#Headers],[Apr]],Biroja_plāns[#Headers],0))-INDEX(Biroja_faktiskās_izmaksas[],MATCH(INDEX(Biroja_vērtību_novirzes[],ROW()-ROW(Biroja_vērtību_novirzes[[#Headers],[Apr]]),1),INDEX(Biroja_plāns[],,1),0),MATCH(Biroja_vērtību_novirzes[[#Headers],[Apr]],Biroja_faktiskās_izmaksas[#Headers],0))</f>
        <v>-130</v>
      </c>
      <c r="G12" s="104">
        <f>INDEX(Biroja_plāns[],MATCH(INDEX(Biroja_vērtību_novirzes[],ROW()-ROW(Biroja_vērtību_novirzes[[#Headers],[Maijs]]),1),INDEX(Biroja_plāns[],,1),0),MATCH(Biroja_vērtību_novirzes[[#Headers],[Maijs]],Biroja_plāns[#Headers],0))-INDEX(Biroja_faktiskās_izmaksas[],MATCH(INDEX(Biroja_vērtību_novirzes[],ROW()-ROW(Biroja_vērtību_novirzes[[#Headers],[Maijs]]),1),INDEX(Biroja_plāns[],,1),0),MATCH(Biroja_vērtību_novirzes[[#Headers],[Maijs]],Biroja_faktiskās_izmaksas[#Headers],0))</f>
        <v>13</v>
      </c>
      <c r="H12" s="104">
        <f>INDEX(Biroja_plāns[],MATCH(INDEX(Biroja_vērtību_novirzes[],ROW()-ROW(Biroja_vērtību_novirzes[[#Headers],[Jūn]]),1),INDEX(Biroja_plāns[],,1),0),MATCH(Biroja_vērtību_novirzes[[#Headers],[Jūn]],Biroja_plāns[#Headers],0))-INDEX(Biroja_faktiskās_izmaksas[],MATCH(INDEX(Biroja_vērtību_novirzes[],ROW()-ROW(Biroja_vērtību_novirzes[[#Headers],[Jūn]]),1),INDEX(Biroja_plāns[],,1),0),MATCH(Biroja_vērtību_novirzes[[#Headers],[Jūn]],Biroja_faktiskās_izmaksas[#Headers],0))</f>
        <v>12</v>
      </c>
      <c r="I12" s="104">
        <f>INDEX(Biroja_plāns[],MATCH(INDEX(Biroja_vērtību_novirzes[],ROW()-ROW(Biroja_vērtību_novirzes[[#Headers],[Jūl]]),1),INDEX(Biroja_plāns[],,1),0),MATCH(Biroja_vērtību_novirzes[[#Headers],[Jūl]],Biroja_plāns[#Headers],0))-INDEX(Biroja_faktiskās_izmaksas[],MATCH(INDEX(Biroja_vērtību_novirzes[],ROW()-ROW(Biroja_vērtību_novirzes[[#Headers],[Jūl]]),1),INDEX(Biroja_plāns[],,1),0),MATCH(Biroja_vērtību_novirzes[[#Headers],[Jūl]],Biroja_faktiskās_izmaksas[#Headers],0))</f>
        <v>100</v>
      </c>
      <c r="J12" s="104">
        <f>INDEX(Biroja_plāns[],MATCH(INDEX(Biroja_vērtību_novirzes[],ROW()-ROW(Biroja_vērtību_novirzes[[#Headers],[Aug]]),1),INDEX(Biroja_plāns[],,1),0),MATCH(Biroja_vērtību_novirzes[[#Headers],[Aug]],Biroja_plāns[#Headers],0))-INDEX(Biroja_faktiskās_izmaksas[],MATCH(INDEX(Biroja_vērtību_novirzes[],ROW()-ROW(Biroja_vērtību_novirzes[[#Headers],[Aug]]),1),INDEX(Biroja_plāns[],,1),0),MATCH(Biroja_vērtību_novirzes[[#Headers],[Aug]],Biroja_faktiskās_izmaksas[#Headers],0))</f>
        <v>100</v>
      </c>
      <c r="K12" s="104">
        <f>INDEX(Biroja_plāns[],MATCH(INDEX(Biroja_vērtību_novirzes[],ROW()-ROW(Biroja_vērtību_novirzes[[#Headers],[Sep]]),1),INDEX(Biroja_plāns[],,1),0),MATCH(Biroja_vērtību_novirzes[[#Headers],[Sep]],Biroja_plāns[#Headers],0))-INDEX(Biroja_faktiskās_izmaksas[],MATCH(INDEX(Biroja_vērtību_novirzes[],ROW()-ROW(Biroja_vērtību_novirzes[[#Headers],[Sep]]),1),INDEX(Biroja_plāns[],,1),0),MATCH(Biroja_vērtību_novirzes[[#Headers],[Sep]],Biroja_faktiskās_izmaksas[#Headers],0))</f>
        <v>100</v>
      </c>
      <c r="L12" s="104">
        <f>INDEX(Biroja_plāns[],MATCH(INDEX(Biroja_vērtību_novirzes[],ROW()-ROW(Biroja_vērtību_novirzes[[#Headers],[Okt]]),1),INDEX(Biroja_plāns[],,1),0),MATCH(Biroja_vērtību_novirzes[[#Headers],[Okt]],Biroja_plāns[#Headers],0))-INDEX(Biroja_faktiskās_izmaksas[],MATCH(INDEX(Biroja_vērtību_novirzes[],ROW()-ROW(Biroja_vērtību_novirzes[[#Headers],[Okt]]),1),INDEX(Biroja_plāns[],,1),0),MATCH(Biroja_vērtību_novirzes[[#Headers],[Okt]],Biroja_faktiskās_izmaksas[#Headers],0))</f>
        <v>100</v>
      </c>
      <c r="M12" s="104">
        <f>INDEX(Biroja_plāns[],MATCH(INDEX(Biroja_vērtību_novirzes[],ROW()-ROW(Biroja_vērtību_novirzes[[#Headers],[Nov]]),1),INDEX(Biroja_plāns[],,1),0),MATCH(Biroja_vērtību_novirzes[[#Headers],[Nov]],Biroja_plāns[#Headers],0))-INDEX(Biroja_faktiskās_izmaksas[],MATCH(INDEX(Biroja_vērtību_novirzes[],ROW()-ROW(Biroja_vērtību_novirzes[[#Headers],[Nov]]),1),INDEX(Biroja_plāns[],,1),0),MATCH(Biroja_vērtību_novirzes[[#Headers],[Nov]],Biroja_faktiskās_izmaksas[#Headers],0))</f>
        <v>400</v>
      </c>
      <c r="N12" s="104">
        <f>INDEX(Biroja_plāns[],MATCH(INDEX(Biroja_vērtību_novirzes[],ROW()-ROW(Biroja_vērtību_novirzes[[#Headers],[Dec]]),1),INDEX(Biroja_plāns[],,1),0),MATCH(Biroja_vērtību_novirzes[[#Headers],[Dec]],Biroja_plāns[#Headers],0))-INDEX(Biroja_faktiskās_izmaksas[],MATCH(INDEX(Biroja_vērtību_novirzes[],ROW()-ROW(Biroja_vērtību_novirzes[[#Headers],[Dec]]),1),INDEX(Biroja_plāns[],,1),0),MATCH(Biroja_vērtību_novirzes[[#Headers],[Dec]],Biroja_faktiskās_izmaksas[#Headers],0))</f>
        <v>400</v>
      </c>
      <c r="O12" s="105">
        <f>SUM(Biroja_vērtību_novirzes[[#This Row],[Jan]:[Dec]])</f>
        <v>1076</v>
      </c>
    </row>
    <row r="13" spans="1:16" ht="24.95" customHeight="1" thickBot="1" x14ac:dyDescent="0.35">
      <c r="A13" s="35"/>
      <c r="B13" s="71" t="s">
        <v>25</v>
      </c>
      <c r="C13" s="104">
        <f>INDEX(Biroja_plāns[],MATCH(INDEX(Biroja_vērtību_novirzes[],ROW()-ROW(Biroja_vērtību_novirzes[[#Headers],[Jan]]),1),INDEX(Biroja_plāns[],,1),0),MATCH(Biroja_vērtību_novirzes[[#Headers],[Jan]],Biroja_plāns[#Headers],0))-INDEX(Biroja_faktiskās_izmaksas[],MATCH(INDEX(Biroja_vērtību_novirzes[],ROW()-ROW(Biroja_vērtību_novirzes[[#Headers],[Jan]]),1),INDEX(Biroja_plāns[],,1),0),MATCH(Biroja_vērtību_novirzes[[#Headers],[Jan]],Biroja_faktiskās_izmaksas[#Headers],0))</f>
        <v>12</v>
      </c>
      <c r="D13" s="104">
        <f>INDEX(Biroja_plāns[],MATCH(INDEX(Biroja_vērtību_novirzes[],ROW()-ROW(Biroja_vērtību_novirzes[[#Headers],[Feb]]),1),INDEX(Biroja_plāns[],,1),0),MATCH(Biroja_vērtību_novirzes[[#Headers],[Feb]],Biroja_plāns[#Headers],0))-INDEX(Biroja_faktiskās_izmaksas[],MATCH(INDEX(Biroja_vērtību_novirzes[],ROW()-ROW(Biroja_vērtību_novirzes[[#Headers],[Feb]]),1),INDEX(Biroja_plāns[],,1),0),MATCH(Biroja_vērtību_novirzes[[#Headers],[Feb]],Biroja_faktiskās_izmaksas[#Headers],0))</f>
        <v>22</v>
      </c>
      <c r="E13" s="104">
        <f>INDEX(Biroja_plāns[],MATCH(INDEX(Biroja_vērtību_novirzes[],ROW()-ROW(Biroja_vērtību_novirzes[[#Headers],[Mar]]),1),INDEX(Biroja_plāns[],,1),0),MATCH(Biroja_vērtību_novirzes[[#Headers],[Mar]],Biroja_plāns[#Headers],0))-INDEX(Biroja_faktiskās_izmaksas[],MATCH(INDEX(Biroja_vērtību_novirzes[],ROW()-ROW(Biroja_vērtību_novirzes[[#Headers],[Mar]]),1),INDEX(Biroja_plāns[],,1),0),MATCH(Biroja_vērtību_novirzes[[#Headers],[Mar]],Biroja_faktiskās_izmaksas[#Headers],0))</f>
        <v>32</v>
      </c>
      <c r="F13" s="104">
        <f>INDEX(Biroja_plāns[],MATCH(INDEX(Biroja_vērtību_novirzes[],ROW()-ROW(Biroja_vērtību_novirzes[[#Headers],[Apr]]),1),INDEX(Biroja_plāns[],,1),0),MATCH(Biroja_vērtību_novirzes[[#Headers],[Apr]],Biroja_plāns[#Headers],0))-INDEX(Biroja_faktiskās_izmaksas[],MATCH(INDEX(Biroja_vērtību_novirzes[],ROW()-ROW(Biroja_vērtību_novirzes[[#Headers],[Apr]]),1),INDEX(Biroja_plāns[],,1),0),MATCH(Biroja_vērtību_novirzes[[#Headers],[Apr]],Biroja_faktiskās_izmaksas[#Headers],0))</f>
        <v>1</v>
      </c>
      <c r="G13" s="104">
        <f>INDEX(Biroja_plāns[],MATCH(INDEX(Biroja_vērtību_novirzes[],ROW()-ROW(Biroja_vērtību_novirzes[[#Headers],[Maijs]]),1),INDEX(Biroja_plāns[],,1),0),MATCH(Biroja_vērtību_novirzes[[#Headers],[Maijs]],Biroja_plāns[#Headers],0))-INDEX(Biroja_faktiskās_izmaksas[],MATCH(INDEX(Biroja_vērtību_novirzes[],ROW()-ROW(Biroja_vērtību_novirzes[[#Headers],[Maijs]]),1),INDEX(Biroja_plāns[],,1),0),MATCH(Biroja_vērtību_novirzes[[#Headers],[Maijs]],Biroja_faktiskās_izmaksas[#Headers],0))</f>
        <v>-6</v>
      </c>
      <c r="H13" s="104">
        <f>INDEX(Biroja_plāns[],MATCH(INDEX(Biroja_vērtību_novirzes[],ROW()-ROW(Biroja_vērtību_novirzes[[#Headers],[Jūn]]),1),INDEX(Biroja_plāns[],,1),0),MATCH(Biroja_vērtību_novirzes[[#Headers],[Jūn]],Biroja_plāns[#Headers],0))-INDEX(Biroja_faktiskās_izmaksas[],MATCH(INDEX(Biroja_vērtību_novirzes[],ROW()-ROW(Biroja_vērtību_novirzes[[#Headers],[Jūn]]),1),INDEX(Biroja_plāns[],,1),0),MATCH(Biroja_vērtību_novirzes[[#Headers],[Jūn]],Biroja_faktiskās_izmaksas[#Headers],0))</f>
        <v>10</v>
      </c>
      <c r="I13" s="104">
        <f>INDEX(Biroja_plāns[],MATCH(INDEX(Biroja_vērtību_novirzes[],ROW()-ROW(Biroja_vērtību_novirzes[[#Headers],[Jūl]]),1),INDEX(Biroja_plāns[],,1),0),MATCH(Biroja_vērtību_novirzes[[#Headers],[Jūl]],Biroja_plāns[#Headers],0))-INDEX(Biroja_faktiskās_izmaksas[],MATCH(INDEX(Biroja_vērtību_novirzes[],ROW()-ROW(Biroja_vērtību_novirzes[[#Headers],[Jūl]]),1),INDEX(Biroja_plāns[],,1),0),MATCH(Biroja_vērtību_novirzes[[#Headers],[Jūl]],Biroja_faktiskās_izmaksas[#Headers],0))</f>
        <v>300</v>
      </c>
      <c r="J13" s="104">
        <f>INDEX(Biroja_plāns[],MATCH(INDEX(Biroja_vērtību_novirzes[],ROW()-ROW(Biroja_vērtību_novirzes[[#Headers],[Aug]]),1),INDEX(Biroja_plāns[],,1),0),MATCH(Biroja_vērtību_novirzes[[#Headers],[Aug]],Biroja_plāns[#Headers],0))-INDEX(Biroja_faktiskās_izmaksas[],MATCH(INDEX(Biroja_vērtību_novirzes[],ROW()-ROW(Biroja_vērtību_novirzes[[#Headers],[Aug]]),1),INDEX(Biroja_plāns[],,1),0),MATCH(Biroja_vērtību_novirzes[[#Headers],[Aug]],Biroja_faktiskās_izmaksas[#Headers],0))</f>
        <v>300</v>
      </c>
      <c r="K13" s="104">
        <f>INDEX(Biroja_plāns[],MATCH(INDEX(Biroja_vērtību_novirzes[],ROW()-ROW(Biroja_vērtību_novirzes[[#Headers],[Sep]]),1),INDEX(Biroja_plāns[],,1),0),MATCH(Biroja_vērtību_novirzes[[#Headers],[Sep]],Biroja_plāns[#Headers],0))-INDEX(Biroja_faktiskās_izmaksas[],MATCH(INDEX(Biroja_vērtību_novirzes[],ROW()-ROW(Biroja_vērtību_novirzes[[#Headers],[Sep]]),1),INDEX(Biroja_plāns[],,1),0),MATCH(Biroja_vērtību_novirzes[[#Headers],[Sep]],Biroja_faktiskās_izmaksas[#Headers],0))</f>
        <v>300</v>
      </c>
      <c r="L13" s="104">
        <f>INDEX(Biroja_plāns[],MATCH(INDEX(Biroja_vērtību_novirzes[],ROW()-ROW(Biroja_vērtību_novirzes[[#Headers],[Okt]]),1),INDEX(Biroja_plāns[],,1),0),MATCH(Biroja_vērtību_novirzes[[#Headers],[Okt]],Biroja_plāns[#Headers],0))-INDEX(Biroja_faktiskās_izmaksas[],MATCH(INDEX(Biroja_vērtību_novirzes[],ROW()-ROW(Biroja_vērtību_novirzes[[#Headers],[Okt]]),1),INDEX(Biroja_plāns[],,1),0),MATCH(Biroja_vērtību_novirzes[[#Headers],[Okt]],Biroja_faktiskās_izmaksas[#Headers],0))</f>
        <v>300</v>
      </c>
      <c r="M13" s="104">
        <f>INDEX(Biroja_plāns[],MATCH(INDEX(Biroja_vērtību_novirzes[],ROW()-ROW(Biroja_vērtību_novirzes[[#Headers],[Nov]]),1),INDEX(Biroja_plāns[],,1),0),MATCH(Biroja_vērtību_novirzes[[#Headers],[Nov]],Biroja_plāns[#Headers],0))-INDEX(Biroja_faktiskās_izmaksas[],MATCH(INDEX(Biroja_vērtību_novirzes[],ROW()-ROW(Biroja_vērtību_novirzes[[#Headers],[Nov]]),1),INDEX(Biroja_plāns[],,1),0),MATCH(Biroja_vērtību_novirzes[[#Headers],[Nov]],Biroja_faktiskās_izmaksas[#Headers],0))</f>
        <v>300</v>
      </c>
      <c r="N13" s="104">
        <f>INDEX(Biroja_plāns[],MATCH(INDEX(Biroja_vērtību_novirzes[],ROW()-ROW(Biroja_vērtību_novirzes[[#Headers],[Dec]]),1),INDEX(Biroja_plāns[],,1),0),MATCH(Biroja_vērtību_novirzes[[#Headers],[Dec]],Biroja_plāns[#Headers],0))-INDEX(Biroja_faktiskās_izmaksas[],MATCH(INDEX(Biroja_vērtību_novirzes[],ROW()-ROW(Biroja_vērtību_novirzes[[#Headers],[Dec]]),1),INDEX(Biroja_plāns[],,1),0),MATCH(Biroja_vērtību_novirzes[[#Headers],[Dec]],Biroja_faktiskās_izmaksas[#Headers],0))</f>
        <v>300</v>
      </c>
      <c r="O13" s="105">
        <f>SUM(Biroja_vērtību_novirzes[[#This Row],[Jan]:[Dec]])</f>
        <v>1871</v>
      </c>
    </row>
    <row r="14" spans="1:16" ht="24.95" customHeight="1" thickBot="1" x14ac:dyDescent="0.35">
      <c r="A14" s="35"/>
      <c r="B14" s="71" t="s">
        <v>26</v>
      </c>
      <c r="C14" s="104">
        <f>INDEX(Biroja_plāns[],MATCH(INDEX(Biroja_vērtību_novirzes[],ROW()-ROW(Biroja_vērtību_novirzes[[#Headers],[Jan]]),1),INDEX(Biroja_plāns[],,1),0),MATCH(Biroja_vērtību_novirzes[[#Headers],[Jan]],Biroja_plāns[#Headers],0))-INDEX(Biroja_faktiskās_izmaksas[],MATCH(INDEX(Biroja_vērtību_novirzes[],ROW()-ROW(Biroja_vērtību_novirzes[[#Headers],[Jan]]),1),INDEX(Biroja_plāns[],,1),0),MATCH(Biroja_vērtību_novirzes[[#Headers],[Jan]],Biroja_faktiskās_izmaksas[#Headers],0))</f>
        <v>5</v>
      </c>
      <c r="D14" s="104">
        <f>INDEX(Biroja_plāns[],MATCH(INDEX(Biroja_vērtību_novirzes[],ROW()-ROW(Biroja_vērtību_novirzes[[#Headers],[Feb]]),1),INDEX(Biroja_plāns[],,1),0),MATCH(Biroja_vērtību_novirzes[[#Headers],[Feb]],Biroja_plāns[#Headers],0))-INDEX(Biroja_faktiskās_izmaksas[],MATCH(INDEX(Biroja_vērtību_novirzes[],ROW()-ROW(Biroja_vērtību_novirzes[[#Headers],[Feb]]),1),INDEX(Biroja_plāns[],,1),0),MATCH(Biroja_vērtību_novirzes[[#Headers],[Feb]],Biroja_faktiskās_izmaksas[#Headers],0))</f>
        <v>7</v>
      </c>
      <c r="E14" s="104">
        <f>INDEX(Biroja_plāns[],MATCH(INDEX(Biroja_vērtību_novirzes[],ROW()-ROW(Biroja_vērtību_novirzes[[#Headers],[Mar]]),1),INDEX(Biroja_plāns[],,1),0),MATCH(Biroja_vērtību_novirzes[[#Headers],[Mar]],Biroja_plāns[#Headers],0))-INDEX(Biroja_faktiskās_izmaksas[],MATCH(INDEX(Biroja_vērtību_novirzes[],ROW()-ROW(Biroja_vērtību_novirzes[[#Headers],[Mar]]),1),INDEX(Biroja_plāns[],,1),0),MATCH(Biroja_vērtību_novirzes[[#Headers],[Mar]],Biroja_faktiskās_izmaksas[#Headers],0))</f>
        <v>6</v>
      </c>
      <c r="F14" s="104">
        <f>INDEX(Biroja_plāns[],MATCH(INDEX(Biroja_vērtību_novirzes[],ROW()-ROW(Biroja_vērtību_novirzes[[#Headers],[Apr]]),1),INDEX(Biroja_plāns[],,1),0),MATCH(Biroja_vērtību_novirzes[[#Headers],[Apr]],Biroja_plāns[#Headers],0))-INDEX(Biroja_faktiskās_izmaksas[],MATCH(INDEX(Biroja_vērtību_novirzes[],ROW()-ROW(Biroja_vērtību_novirzes[[#Headers],[Apr]]),1),INDEX(Biroja_plāns[],,1),0),MATCH(Biroja_vērtību_novirzes[[#Headers],[Apr]],Biroja_faktiskās_izmaksas[#Headers],0))</f>
        <v>4</v>
      </c>
      <c r="G14" s="104">
        <f>INDEX(Biroja_plāns[],MATCH(INDEX(Biroja_vērtību_novirzes[],ROW()-ROW(Biroja_vērtību_novirzes[[#Headers],[Maijs]]),1),INDEX(Biroja_plāns[],,1),0),MATCH(Biroja_vērtību_novirzes[[#Headers],[Maijs]],Biroja_plāns[#Headers],0))-INDEX(Biroja_faktiskās_izmaksas[],MATCH(INDEX(Biroja_vērtību_novirzes[],ROW()-ROW(Biroja_vērtību_novirzes[[#Headers],[Maijs]]),1),INDEX(Biroja_plāns[],,1),0),MATCH(Biroja_vērtību_novirzes[[#Headers],[Maijs]],Biroja_faktiskās_izmaksas[#Headers],0))</f>
        <v>6</v>
      </c>
      <c r="H14" s="104">
        <f>INDEX(Biroja_plāns[],MATCH(INDEX(Biroja_vērtību_novirzes[],ROW()-ROW(Biroja_vērtību_novirzes[[#Headers],[Jūn]]),1),INDEX(Biroja_plāns[],,1),0),MATCH(Biroja_vērtību_novirzes[[#Headers],[Jūn]],Biroja_plāns[#Headers],0))-INDEX(Biroja_faktiskās_izmaksas[],MATCH(INDEX(Biroja_vērtību_novirzes[],ROW()-ROW(Biroja_vērtību_novirzes[[#Headers],[Jūn]]),1),INDEX(Biroja_plāns[],,1),0),MATCH(Biroja_vērtību_novirzes[[#Headers],[Jūn]],Biroja_faktiskās_izmaksas[#Headers],0))</f>
        <v>4</v>
      </c>
      <c r="I14" s="104">
        <f>INDEX(Biroja_plāns[],MATCH(INDEX(Biroja_vērtību_novirzes[],ROW()-ROW(Biroja_vērtību_novirzes[[#Headers],[Jūl]]),1),INDEX(Biroja_plāns[],,1),0),MATCH(Biroja_vērtību_novirzes[[#Headers],[Jūl]],Biroja_plāns[#Headers],0))-INDEX(Biroja_faktiskās_izmaksas[],MATCH(INDEX(Biroja_vērtību_novirzes[],ROW()-ROW(Biroja_vērtību_novirzes[[#Headers],[Jūl]]),1),INDEX(Biroja_plāns[],,1),0),MATCH(Biroja_vērtību_novirzes[[#Headers],[Jūl]],Biroja_faktiskās_izmaksas[#Headers],0))</f>
        <v>40</v>
      </c>
      <c r="J14" s="104">
        <f>INDEX(Biroja_plāns[],MATCH(INDEX(Biroja_vērtību_novirzes[],ROW()-ROW(Biroja_vērtību_novirzes[[#Headers],[Aug]]),1),INDEX(Biroja_plāns[],,1),0),MATCH(Biroja_vērtību_novirzes[[#Headers],[Aug]],Biroja_plāns[#Headers],0))-INDEX(Biroja_faktiskās_izmaksas[],MATCH(INDEX(Biroja_vērtību_novirzes[],ROW()-ROW(Biroja_vērtību_novirzes[[#Headers],[Aug]]),1),INDEX(Biroja_plāns[],,1),0),MATCH(Biroja_vērtību_novirzes[[#Headers],[Aug]],Biroja_faktiskās_izmaksas[#Headers],0))</f>
        <v>40</v>
      </c>
      <c r="K14" s="104">
        <f>INDEX(Biroja_plāns[],MATCH(INDEX(Biroja_vērtību_novirzes[],ROW()-ROW(Biroja_vērtību_novirzes[[#Headers],[Sep]]),1),INDEX(Biroja_plāns[],,1),0),MATCH(Biroja_vērtību_novirzes[[#Headers],[Sep]],Biroja_plāns[#Headers],0))-INDEX(Biroja_faktiskās_izmaksas[],MATCH(INDEX(Biroja_vērtību_novirzes[],ROW()-ROW(Biroja_vērtību_novirzes[[#Headers],[Sep]]),1),INDEX(Biroja_plāns[],,1),0),MATCH(Biroja_vērtību_novirzes[[#Headers],[Sep]],Biroja_faktiskās_izmaksas[#Headers],0))</f>
        <v>40</v>
      </c>
      <c r="L14" s="104">
        <f>INDEX(Biroja_plāns[],MATCH(INDEX(Biroja_vērtību_novirzes[],ROW()-ROW(Biroja_vērtību_novirzes[[#Headers],[Okt]]),1),INDEX(Biroja_plāns[],,1),0),MATCH(Biroja_vērtību_novirzes[[#Headers],[Okt]],Biroja_plāns[#Headers],0))-INDEX(Biroja_faktiskās_izmaksas[],MATCH(INDEX(Biroja_vērtību_novirzes[],ROW()-ROW(Biroja_vērtību_novirzes[[#Headers],[Okt]]),1),INDEX(Biroja_plāns[],,1),0),MATCH(Biroja_vērtību_novirzes[[#Headers],[Okt]],Biroja_faktiskās_izmaksas[#Headers],0))</f>
        <v>40</v>
      </c>
      <c r="M14" s="104">
        <f>INDEX(Biroja_plāns[],MATCH(INDEX(Biroja_vērtību_novirzes[],ROW()-ROW(Biroja_vērtību_novirzes[[#Headers],[Nov]]),1),INDEX(Biroja_plāns[],,1),0),MATCH(Biroja_vērtību_novirzes[[#Headers],[Nov]],Biroja_plāns[#Headers],0))-INDEX(Biroja_faktiskās_izmaksas[],MATCH(INDEX(Biroja_vērtību_novirzes[],ROW()-ROW(Biroja_vērtību_novirzes[[#Headers],[Nov]]),1),INDEX(Biroja_plāns[],,1),0),MATCH(Biroja_vērtību_novirzes[[#Headers],[Nov]],Biroja_faktiskās_izmaksas[#Headers],0))</f>
        <v>40</v>
      </c>
      <c r="N14" s="104">
        <f>INDEX(Biroja_plāns[],MATCH(INDEX(Biroja_vērtību_novirzes[],ROW()-ROW(Biroja_vērtību_novirzes[[#Headers],[Dec]]),1),INDEX(Biroja_plāns[],,1),0),MATCH(Biroja_vērtību_novirzes[[#Headers],[Dec]],Biroja_plāns[#Headers],0))-INDEX(Biroja_faktiskās_izmaksas[],MATCH(INDEX(Biroja_vērtību_novirzes[],ROW()-ROW(Biroja_vērtību_novirzes[[#Headers],[Dec]]),1),INDEX(Biroja_plāns[],,1),0),MATCH(Biroja_vērtību_novirzes[[#Headers],[Dec]],Biroja_faktiskās_izmaksas[#Headers],0))</f>
        <v>40</v>
      </c>
      <c r="O14" s="105">
        <f>SUM(Biroja_vērtību_novirzes[[#This Row],[Jan]:[Dec]])</f>
        <v>272</v>
      </c>
    </row>
    <row r="15" spans="1:16" ht="24.95" customHeight="1" thickBot="1" x14ac:dyDescent="0.35">
      <c r="A15" s="35"/>
      <c r="B15" s="71" t="s">
        <v>27</v>
      </c>
      <c r="C15" s="104">
        <f>INDEX(Biroja_plāns[],MATCH(INDEX(Biroja_vērtību_novirzes[],ROW()-ROW(Biroja_vērtību_novirzes[[#Headers],[Jan]]),1),INDEX(Biroja_plāns[],,1),0),MATCH(Biroja_vērtību_novirzes[[#Headers],[Jan]],Biroja_plāns[#Headers],0))-INDEX(Biroja_faktiskās_izmaksas[],MATCH(INDEX(Biroja_vērtību_novirzes[],ROW()-ROW(Biroja_vērtību_novirzes[[#Headers],[Jan]]),1),INDEX(Biroja_plāns[],,1),0),MATCH(Biroja_vērtību_novirzes[[#Headers],[Jan]],Biroja_faktiskās_izmaksas[#Headers],0))</f>
        <v>26</v>
      </c>
      <c r="D15" s="104">
        <f>INDEX(Biroja_plāns[],MATCH(INDEX(Biroja_vērtību_novirzes[],ROW()-ROW(Biroja_vērtību_novirzes[[#Headers],[Feb]]),1),INDEX(Biroja_plāns[],,1),0),MATCH(Biroja_vērtību_novirzes[[#Headers],[Feb]],Biroja_plāns[#Headers],0))-INDEX(Biroja_faktiskās_izmaksas[],MATCH(INDEX(Biroja_vērtību_novirzes[],ROW()-ROW(Biroja_vērtību_novirzes[[#Headers],[Feb]]),1),INDEX(Biroja_plāns[],,1),0),MATCH(Biroja_vērtību_novirzes[[#Headers],[Feb]],Biroja_faktiskās_izmaksas[#Headers],0))</f>
        <v>15</v>
      </c>
      <c r="E15" s="104">
        <f>INDEX(Biroja_plāns[],MATCH(INDEX(Biroja_vērtību_novirzes[],ROW()-ROW(Biroja_vērtību_novirzes[[#Headers],[Mar]]),1),INDEX(Biroja_plāns[],,1),0),MATCH(Biroja_vērtību_novirzes[[#Headers],[Mar]],Biroja_plāns[#Headers],0))-INDEX(Biroja_faktiskās_izmaksas[],MATCH(INDEX(Biroja_vērtību_novirzes[],ROW()-ROW(Biroja_vērtību_novirzes[[#Headers],[Mar]]),1),INDEX(Biroja_plāns[],,1),0),MATCH(Biroja_vērtību_novirzes[[#Headers],[Mar]],Biroja_faktiskās_izmaksas[#Headers],0))</f>
        <v>-15</v>
      </c>
      <c r="F15" s="104">
        <f>INDEX(Biroja_plāns[],MATCH(INDEX(Biroja_vērtību_novirzes[],ROW()-ROW(Biroja_vērtību_novirzes[[#Headers],[Apr]]),1),INDEX(Biroja_plāns[],,1),0),MATCH(Biroja_vērtību_novirzes[[#Headers],[Apr]],Biroja_plāns[#Headers],0))-INDEX(Biroja_faktiskās_izmaksas[],MATCH(INDEX(Biroja_vērtību_novirzes[],ROW()-ROW(Biroja_vērtību_novirzes[[#Headers],[Apr]]),1),INDEX(Biroja_plāns[],,1),0),MATCH(Biroja_vērtību_novirzes[[#Headers],[Apr]],Biroja_faktiskās_izmaksas[#Headers],0))</f>
        <v>5</v>
      </c>
      <c r="G15" s="104">
        <f>INDEX(Biroja_plāns[],MATCH(INDEX(Biroja_vērtību_novirzes[],ROW()-ROW(Biroja_vērtību_novirzes[[#Headers],[Maijs]]),1),INDEX(Biroja_plāns[],,1),0),MATCH(Biroja_vērtību_novirzes[[#Headers],[Maijs]],Biroja_plāns[#Headers],0))-INDEX(Biroja_faktiskās_izmaksas[],MATCH(INDEX(Biroja_vērtību_novirzes[],ROW()-ROW(Biroja_vērtību_novirzes[[#Headers],[Maijs]]),1),INDEX(Biroja_plāns[],,1),0),MATCH(Biroja_vērtību_novirzes[[#Headers],[Maijs]],Biroja_faktiskās_izmaksas[#Headers],0))</f>
        <v>5</v>
      </c>
      <c r="H15" s="104">
        <f>INDEX(Biroja_plāns[],MATCH(INDEX(Biroja_vērtību_novirzes[],ROW()-ROW(Biroja_vērtību_novirzes[[#Headers],[Jūn]]),1),INDEX(Biroja_plāns[],,1),0),MATCH(Biroja_vērtību_novirzes[[#Headers],[Jūn]],Biroja_plāns[#Headers],0))-INDEX(Biroja_faktiskās_izmaksas[],MATCH(INDEX(Biroja_vērtību_novirzes[],ROW()-ROW(Biroja_vērtību_novirzes[[#Headers],[Jūn]]),1),INDEX(Biroja_plāns[],,1),0),MATCH(Biroja_vērtību_novirzes[[#Headers],[Jūn]],Biroja_faktiskās_izmaksas[#Headers],0))</f>
        <v>30</v>
      </c>
      <c r="I15" s="104">
        <f>INDEX(Biroja_plāns[],MATCH(INDEX(Biroja_vērtību_novirzes[],ROW()-ROW(Biroja_vērtību_novirzes[[#Headers],[Jūl]]),1),INDEX(Biroja_plāns[],,1),0),MATCH(Biroja_vērtību_novirzes[[#Headers],[Jūl]],Biroja_plāns[#Headers],0))-INDEX(Biroja_faktiskās_izmaksas[],MATCH(INDEX(Biroja_vērtību_novirzes[],ROW()-ROW(Biroja_vērtību_novirzes[[#Headers],[Jūl]]),1),INDEX(Biroja_plāns[],,1),0),MATCH(Biroja_vērtību_novirzes[[#Headers],[Jūl]],Biroja_faktiskās_izmaksas[#Headers],0))</f>
        <v>250</v>
      </c>
      <c r="J15" s="104">
        <f>INDEX(Biroja_plāns[],MATCH(INDEX(Biroja_vērtību_novirzes[],ROW()-ROW(Biroja_vērtību_novirzes[[#Headers],[Aug]]),1),INDEX(Biroja_plāns[],,1),0),MATCH(Biroja_vērtību_novirzes[[#Headers],[Aug]],Biroja_plāns[#Headers],0))-INDEX(Biroja_faktiskās_izmaksas[],MATCH(INDEX(Biroja_vērtību_novirzes[],ROW()-ROW(Biroja_vērtību_novirzes[[#Headers],[Aug]]),1),INDEX(Biroja_plāns[],,1),0),MATCH(Biroja_vērtību_novirzes[[#Headers],[Aug]],Biroja_faktiskās_izmaksas[#Headers],0))</f>
        <v>250</v>
      </c>
      <c r="K15" s="104">
        <f>INDEX(Biroja_plāns[],MATCH(INDEX(Biroja_vērtību_novirzes[],ROW()-ROW(Biroja_vērtību_novirzes[[#Headers],[Sep]]),1),INDEX(Biroja_plāns[],,1),0),MATCH(Biroja_vērtību_novirzes[[#Headers],[Sep]],Biroja_plāns[#Headers],0))-INDEX(Biroja_faktiskās_izmaksas[],MATCH(INDEX(Biroja_vērtību_novirzes[],ROW()-ROW(Biroja_vērtību_novirzes[[#Headers],[Sep]]),1),INDEX(Biroja_plāns[],,1),0),MATCH(Biroja_vērtību_novirzes[[#Headers],[Sep]],Biroja_faktiskās_izmaksas[#Headers],0))</f>
        <v>250</v>
      </c>
      <c r="L15" s="104">
        <f>INDEX(Biroja_plāns[],MATCH(INDEX(Biroja_vērtību_novirzes[],ROW()-ROW(Biroja_vērtību_novirzes[[#Headers],[Okt]]),1),INDEX(Biroja_plāns[],,1),0),MATCH(Biroja_vērtību_novirzes[[#Headers],[Okt]],Biroja_plāns[#Headers],0))-INDEX(Biroja_faktiskās_izmaksas[],MATCH(INDEX(Biroja_vērtību_novirzes[],ROW()-ROW(Biroja_vērtību_novirzes[[#Headers],[Okt]]),1),INDEX(Biroja_plāns[],,1),0),MATCH(Biroja_vērtību_novirzes[[#Headers],[Okt]],Biroja_faktiskās_izmaksas[#Headers],0))</f>
        <v>250</v>
      </c>
      <c r="M15" s="104">
        <f>INDEX(Biroja_plāns[],MATCH(INDEX(Biroja_vērtību_novirzes[],ROW()-ROW(Biroja_vērtību_novirzes[[#Headers],[Nov]]),1),INDEX(Biroja_plāns[],,1),0),MATCH(Biroja_vērtību_novirzes[[#Headers],[Nov]],Biroja_plāns[#Headers],0))-INDEX(Biroja_faktiskās_izmaksas[],MATCH(INDEX(Biroja_vērtību_novirzes[],ROW()-ROW(Biroja_vērtību_novirzes[[#Headers],[Nov]]),1),INDEX(Biroja_plāns[],,1),0),MATCH(Biroja_vērtību_novirzes[[#Headers],[Nov]],Biroja_faktiskās_izmaksas[#Headers],0))</f>
        <v>250</v>
      </c>
      <c r="N15" s="104">
        <f>INDEX(Biroja_plāns[],MATCH(INDEX(Biroja_vērtību_novirzes[],ROW()-ROW(Biroja_vērtību_novirzes[[#Headers],[Dec]]),1),INDEX(Biroja_plāns[],,1),0),MATCH(Biroja_vērtību_novirzes[[#Headers],[Dec]],Biroja_plāns[#Headers],0))-INDEX(Biroja_faktiskās_izmaksas[],MATCH(INDEX(Biroja_vērtību_novirzes[],ROW()-ROW(Biroja_vērtību_novirzes[[#Headers],[Dec]]),1),INDEX(Biroja_plāns[],,1),0),MATCH(Biroja_vērtību_novirzes[[#Headers],[Dec]],Biroja_faktiskās_izmaksas[#Headers],0))</f>
        <v>250</v>
      </c>
      <c r="O15" s="105">
        <f>SUM(Biroja_vērtību_novirzes[[#This Row],[Jan]:[Dec]])</f>
        <v>1566</v>
      </c>
    </row>
    <row r="16" spans="1:16" ht="24.95" customHeight="1" thickBot="1" x14ac:dyDescent="0.35">
      <c r="A16" s="35"/>
      <c r="B16" s="71" t="s">
        <v>28</v>
      </c>
      <c r="C16" s="104">
        <f>INDEX(Biroja_plāns[],MATCH(INDEX(Biroja_vērtību_novirzes[],ROW()-ROW(Biroja_vērtību_novirzes[[#Headers],[Jan]]),1),INDEX(Biroja_plāns[],,1),0),MATCH(Biroja_vērtību_novirzes[[#Headers],[Jan]],Biroja_plāns[#Headers],0))-INDEX(Biroja_faktiskās_izmaksas[],MATCH(INDEX(Biroja_vērtību_novirzes[],ROW()-ROW(Biroja_vērtību_novirzes[[#Headers],[Jan]]),1),INDEX(Biroja_plāns[],,1),0),MATCH(Biroja_vērtību_novirzes[[#Headers],[Jan]],Biroja_faktiskās_izmaksas[#Headers],0))</f>
        <v>0</v>
      </c>
      <c r="D16" s="104">
        <f>INDEX(Biroja_plāns[],MATCH(INDEX(Biroja_vērtību_novirzes[],ROW()-ROW(Biroja_vērtību_novirzes[[#Headers],[Feb]]),1),INDEX(Biroja_plāns[],,1),0),MATCH(Biroja_vērtību_novirzes[[#Headers],[Feb]],Biroja_plāns[#Headers],0))-INDEX(Biroja_faktiskās_izmaksas[],MATCH(INDEX(Biroja_vērtību_novirzes[],ROW()-ROW(Biroja_vērtību_novirzes[[#Headers],[Feb]]),1),INDEX(Biroja_plāns[],,1),0),MATCH(Biroja_vērtību_novirzes[[#Headers],[Feb]],Biroja_faktiskās_izmaksas[#Headers],0))</f>
        <v>0</v>
      </c>
      <c r="E16" s="104">
        <f>INDEX(Biroja_plāns[],MATCH(INDEX(Biroja_vērtību_novirzes[],ROW()-ROW(Biroja_vērtību_novirzes[[#Headers],[Mar]]),1),INDEX(Biroja_plāns[],,1),0),MATCH(Biroja_vērtību_novirzes[[#Headers],[Mar]],Biroja_plāns[#Headers],0))-INDEX(Biroja_faktiskās_izmaksas[],MATCH(INDEX(Biroja_vērtību_novirzes[],ROW()-ROW(Biroja_vērtību_novirzes[[#Headers],[Mar]]),1),INDEX(Biroja_plāns[],,1),0),MATCH(Biroja_vērtību_novirzes[[#Headers],[Mar]],Biroja_faktiskās_izmaksas[#Headers],0))</f>
        <v>0</v>
      </c>
      <c r="F16" s="104">
        <f>INDEX(Biroja_plāns[],MATCH(INDEX(Biroja_vērtību_novirzes[],ROW()-ROW(Biroja_vērtību_novirzes[[#Headers],[Apr]]),1),INDEX(Biroja_plāns[],,1),0),MATCH(Biroja_vērtību_novirzes[[#Headers],[Apr]],Biroja_plāns[#Headers],0))-INDEX(Biroja_faktiskās_izmaksas[],MATCH(INDEX(Biroja_vērtību_novirzes[],ROW()-ROW(Biroja_vērtību_novirzes[[#Headers],[Apr]]),1),INDEX(Biroja_plāns[],,1),0),MATCH(Biroja_vērtību_novirzes[[#Headers],[Apr]],Biroja_faktiskās_izmaksas[#Headers],0))</f>
        <v>0</v>
      </c>
      <c r="G16" s="104">
        <f>INDEX(Biroja_plāns[],MATCH(INDEX(Biroja_vērtību_novirzes[],ROW()-ROW(Biroja_vērtību_novirzes[[#Headers],[Maijs]]),1),INDEX(Biroja_plāns[],,1),0),MATCH(Biroja_vērtību_novirzes[[#Headers],[Maijs]],Biroja_plāns[#Headers],0))-INDEX(Biroja_faktiskās_izmaksas[],MATCH(INDEX(Biroja_vērtību_novirzes[],ROW()-ROW(Biroja_vērtību_novirzes[[#Headers],[Maijs]]),1),INDEX(Biroja_plāns[],,1),0),MATCH(Biroja_vērtību_novirzes[[#Headers],[Maijs]],Biroja_faktiskās_izmaksas[#Headers],0))</f>
        <v>0</v>
      </c>
      <c r="H16" s="104">
        <f>INDEX(Biroja_plāns[],MATCH(INDEX(Biroja_vērtību_novirzes[],ROW()-ROW(Biroja_vērtību_novirzes[[#Headers],[Jūn]]),1),INDEX(Biroja_plāns[],,1),0),MATCH(Biroja_vērtību_novirzes[[#Headers],[Jūn]],Biroja_plāns[#Headers],0))-INDEX(Biroja_faktiskās_izmaksas[],MATCH(INDEX(Biroja_vērtību_novirzes[],ROW()-ROW(Biroja_vērtību_novirzes[[#Headers],[Jūn]]),1),INDEX(Biroja_plāns[],,1),0),MATCH(Biroja_vērtību_novirzes[[#Headers],[Jūn]],Biroja_faktiskās_izmaksas[#Headers],0))</f>
        <v>0</v>
      </c>
      <c r="I16" s="104">
        <f>INDEX(Biroja_plāns[],MATCH(INDEX(Biroja_vērtību_novirzes[],ROW()-ROW(Biroja_vērtību_novirzes[[#Headers],[Jūl]]),1),INDEX(Biroja_plāns[],,1),0),MATCH(Biroja_vērtību_novirzes[[#Headers],[Jūl]],Biroja_plāns[#Headers],0))-INDEX(Biroja_faktiskās_izmaksas[],MATCH(INDEX(Biroja_vērtību_novirzes[],ROW()-ROW(Biroja_vērtību_novirzes[[#Headers],[Jūl]]),1),INDEX(Biroja_plāns[],,1),0),MATCH(Biroja_vērtību_novirzes[[#Headers],[Jūl]],Biroja_faktiskās_izmaksas[#Headers],0))</f>
        <v>180</v>
      </c>
      <c r="J16" s="104">
        <f>INDEX(Biroja_plāns[],MATCH(INDEX(Biroja_vērtību_novirzes[],ROW()-ROW(Biroja_vērtību_novirzes[[#Headers],[Aug]]),1),INDEX(Biroja_plāns[],,1),0),MATCH(Biroja_vērtību_novirzes[[#Headers],[Aug]],Biroja_plāns[#Headers],0))-INDEX(Biroja_faktiskās_izmaksas[],MATCH(INDEX(Biroja_vērtību_novirzes[],ROW()-ROW(Biroja_vērtību_novirzes[[#Headers],[Aug]]),1),INDEX(Biroja_plāns[],,1),0),MATCH(Biroja_vērtību_novirzes[[#Headers],[Aug]],Biroja_faktiskās_izmaksas[#Headers],0))</f>
        <v>180</v>
      </c>
      <c r="K16" s="104">
        <f>INDEX(Biroja_plāns[],MATCH(INDEX(Biroja_vērtību_novirzes[],ROW()-ROW(Biroja_vērtību_novirzes[[#Headers],[Sep]]),1),INDEX(Biroja_plāns[],,1),0),MATCH(Biroja_vērtību_novirzes[[#Headers],[Sep]],Biroja_plāns[#Headers],0))-INDEX(Biroja_faktiskās_izmaksas[],MATCH(INDEX(Biroja_vērtību_novirzes[],ROW()-ROW(Biroja_vērtību_novirzes[[#Headers],[Sep]]),1),INDEX(Biroja_plāns[],,1),0),MATCH(Biroja_vērtību_novirzes[[#Headers],[Sep]],Biroja_faktiskās_izmaksas[#Headers],0))</f>
        <v>180</v>
      </c>
      <c r="L16" s="104">
        <f>INDEX(Biroja_plāns[],MATCH(INDEX(Biroja_vērtību_novirzes[],ROW()-ROW(Biroja_vērtību_novirzes[[#Headers],[Okt]]),1),INDEX(Biroja_plāns[],,1),0),MATCH(Biroja_vērtību_novirzes[[#Headers],[Okt]],Biroja_plāns[#Headers],0))-INDEX(Biroja_faktiskās_izmaksas[],MATCH(INDEX(Biroja_vērtību_novirzes[],ROW()-ROW(Biroja_vērtību_novirzes[[#Headers],[Okt]]),1),INDEX(Biroja_plāns[],,1),0),MATCH(Biroja_vērtību_novirzes[[#Headers],[Okt]],Biroja_faktiskās_izmaksas[#Headers],0))</f>
        <v>180</v>
      </c>
      <c r="M16" s="104">
        <f>INDEX(Biroja_plāns[],MATCH(INDEX(Biroja_vērtību_novirzes[],ROW()-ROW(Biroja_vērtību_novirzes[[#Headers],[Nov]]),1),INDEX(Biroja_plāns[],,1),0),MATCH(Biroja_vērtību_novirzes[[#Headers],[Nov]],Biroja_plāns[#Headers],0))-INDEX(Biroja_faktiskās_izmaksas[],MATCH(INDEX(Biroja_vērtību_novirzes[],ROW()-ROW(Biroja_vērtību_novirzes[[#Headers],[Nov]]),1),INDEX(Biroja_plāns[],,1),0),MATCH(Biroja_vērtību_novirzes[[#Headers],[Nov]],Biroja_faktiskās_izmaksas[#Headers],0))</f>
        <v>180</v>
      </c>
      <c r="N16" s="104">
        <f>INDEX(Biroja_plāns[],MATCH(INDEX(Biroja_vērtību_novirzes[],ROW()-ROW(Biroja_vērtību_novirzes[[#Headers],[Dec]]),1),INDEX(Biroja_plāns[],,1),0),MATCH(Biroja_vērtību_novirzes[[#Headers],[Dec]],Biroja_plāns[#Headers],0))-INDEX(Biroja_faktiskās_izmaksas[],MATCH(INDEX(Biroja_vērtību_novirzes[],ROW()-ROW(Biroja_vērtību_novirzes[[#Headers],[Dec]]),1),INDEX(Biroja_plāns[],,1),0),MATCH(Biroja_vērtību_novirzes[[#Headers],[Dec]],Biroja_faktiskās_izmaksas[#Headers],0))</f>
        <v>180</v>
      </c>
      <c r="O16" s="105">
        <f>SUM(Biroja_vērtību_novirzes[[#This Row],[Jan]:[Dec]])</f>
        <v>1080</v>
      </c>
    </row>
    <row r="17" spans="1:15" ht="24.95" customHeight="1" thickBot="1" x14ac:dyDescent="0.35">
      <c r="A17" s="35"/>
      <c r="B17" s="71" t="s">
        <v>29</v>
      </c>
      <c r="C17" s="104">
        <f>INDEX(Biroja_plāns[],MATCH(INDEX(Biroja_vērtību_novirzes[],ROW()-ROW(Biroja_vērtību_novirzes[[#Headers],[Jan]]),1),INDEX(Biroja_plāns[],,1),0),MATCH(Biroja_vērtību_novirzes[[#Headers],[Jan]],Biroja_plāns[#Headers],0))-INDEX(Biroja_faktiskās_izmaksas[],MATCH(INDEX(Biroja_vērtību_novirzes[],ROW()-ROW(Biroja_vērtību_novirzes[[#Headers],[Jan]]),1),INDEX(Biroja_plāns[],,1),0),MATCH(Biroja_vērtību_novirzes[[#Headers],[Jan]],Biroja_faktiskās_izmaksas[#Headers],0))</f>
        <v>-56</v>
      </c>
      <c r="D17" s="104">
        <f>INDEX(Biroja_plāns[],MATCH(INDEX(Biroja_vērtību_novirzes[],ROW()-ROW(Biroja_vērtību_novirzes[[#Headers],[Feb]]),1),INDEX(Biroja_plāns[],,1),0),MATCH(Biroja_vērtību_novirzes[[#Headers],[Feb]],Biroja_plāns[#Headers],0))-INDEX(Biroja_faktiskās_izmaksas[],MATCH(INDEX(Biroja_vērtību_novirzes[],ROW()-ROW(Biroja_vērtību_novirzes[[#Headers],[Feb]]),1),INDEX(Biroja_plāns[],,1),0),MATCH(Biroja_vērtību_novirzes[[#Headers],[Feb]],Biroja_faktiskās_izmaksas[#Headers],0))</f>
        <v>58</v>
      </c>
      <c r="E17" s="104">
        <f>INDEX(Biroja_plāns[],MATCH(INDEX(Biroja_vērtību_novirzes[],ROW()-ROW(Biroja_vērtību_novirzes[[#Headers],[Mar]]),1),INDEX(Biroja_plāns[],,1),0),MATCH(Biroja_vērtību_novirzes[[#Headers],[Mar]],Biroja_plāns[#Headers],0))-INDEX(Biroja_faktiskās_izmaksas[],MATCH(INDEX(Biroja_vērtību_novirzes[],ROW()-ROW(Biroja_vērtību_novirzes[[#Headers],[Mar]]),1),INDEX(Biroja_plāns[],,1),0),MATCH(Biroja_vērtību_novirzes[[#Headers],[Mar]],Biroja_faktiskās_izmaksas[#Headers],0))</f>
        <v>40</v>
      </c>
      <c r="F17" s="104">
        <f>INDEX(Biroja_plāns[],MATCH(INDEX(Biroja_vērtību_novirzes[],ROW()-ROW(Biroja_vērtību_novirzes[[#Headers],[Apr]]),1),INDEX(Biroja_plāns[],,1),0),MATCH(Biroja_vērtību_novirzes[[#Headers],[Apr]],Biroja_plāns[#Headers],0))-INDEX(Biroja_faktiskās_izmaksas[],MATCH(INDEX(Biroja_vērtību_novirzes[],ROW()-ROW(Biroja_vērtību_novirzes[[#Headers],[Apr]]),1),INDEX(Biroja_plāns[],,1),0),MATCH(Biroja_vērtību_novirzes[[#Headers],[Apr]],Biroja_faktiskās_izmaksas[#Headers],0))</f>
        <v>-21</v>
      </c>
      <c r="G17" s="104">
        <f>INDEX(Biroja_plāns[],MATCH(INDEX(Biroja_vērtību_novirzes[],ROW()-ROW(Biroja_vērtību_novirzes[[#Headers],[Maijs]]),1),INDEX(Biroja_plāns[],,1),0),MATCH(Biroja_vērtību_novirzes[[#Headers],[Maijs]],Biroja_plāns[#Headers],0))-INDEX(Biroja_faktiskās_izmaksas[],MATCH(INDEX(Biroja_vērtību_novirzes[],ROW()-ROW(Biroja_vērtību_novirzes[[#Headers],[Maijs]]),1),INDEX(Biroja_plāns[],,1),0),MATCH(Biroja_vērtību_novirzes[[#Headers],[Maijs]],Biroja_faktiskās_izmaksas[#Headers],0))</f>
        <v>-56</v>
      </c>
      <c r="H17" s="104">
        <f>INDEX(Biroja_plāns[],MATCH(INDEX(Biroja_vērtību_novirzes[],ROW()-ROW(Biroja_vērtību_novirzes[[#Headers],[Jūn]]),1),INDEX(Biroja_plāns[],,1),0),MATCH(Biroja_vērtību_novirzes[[#Headers],[Jūn]],Biroja_plāns[#Headers],0))-INDEX(Biroja_faktiskās_izmaksas[],MATCH(INDEX(Biroja_vērtību_novirzes[],ROW()-ROW(Biroja_vērtību_novirzes[[#Headers],[Jūn]]),1),INDEX(Biroja_plāns[],,1),0),MATCH(Biroja_vērtību_novirzes[[#Headers],[Jūn]],Biroja_faktiskās_izmaksas[#Headers],0))</f>
        <v>-40</v>
      </c>
      <c r="I17" s="104">
        <f>INDEX(Biroja_plāns[],MATCH(INDEX(Biroja_vērtību_novirzes[],ROW()-ROW(Biroja_vērtību_novirzes[[#Headers],[Jūl]]),1),INDEX(Biroja_plāns[],,1),0),MATCH(Biroja_vērtību_novirzes[[#Headers],[Jūl]],Biroja_plāns[#Headers],0))-INDEX(Biroja_faktiskās_izmaksas[],MATCH(INDEX(Biroja_vērtību_novirzes[],ROW()-ROW(Biroja_vērtību_novirzes[[#Headers],[Jūl]]),1),INDEX(Biroja_plāns[],,1),0),MATCH(Biroja_vērtību_novirzes[[#Headers],[Jūl]],Biroja_faktiskās_izmaksas[#Headers],0))</f>
        <v>200</v>
      </c>
      <c r="J17" s="104">
        <f>INDEX(Biroja_plāns[],MATCH(INDEX(Biroja_vērtību_novirzes[],ROW()-ROW(Biroja_vērtību_novirzes[[#Headers],[Aug]]),1),INDEX(Biroja_plāns[],,1),0),MATCH(Biroja_vērtību_novirzes[[#Headers],[Aug]],Biroja_plāns[#Headers],0))-INDEX(Biroja_faktiskās_izmaksas[],MATCH(INDEX(Biroja_vērtību_novirzes[],ROW()-ROW(Biroja_vērtību_novirzes[[#Headers],[Aug]]),1),INDEX(Biroja_plāns[],,1),0),MATCH(Biroja_vērtību_novirzes[[#Headers],[Aug]],Biroja_faktiskās_izmaksas[#Headers],0))</f>
        <v>200</v>
      </c>
      <c r="K17" s="104">
        <f>INDEX(Biroja_plāns[],MATCH(INDEX(Biroja_vērtību_novirzes[],ROW()-ROW(Biroja_vērtību_novirzes[[#Headers],[Sep]]),1),INDEX(Biroja_plāns[],,1),0),MATCH(Biroja_vērtību_novirzes[[#Headers],[Sep]],Biroja_plāns[#Headers],0))-INDEX(Biroja_faktiskās_izmaksas[],MATCH(INDEX(Biroja_vērtību_novirzes[],ROW()-ROW(Biroja_vērtību_novirzes[[#Headers],[Sep]]),1),INDEX(Biroja_plāns[],,1),0),MATCH(Biroja_vērtību_novirzes[[#Headers],[Sep]],Biroja_faktiskās_izmaksas[#Headers],0))</f>
        <v>200</v>
      </c>
      <c r="L17" s="104">
        <f>INDEX(Biroja_plāns[],MATCH(INDEX(Biroja_vērtību_novirzes[],ROW()-ROW(Biroja_vērtību_novirzes[[#Headers],[Okt]]),1),INDEX(Biroja_plāns[],,1),0),MATCH(Biroja_vērtību_novirzes[[#Headers],[Okt]],Biroja_plāns[#Headers],0))-INDEX(Biroja_faktiskās_izmaksas[],MATCH(INDEX(Biroja_vērtību_novirzes[],ROW()-ROW(Biroja_vērtību_novirzes[[#Headers],[Okt]]),1),INDEX(Biroja_plāns[],,1),0),MATCH(Biroja_vērtību_novirzes[[#Headers],[Okt]],Biroja_faktiskās_izmaksas[#Headers],0))</f>
        <v>200</v>
      </c>
      <c r="M17" s="104">
        <f>INDEX(Biroja_plāns[],MATCH(INDEX(Biroja_vērtību_novirzes[],ROW()-ROW(Biroja_vērtību_novirzes[[#Headers],[Nov]]),1),INDEX(Biroja_plāns[],,1),0),MATCH(Biroja_vērtību_novirzes[[#Headers],[Nov]],Biroja_plāns[#Headers],0))-INDEX(Biroja_faktiskās_izmaksas[],MATCH(INDEX(Biroja_vērtību_novirzes[],ROW()-ROW(Biroja_vērtību_novirzes[[#Headers],[Nov]]),1),INDEX(Biroja_plāns[],,1),0),MATCH(Biroja_vērtību_novirzes[[#Headers],[Nov]],Biroja_faktiskās_izmaksas[#Headers],0))</f>
        <v>200</v>
      </c>
      <c r="N17" s="104">
        <f>INDEX(Biroja_plāns[],MATCH(INDEX(Biroja_vērtību_novirzes[],ROW()-ROW(Biroja_vērtību_novirzes[[#Headers],[Dec]]),1),INDEX(Biroja_plāns[],,1),0),MATCH(Biroja_vērtību_novirzes[[#Headers],[Dec]],Biroja_plāns[#Headers],0))-INDEX(Biroja_faktiskās_izmaksas[],MATCH(INDEX(Biroja_vērtību_novirzes[],ROW()-ROW(Biroja_vērtību_novirzes[[#Headers],[Dec]]),1),INDEX(Biroja_plāns[],,1),0),MATCH(Biroja_vērtību_novirzes[[#Headers],[Dec]],Biroja_faktiskās_izmaksas[#Headers],0))</f>
        <v>200</v>
      </c>
      <c r="O17" s="105">
        <f>SUM(Biroja_vērtību_novirzes[[#This Row],[Jan]:[Dec]])</f>
        <v>1125</v>
      </c>
    </row>
    <row r="18" spans="1:15" ht="24.95" customHeight="1" thickBot="1" x14ac:dyDescent="0.35">
      <c r="A18" s="35"/>
      <c r="B18" s="71" t="s">
        <v>30</v>
      </c>
      <c r="C18" s="104">
        <f>INDEX(Biroja_plāns[],MATCH(INDEX(Biroja_vērtību_novirzes[],ROW()-ROW(Biroja_vērtību_novirzes[[#Headers],[Jan]]),1),INDEX(Biroja_plāns[],,1),0),MATCH(Biroja_vērtību_novirzes[[#Headers],[Jan]],Biroja_plāns[#Headers],0))-INDEX(Biroja_faktiskās_izmaksas[],MATCH(INDEX(Biroja_vērtību_novirzes[],ROW()-ROW(Biroja_vērtību_novirzes[[#Headers],[Jan]]),1),INDEX(Biroja_plāns[],,1),0),MATCH(Biroja_vērtību_novirzes[[#Headers],[Jan]],Biroja_faktiskās_izmaksas[#Headers],0))</f>
        <v>0</v>
      </c>
      <c r="D18" s="104">
        <f>INDEX(Biroja_plāns[],MATCH(INDEX(Biroja_vērtību_novirzes[],ROW()-ROW(Biroja_vērtību_novirzes[[#Headers],[Feb]]),1),INDEX(Biroja_plāns[],,1),0),MATCH(Biroja_vērtību_novirzes[[#Headers],[Feb]],Biroja_plāns[#Headers],0))-INDEX(Biroja_faktiskās_izmaksas[],MATCH(INDEX(Biroja_vērtību_novirzes[],ROW()-ROW(Biroja_vērtību_novirzes[[#Headers],[Feb]]),1),INDEX(Biroja_plāns[],,1),0),MATCH(Biroja_vērtību_novirzes[[#Headers],[Feb]],Biroja_faktiskās_izmaksas[#Headers],0))</f>
        <v>0</v>
      </c>
      <c r="E18" s="104">
        <f>INDEX(Biroja_plāns[],MATCH(INDEX(Biroja_vērtību_novirzes[],ROW()-ROW(Biroja_vērtību_novirzes[[#Headers],[Mar]]),1),INDEX(Biroja_plāns[],,1),0),MATCH(Biroja_vērtību_novirzes[[#Headers],[Mar]],Biroja_plāns[#Headers],0))-INDEX(Biroja_faktiskās_izmaksas[],MATCH(INDEX(Biroja_vērtību_novirzes[],ROW()-ROW(Biroja_vērtību_novirzes[[#Headers],[Mar]]),1),INDEX(Biroja_plāns[],,1),0),MATCH(Biroja_vērtību_novirzes[[#Headers],[Mar]],Biroja_faktiskās_izmaksas[#Headers],0))</f>
        <v>0</v>
      </c>
      <c r="F18" s="104">
        <f>INDEX(Biroja_plāns[],MATCH(INDEX(Biroja_vērtību_novirzes[],ROW()-ROW(Biroja_vērtību_novirzes[[#Headers],[Apr]]),1),INDEX(Biroja_plāns[],,1),0),MATCH(Biroja_vērtību_novirzes[[#Headers],[Apr]],Biroja_plāns[#Headers],0))-INDEX(Biroja_faktiskās_izmaksas[],MATCH(INDEX(Biroja_vērtību_novirzes[],ROW()-ROW(Biroja_vērtību_novirzes[[#Headers],[Apr]]),1),INDEX(Biroja_plāns[],,1),0),MATCH(Biroja_vērtību_novirzes[[#Headers],[Apr]],Biroja_faktiskās_izmaksas[#Headers],0))</f>
        <v>0</v>
      </c>
      <c r="G18" s="104">
        <f>INDEX(Biroja_plāns[],MATCH(INDEX(Biroja_vērtību_novirzes[],ROW()-ROW(Biroja_vērtību_novirzes[[#Headers],[Maijs]]),1),INDEX(Biroja_plāns[],,1),0),MATCH(Biroja_vērtību_novirzes[[#Headers],[Maijs]],Biroja_plāns[#Headers],0))-INDEX(Biroja_faktiskās_izmaksas[],MATCH(INDEX(Biroja_vērtību_novirzes[],ROW()-ROW(Biroja_vērtību_novirzes[[#Headers],[Maijs]]),1),INDEX(Biroja_plāns[],,1),0),MATCH(Biroja_vērtību_novirzes[[#Headers],[Maijs]],Biroja_faktiskās_izmaksas[#Headers],0))</f>
        <v>0</v>
      </c>
      <c r="H18" s="104">
        <f>INDEX(Biroja_plāns[],MATCH(INDEX(Biroja_vērtību_novirzes[],ROW()-ROW(Biroja_vērtību_novirzes[[#Headers],[Jūn]]),1),INDEX(Biroja_plāns[],,1),0),MATCH(Biroja_vērtību_novirzes[[#Headers],[Jūn]],Biroja_plāns[#Headers],0))-INDEX(Biroja_faktiskās_izmaksas[],MATCH(INDEX(Biroja_vērtību_novirzes[],ROW()-ROW(Biroja_vērtību_novirzes[[#Headers],[Jūn]]),1),INDEX(Biroja_plāns[],,1),0),MATCH(Biroja_vērtību_novirzes[[#Headers],[Jūn]],Biroja_faktiskās_izmaksas[#Headers],0))</f>
        <v>0</v>
      </c>
      <c r="I18" s="104">
        <f>INDEX(Biroja_plāns[],MATCH(INDEX(Biroja_vērtību_novirzes[],ROW()-ROW(Biroja_vērtību_novirzes[[#Headers],[Jūl]]),1),INDEX(Biroja_plāns[],,1),0),MATCH(Biroja_vērtību_novirzes[[#Headers],[Jūl]],Biroja_plāns[#Headers],0))-INDEX(Biroja_faktiskās_izmaksas[],MATCH(INDEX(Biroja_vērtību_novirzes[],ROW()-ROW(Biroja_vērtību_novirzes[[#Headers],[Jūl]]),1),INDEX(Biroja_plāns[],,1),0),MATCH(Biroja_vērtību_novirzes[[#Headers],[Jūl]],Biroja_faktiskās_izmaksas[#Headers],0))</f>
        <v>600</v>
      </c>
      <c r="J18" s="104">
        <f>INDEX(Biroja_plāns[],MATCH(INDEX(Biroja_vērtību_novirzes[],ROW()-ROW(Biroja_vērtību_novirzes[[#Headers],[Aug]]),1),INDEX(Biroja_plāns[],,1),0),MATCH(Biroja_vērtību_novirzes[[#Headers],[Aug]],Biroja_plāns[#Headers],0))-INDEX(Biroja_faktiskās_izmaksas[],MATCH(INDEX(Biroja_vērtību_novirzes[],ROW()-ROW(Biroja_vērtību_novirzes[[#Headers],[Aug]]),1),INDEX(Biroja_plāns[],,1),0),MATCH(Biroja_vērtību_novirzes[[#Headers],[Aug]],Biroja_faktiskās_izmaksas[#Headers],0))</f>
        <v>600</v>
      </c>
      <c r="K18" s="104">
        <f>INDEX(Biroja_plāns[],MATCH(INDEX(Biroja_vērtību_novirzes[],ROW()-ROW(Biroja_vērtību_novirzes[[#Headers],[Sep]]),1),INDEX(Biroja_plāns[],,1),0),MATCH(Biroja_vērtību_novirzes[[#Headers],[Sep]],Biroja_plāns[#Headers],0))-INDEX(Biroja_faktiskās_izmaksas[],MATCH(INDEX(Biroja_vērtību_novirzes[],ROW()-ROW(Biroja_vērtību_novirzes[[#Headers],[Sep]]),1),INDEX(Biroja_plāns[],,1),0),MATCH(Biroja_vērtību_novirzes[[#Headers],[Sep]],Biroja_faktiskās_izmaksas[#Headers],0))</f>
        <v>600</v>
      </c>
      <c r="L18" s="104">
        <f>INDEX(Biroja_plāns[],MATCH(INDEX(Biroja_vērtību_novirzes[],ROW()-ROW(Biroja_vērtību_novirzes[[#Headers],[Okt]]),1),INDEX(Biroja_plāns[],,1),0),MATCH(Biroja_vērtību_novirzes[[#Headers],[Okt]],Biroja_plāns[#Headers],0))-INDEX(Biroja_faktiskās_izmaksas[],MATCH(INDEX(Biroja_vērtību_novirzes[],ROW()-ROW(Biroja_vērtību_novirzes[[#Headers],[Okt]]),1),INDEX(Biroja_plāns[],,1),0),MATCH(Biroja_vērtību_novirzes[[#Headers],[Okt]],Biroja_faktiskās_izmaksas[#Headers],0))</f>
        <v>600</v>
      </c>
      <c r="M18" s="104">
        <f>INDEX(Biroja_plāns[],MATCH(INDEX(Biroja_vērtību_novirzes[],ROW()-ROW(Biroja_vērtību_novirzes[[#Headers],[Nov]]),1),INDEX(Biroja_plāns[],,1),0),MATCH(Biroja_vērtību_novirzes[[#Headers],[Nov]],Biroja_plāns[#Headers],0))-INDEX(Biroja_faktiskās_izmaksas[],MATCH(INDEX(Biroja_vērtību_novirzes[],ROW()-ROW(Biroja_vērtību_novirzes[[#Headers],[Nov]]),1),INDEX(Biroja_plāns[],,1),0),MATCH(Biroja_vērtību_novirzes[[#Headers],[Nov]],Biroja_faktiskās_izmaksas[#Headers],0))</f>
        <v>600</v>
      </c>
      <c r="N18" s="104">
        <f>INDEX(Biroja_plāns[],MATCH(INDEX(Biroja_vērtību_novirzes[],ROW()-ROW(Biroja_vērtību_novirzes[[#Headers],[Dec]]),1),INDEX(Biroja_plāns[],,1),0),MATCH(Biroja_vērtību_novirzes[[#Headers],[Dec]],Biroja_plāns[#Headers],0))-INDEX(Biroja_faktiskās_izmaksas[],MATCH(INDEX(Biroja_vērtību_novirzes[],ROW()-ROW(Biroja_vērtību_novirzes[[#Headers],[Dec]]),1),INDEX(Biroja_plāns[],,1),0),MATCH(Biroja_vērtību_novirzes[[#Headers],[Dec]],Biroja_faktiskās_izmaksas[#Headers],0))</f>
        <v>600</v>
      </c>
      <c r="O18" s="105">
        <f>SUM(Biroja_vērtību_novirzes[[#This Row],[Jan]:[Dec]])</f>
        <v>3600</v>
      </c>
    </row>
    <row r="19" spans="1:15" ht="24.95" customHeight="1" x14ac:dyDescent="0.3">
      <c r="A19" s="35"/>
      <c r="B19" s="83" t="s">
        <v>21</v>
      </c>
      <c r="C19" s="120">
        <f>SUBTOTAL(109,Biroja_vērtību_novirzes[Jan])</f>
        <v>-17</v>
      </c>
      <c r="D19" s="112">
        <f>SUBTOTAL(109,Biroja_vērtību_novirzes[Feb])</f>
        <v>72</v>
      </c>
      <c r="E19" s="112">
        <f>SUBTOTAL(109,Biroja_vērtību_novirzes[Mar])</f>
        <v>78</v>
      </c>
      <c r="F19" s="112">
        <f>SUBTOTAL(109,Biroja_vērtību_novirzes[Apr])</f>
        <v>-141</v>
      </c>
      <c r="G19" s="112">
        <f>SUBTOTAL(109,Biroja_vērtību_novirzes[Maijs])</f>
        <v>-38</v>
      </c>
      <c r="H19" s="112">
        <f>SUBTOTAL(109,Biroja_vērtību_novirzes[Jūn])</f>
        <v>16</v>
      </c>
      <c r="I19" s="112">
        <f>SUBTOTAL(109,Biroja_vērtību_novirzes[Jūl])</f>
        <v>11470</v>
      </c>
      <c r="J19" s="112">
        <f>SUBTOTAL(109,Biroja_vērtību_novirzes[Aug])</f>
        <v>11470</v>
      </c>
      <c r="K19" s="112">
        <f>SUBTOTAL(109,Biroja_vērtību_novirzes[Sep])</f>
        <v>11470</v>
      </c>
      <c r="L19" s="112">
        <f>SUBTOTAL(109,Biroja_vērtību_novirzes[Okt])</f>
        <v>11470</v>
      </c>
      <c r="M19" s="112">
        <f>SUBTOTAL(109,Biroja_vērtību_novirzes[Nov])</f>
        <v>11770</v>
      </c>
      <c r="N19" s="112">
        <f>SUBTOTAL(109,Biroja_vērtību_novirzes[Dec])</f>
        <v>11770</v>
      </c>
      <c r="O19" s="113">
        <f>SUBTOTAL(109,Biroja_vērtību_novirzes[GADS])</f>
        <v>69390</v>
      </c>
    </row>
    <row r="20" spans="1:15" ht="21" customHeight="1" x14ac:dyDescent="0.3">
      <c r="A20" s="145"/>
      <c r="B20" s="135"/>
      <c r="C20" s="135"/>
      <c r="D20" s="146"/>
      <c r="E20" s="146"/>
      <c r="F20" s="148"/>
      <c r="G20" s="148"/>
      <c r="H20" s="148"/>
      <c r="I20" s="148"/>
      <c r="J20" s="148"/>
      <c r="K20" s="148"/>
      <c r="L20" s="148"/>
      <c r="M20" s="148"/>
      <c r="N20" s="148"/>
      <c r="O20" s="147"/>
    </row>
    <row r="21" spans="1:15" ht="24.95" customHeight="1" thickBot="1" x14ac:dyDescent="0.35">
      <c r="A21" s="35" t="s">
        <v>102</v>
      </c>
      <c r="B21" s="61" t="s">
        <v>31</v>
      </c>
      <c r="C21" s="69" t="s">
        <v>45</v>
      </c>
      <c r="D21" s="69" t="s">
        <v>47</v>
      </c>
      <c r="E21" s="69" t="s">
        <v>49</v>
      </c>
      <c r="F21" s="69" t="s">
        <v>51</v>
      </c>
      <c r="G21" s="69" t="s">
        <v>53</v>
      </c>
      <c r="H21" s="69" t="s">
        <v>55</v>
      </c>
      <c r="I21" s="69" t="s">
        <v>57</v>
      </c>
      <c r="J21" s="69" t="s">
        <v>59</v>
      </c>
      <c r="K21" s="69" t="s">
        <v>63</v>
      </c>
      <c r="L21" s="69" t="s">
        <v>65</v>
      </c>
      <c r="M21" s="69" t="s">
        <v>67</v>
      </c>
      <c r="N21" s="69" t="s">
        <v>70</v>
      </c>
      <c r="O21" s="70" t="s">
        <v>71</v>
      </c>
    </row>
    <row r="22" spans="1:15" ht="24.95" customHeight="1" thickBot="1" x14ac:dyDescent="0.35">
      <c r="A22" s="35"/>
      <c r="B22" s="71" t="s">
        <v>32</v>
      </c>
      <c r="C22" s="104">
        <f>INDEX(Mārketinga_plāns[],MATCH(INDEX(Mārketinga_vērtību_novirzes[],ROW()-ROW(Mārketinga_vērtību_novirzes[[#Headers],[Jan]]),1),INDEX(Mārketinga_plāns[],,1),0),MATCH(Mārketinga_vērtību_novirzes[[#Headers],[Jan]],Mārketinga_plāns[#Headers],0))-INDEX(Mārketinga_faktiskās_izmaksas[],MATCH(INDEX(Mārketinga_vērtību_novirzes[],ROW()-ROW(Mārketinga_vērtību_novirzes[[#Headers],[Jan]]),1),INDEX(Mārketinga_plāns[],,1),0),MATCH(Mārketinga_vērtību_novirzes[[#Headers],[Jan]],Mārketinga_faktiskās_izmaksas[#Headers],0))</f>
        <v>0</v>
      </c>
      <c r="D22" s="104">
        <f>INDEX(Mārketinga_plāns[],MATCH(INDEX(Mārketinga_vērtību_novirzes[],ROW()-ROW(Mārketinga_vērtību_novirzes[[#Headers],[Feb]]),1),INDEX(Mārketinga_plāns[],,1),0),MATCH(Mārketinga_vērtību_novirzes[[#Headers],[Feb]],Mārketinga_plāns[#Headers],0))-INDEX(Mārketinga_faktiskās_izmaksas[],MATCH(INDEX(Mārketinga_vērtību_novirzes[],ROW()-ROW(Mārketinga_vērtību_novirzes[[#Headers],[Feb]]),1),INDEX(Mārketinga_plāns[],,1),0),MATCH(Mārketinga_vērtību_novirzes[[#Headers],[Feb]],Mārketinga_faktiskās_izmaksas[#Headers],0))</f>
        <v>0</v>
      </c>
      <c r="E22" s="104">
        <f>INDEX(Mārketinga_plāns[],MATCH(INDEX(Mārketinga_vērtību_novirzes[],ROW()-ROW(Mārketinga_vērtību_novirzes[[#Headers],[Mar]]),1),INDEX(Mārketinga_plāns[],,1),0),MATCH(Mārketinga_vērtību_novirzes[[#Headers],[Mar]],Mārketinga_plāns[#Headers],0))-INDEX(Mārketinga_faktiskās_izmaksas[],MATCH(INDEX(Mārketinga_vērtību_novirzes[],ROW()-ROW(Mārketinga_vērtību_novirzes[[#Headers],[Mar]]),1),INDEX(Mārketinga_plāns[],,1),0),MATCH(Mārketinga_vērtību_novirzes[[#Headers],[Mar]],Mārketinga_faktiskās_izmaksas[#Headers],0))</f>
        <v>0</v>
      </c>
      <c r="F22" s="104">
        <f>INDEX(Mārketinga_plāns[],MATCH(INDEX(Mārketinga_vērtību_novirzes[],ROW()-ROW(Mārketinga_vērtību_novirzes[[#Headers],[Apr]]),1),INDEX(Mārketinga_plāns[],,1),0),MATCH(Mārketinga_vērtību_novirzes[[#Headers],[Apr]],Mārketinga_plāns[#Headers],0))-INDEX(Mārketinga_faktiskās_izmaksas[],MATCH(INDEX(Mārketinga_vērtību_novirzes[],ROW()-ROW(Mārketinga_vērtību_novirzes[[#Headers],[Apr]]),1),INDEX(Mārketinga_plāns[],,1),0),MATCH(Mārketinga_vērtību_novirzes[[#Headers],[Apr]],Mārketinga_faktiskās_izmaksas[#Headers],0))</f>
        <v>0</v>
      </c>
      <c r="G22" s="104">
        <f>INDEX(Mārketinga_plāns[],MATCH(INDEX(Mārketinga_vērtību_novirzes[],ROW()-ROW(Mārketinga_vērtību_novirzes[[#Headers],[Maijs]]),1),INDEX(Mārketinga_plāns[],,1),0),MATCH(Mārketinga_vērtību_novirzes[[#Headers],[Maijs]],Mārketinga_plāns[#Headers],0))-INDEX(Mārketinga_faktiskās_izmaksas[],MATCH(INDEX(Mārketinga_vērtību_novirzes[],ROW()-ROW(Mārketinga_vērtību_novirzes[[#Headers],[Maijs]]),1),INDEX(Mārketinga_plāns[],,1),0),MATCH(Mārketinga_vērtību_novirzes[[#Headers],[Maijs]],Mārketinga_faktiskās_izmaksas[#Headers],0))</f>
        <v>0</v>
      </c>
      <c r="H22" s="104">
        <f>INDEX(Mārketinga_plāns[],MATCH(INDEX(Mārketinga_vērtību_novirzes[],ROW()-ROW(Mārketinga_vērtību_novirzes[[#Headers],[Jūn]]),1),INDEX(Mārketinga_plāns[],,1),0),MATCH(Mārketinga_vērtību_novirzes[[#Headers],[Jūn]],Mārketinga_plāns[#Headers],0))-INDEX(Mārketinga_faktiskās_izmaksas[],MATCH(INDEX(Mārketinga_vērtību_novirzes[],ROW()-ROW(Mārketinga_vērtību_novirzes[[#Headers],[Jūn]]),1),INDEX(Mārketinga_plāns[],,1),0),MATCH(Mārketinga_vērtību_novirzes[[#Headers],[Jūn]],Mārketinga_faktiskās_izmaksas[#Headers],0))</f>
        <v>0</v>
      </c>
      <c r="I22" s="104">
        <f>INDEX(Mārketinga_plāns[],MATCH(INDEX(Mārketinga_vērtību_novirzes[],ROW()-ROW(Mārketinga_vērtību_novirzes[[#Headers],[Jūl]]),1),INDEX(Mārketinga_plāns[],,1),0),MATCH(Mārketinga_vērtību_novirzes[[#Headers],[Jūl]],Mārketinga_plāns[#Headers],0))-INDEX(Mārketinga_faktiskās_izmaksas[],MATCH(INDEX(Mārketinga_vērtību_novirzes[],ROW()-ROW(Mārketinga_vērtību_novirzes[[#Headers],[Jūl]]),1),INDEX(Mārketinga_plāns[],,1),0),MATCH(Mārketinga_vērtību_novirzes[[#Headers],[Jūl]],Mārketinga_faktiskās_izmaksas[#Headers],0))</f>
        <v>500</v>
      </c>
      <c r="J22" s="104">
        <f>INDEX(Mārketinga_plāns[],MATCH(INDEX(Mārketinga_vērtību_novirzes[],ROW()-ROW(Mārketinga_vērtību_novirzes[[#Headers],[Aug]]),1),INDEX(Mārketinga_plāns[],,1),0),MATCH(Mārketinga_vērtību_novirzes[[#Headers],[Aug]],Mārketinga_plāns[#Headers],0))-INDEX(Mārketinga_faktiskās_izmaksas[],MATCH(INDEX(Mārketinga_vērtību_novirzes[],ROW()-ROW(Mārketinga_vērtību_novirzes[[#Headers],[Aug]]),1),INDEX(Mārketinga_plāns[],,1),0),MATCH(Mārketinga_vērtību_novirzes[[#Headers],[Aug]],Mārketinga_faktiskās_izmaksas[#Headers],0))</f>
        <v>500</v>
      </c>
      <c r="K22" s="104">
        <f>INDEX(Mārketinga_plāns[],MATCH(INDEX(Mārketinga_vērtību_novirzes[],ROW()-ROW(Mārketinga_vērtību_novirzes[[#Headers],[Sep]]),1),INDEX(Mārketinga_plāns[],,1),0),MATCH(Mārketinga_vērtību_novirzes[[#Headers],[Sep]],Mārketinga_plāns[#Headers],0))-INDEX(Mārketinga_faktiskās_izmaksas[],MATCH(INDEX(Mārketinga_vērtību_novirzes[],ROW()-ROW(Mārketinga_vērtību_novirzes[[#Headers],[Sep]]),1),INDEX(Mārketinga_plāns[],,1),0),MATCH(Mārketinga_vērtību_novirzes[[#Headers],[Sep]],Mārketinga_faktiskās_izmaksas[#Headers],0))</f>
        <v>500</v>
      </c>
      <c r="L22" s="104">
        <f>INDEX(Mārketinga_plāns[],MATCH(INDEX(Mārketinga_vērtību_novirzes[],ROW()-ROW(Mārketinga_vērtību_novirzes[[#Headers],[Okt]]),1),INDEX(Mārketinga_plāns[],,1),0),MATCH(Mārketinga_vērtību_novirzes[[#Headers],[Okt]],Mārketinga_plāns[#Headers],0))-INDEX(Mārketinga_faktiskās_izmaksas[],MATCH(INDEX(Mārketinga_vērtību_novirzes[],ROW()-ROW(Mārketinga_vērtību_novirzes[[#Headers],[Okt]]),1),INDEX(Mārketinga_plāns[],,1),0),MATCH(Mārketinga_vērtību_novirzes[[#Headers],[Okt]],Mārketinga_faktiskās_izmaksas[#Headers],0))</f>
        <v>500</v>
      </c>
      <c r="M22" s="104">
        <f>INDEX(Mārketinga_plāns[],MATCH(INDEX(Mārketinga_vērtību_novirzes[],ROW()-ROW(Mārketinga_vērtību_novirzes[[#Headers],[Nov]]),1),INDEX(Mārketinga_plāns[],,1),0),MATCH(Mārketinga_vērtību_novirzes[[#Headers],[Nov]],Mārketinga_plāns[#Headers],0))-INDEX(Mārketinga_faktiskās_izmaksas[],MATCH(INDEX(Mārketinga_vērtību_novirzes[],ROW()-ROW(Mārketinga_vērtību_novirzes[[#Headers],[Nov]]),1),INDEX(Mārketinga_plāns[],,1),0),MATCH(Mārketinga_vērtību_novirzes[[#Headers],[Nov]],Mārketinga_faktiskās_izmaksas[#Headers],0))</f>
        <v>500</v>
      </c>
      <c r="N22" s="104">
        <f>INDEX(Mārketinga_plāns[],MATCH(INDEX(Mārketinga_vērtību_novirzes[],ROW()-ROW(Mārketinga_vērtību_novirzes[[#Headers],[Dec]]),1),INDEX(Mārketinga_plāns[],,1),0),MATCH(Mārketinga_vērtību_novirzes[[#Headers],[Dec]],Mārketinga_plāns[#Headers],0))-INDEX(Mārketinga_faktiskās_izmaksas[],MATCH(INDEX(Mārketinga_vērtību_novirzes[],ROW()-ROW(Mārketinga_vērtību_novirzes[[#Headers],[Dec]]),1),INDEX(Mārketinga_plāns[],,1),0),MATCH(Mārketinga_vērtību_novirzes[[#Headers],[Dec]],Mārketinga_faktiskās_izmaksas[#Headers],0))</f>
        <v>500</v>
      </c>
      <c r="O22" s="105">
        <f>SUM(Mārketinga_vērtību_novirzes[[#This Row],[Jan]:[Dec]])</f>
        <v>3000</v>
      </c>
    </row>
    <row r="23" spans="1:15" ht="24.95" customHeight="1" thickBot="1" x14ac:dyDescent="0.35">
      <c r="A23" s="35"/>
      <c r="B23" s="71" t="s">
        <v>33</v>
      </c>
      <c r="C23" s="104">
        <f>INDEX(Mārketinga_plāns[],MATCH(INDEX(Mārketinga_vērtību_novirzes[],ROW()-ROW(Mārketinga_vērtību_novirzes[[#Headers],[Jan]]),1),INDEX(Mārketinga_plāns[],,1),0),MATCH(Mārketinga_vērtību_novirzes[[#Headers],[Jan]],Mārketinga_plāns[#Headers],0))-INDEX(Mārketinga_faktiskās_izmaksas[],MATCH(INDEX(Mārketinga_vērtību_novirzes[],ROW()-ROW(Mārketinga_vērtību_novirzes[[#Headers],[Jan]]),1),INDEX(Mārketinga_plāns[],,1),0),MATCH(Mārketinga_vērtību_novirzes[[#Headers],[Jan]],Mārketinga_faktiskās_izmaksas[#Headers],0))</f>
        <v>0</v>
      </c>
      <c r="D23" s="104">
        <f>INDEX(Mārketinga_plāns[],MATCH(INDEX(Mārketinga_vērtību_novirzes[],ROW()-ROW(Mārketinga_vērtību_novirzes[[#Headers],[Feb]]),1),INDEX(Mārketinga_plāns[],,1),0),MATCH(Mārketinga_vērtību_novirzes[[#Headers],[Feb]],Mārketinga_plāns[#Headers],0))-INDEX(Mārketinga_faktiskās_izmaksas[],MATCH(INDEX(Mārketinga_vērtību_novirzes[],ROW()-ROW(Mārketinga_vērtību_novirzes[[#Headers],[Feb]]),1),INDEX(Mārketinga_plāns[],,1),0),MATCH(Mārketinga_vērtību_novirzes[[#Headers],[Feb]],Mārketinga_faktiskās_izmaksas[#Headers],0))</f>
        <v>0</v>
      </c>
      <c r="E23" s="104">
        <f>INDEX(Mārketinga_plāns[],MATCH(INDEX(Mārketinga_vērtību_novirzes[],ROW()-ROW(Mārketinga_vērtību_novirzes[[#Headers],[Mar]]),1),INDEX(Mārketinga_plāns[],,1),0),MATCH(Mārketinga_vērtību_novirzes[[#Headers],[Mar]],Mārketinga_plāns[#Headers],0))-INDEX(Mārketinga_faktiskās_izmaksas[],MATCH(INDEX(Mārketinga_vērtību_novirzes[],ROW()-ROW(Mārketinga_vērtību_novirzes[[#Headers],[Mar]]),1),INDEX(Mārketinga_plāns[],,1),0),MATCH(Mārketinga_vērtību_novirzes[[#Headers],[Mar]],Mārketinga_faktiskās_izmaksas[#Headers],0))</f>
        <v>0</v>
      </c>
      <c r="F23" s="104">
        <f>INDEX(Mārketinga_plāns[],MATCH(INDEX(Mārketinga_vērtību_novirzes[],ROW()-ROW(Mārketinga_vērtību_novirzes[[#Headers],[Apr]]),1),INDEX(Mārketinga_plāns[],,1),0),MATCH(Mārketinga_vērtību_novirzes[[#Headers],[Apr]],Mārketinga_plāns[#Headers],0))-INDEX(Mārketinga_faktiskās_izmaksas[],MATCH(INDEX(Mārketinga_vērtību_novirzes[],ROW()-ROW(Mārketinga_vērtību_novirzes[[#Headers],[Apr]]),1),INDEX(Mārketinga_plāns[],,1),0),MATCH(Mārketinga_vērtību_novirzes[[#Headers],[Apr]],Mārketinga_faktiskās_izmaksas[#Headers],0))</f>
        <v>0</v>
      </c>
      <c r="G23" s="104">
        <f>INDEX(Mārketinga_plāns[],MATCH(INDEX(Mārketinga_vērtību_novirzes[],ROW()-ROW(Mārketinga_vērtību_novirzes[[#Headers],[Maijs]]),1),INDEX(Mārketinga_plāns[],,1),0),MATCH(Mārketinga_vērtību_novirzes[[#Headers],[Maijs]],Mārketinga_plāns[#Headers],0))-INDEX(Mārketinga_faktiskās_izmaksas[],MATCH(INDEX(Mārketinga_vērtību_novirzes[],ROW()-ROW(Mārketinga_vērtību_novirzes[[#Headers],[Maijs]]),1),INDEX(Mārketinga_plāns[],,1),0),MATCH(Mārketinga_vērtību_novirzes[[#Headers],[Maijs]],Mārketinga_faktiskās_izmaksas[#Headers],0))</f>
        <v>0</v>
      </c>
      <c r="H23" s="104">
        <f>INDEX(Mārketinga_plāns[],MATCH(INDEX(Mārketinga_vērtību_novirzes[],ROW()-ROW(Mārketinga_vērtību_novirzes[[#Headers],[Jūn]]),1),INDEX(Mārketinga_plāns[],,1),0),MATCH(Mārketinga_vērtību_novirzes[[#Headers],[Jūn]],Mārketinga_plāns[#Headers],0))-INDEX(Mārketinga_faktiskās_izmaksas[],MATCH(INDEX(Mārketinga_vērtību_novirzes[],ROW()-ROW(Mārketinga_vērtību_novirzes[[#Headers],[Jūn]]),1),INDEX(Mārketinga_plāns[],,1),0),MATCH(Mārketinga_vērtību_novirzes[[#Headers],[Jūn]],Mārketinga_faktiskās_izmaksas[#Headers],0))</f>
        <v>-500</v>
      </c>
      <c r="I23" s="104">
        <f>INDEX(Mārketinga_plāns[],MATCH(INDEX(Mārketinga_vērtību_novirzes[],ROW()-ROW(Mārketinga_vērtību_novirzes[[#Headers],[Jūl]]),1),INDEX(Mārketinga_plāns[],,1),0),MATCH(Mārketinga_vērtību_novirzes[[#Headers],[Jūl]],Mārketinga_plāns[#Headers],0))-INDEX(Mārketinga_faktiskās_izmaksas[],MATCH(INDEX(Mārketinga_vērtību_novirzes[],ROW()-ROW(Mārketinga_vērtību_novirzes[[#Headers],[Jūl]]),1),INDEX(Mārketinga_plāns[],,1),0),MATCH(Mārketinga_vērtību_novirzes[[#Headers],[Jūl]],Mārketinga_faktiskās_izmaksas[#Headers],0))</f>
        <v>200</v>
      </c>
      <c r="J23" s="104">
        <f>INDEX(Mārketinga_plāns[],MATCH(INDEX(Mārketinga_vērtību_novirzes[],ROW()-ROW(Mārketinga_vērtību_novirzes[[#Headers],[Aug]]),1),INDEX(Mārketinga_plāns[],,1),0),MATCH(Mārketinga_vērtību_novirzes[[#Headers],[Aug]],Mārketinga_plāns[#Headers],0))-INDEX(Mārketinga_faktiskās_izmaksas[],MATCH(INDEX(Mārketinga_vērtību_novirzes[],ROW()-ROW(Mārketinga_vērtību_novirzes[[#Headers],[Aug]]),1),INDEX(Mārketinga_plāns[],,1),0),MATCH(Mārketinga_vērtību_novirzes[[#Headers],[Aug]],Mārketinga_faktiskās_izmaksas[#Headers],0))</f>
        <v>200</v>
      </c>
      <c r="K23" s="104">
        <f>INDEX(Mārketinga_plāns[],MATCH(INDEX(Mārketinga_vērtību_novirzes[],ROW()-ROW(Mārketinga_vērtību_novirzes[[#Headers],[Sep]]),1),INDEX(Mārketinga_plāns[],,1),0),MATCH(Mārketinga_vērtību_novirzes[[#Headers],[Sep]],Mārketinga_plāns[#Headers],0))-INDEX(Mārketinga_faktiskās_izmaksas[],MATCH(INDEX(Mārketinga_vērtību_novirzes[],ROW()-ROW(Mārketinga_vērtību_novirzes[[#Headers],[Sep]]),1),INDEX(Mārketinga_plāns[],,1),0),MATCH(Mārketinga_vērtību_novirzes[[#Headers],[Sep]],Mārketinga_faktiskās_izmaksas[#Headers],0))</f>
        <v>200</v>
      </c>
      <c r="L23" s="104">
        <f>INDEX(Mārketinga_plāns[],MATCH(INDEX(Mārketinga_vērtību_novirzes[],ROW()-ROW(Mārketinga_vērtību_novirzes[[#Headers],[Okt]]),1),INDEX(Mārketinga_plāns[],,1),0),MATCH(Mārketinga_vērtību_novirzes[[#Headers],[Okt]],Mārketinga_plāns[#Headers],0))-INDEX(Mārketinga_faktiskās_izmaksas[],MATCH(INDEX(Mārketinga_vērtību_novirzes[],ROW()-ROW(Mārketinga_vērtību_novirzes[[#Headers],[Okt]]),1),INDEX(Mārketinga_plāns[],,1),0),MATCH(Mārketinga_vērtību_novirzes[[#Headers],[Okt]],Mārketinga_faktiskās_izmaksas[#Headers],0))</f>
        <v>200</v>
      </c>
      <c r="M23" s="104">
        <f>INDEX(Mārketinga_plāns[],MATCH(INDEX(Mārketinga_vērtību_novirzes[],ROW()-ROW(Mārketinga_vērtību_novirzes[[#Headers],[Nov]]),1),INDEX(Mārketinga_plāns[],,1),0),MATCH(Mārketinga_vērtību_novirzes[[#Headers],[Nov]],Mārketinga_plāns[#Headers],0))-INDEX(Mārketinga_faktiskās_izmaksas[],MATCH(INDEX(Mārketinga_vērtību_novirzes[],ROW()-ROW(Mārketinga_vērtību_novirzes[[#Headers],[Nov]]),1),INDEX(Mārketinga_plāns[],,1),0),MATCH(Mārketinga_vērtību_novirzes[[#Headers],[Nov]],Mārketinga_faktiskās_izmaksas[#Headers],0))</f>
        <v>200</v>
      </c>
      <c r="N23" s="104">
        <f>INDEX(Mārketinga_plāns[],MATCH(INDEX(Mārketinga_vērtību_novirzes[],ROW()-ROW(Mārketinga_vērtību_novirzes[[#Headers],[Dec]]),1),INDEX(Mārketinga_plāns[],,1),0),MATCH(Mārketinga_vērtību_novirzes[[#Headers],[Dec]],Mārketinga_plāns[#Headers],0))-INDEX(Mārketinga_faktiskās_izmaksas[],MATCH(INDEX(Mārketinga_vērtību_novirzes[],ROW()-ROW(Mārketinga_vērtību_novirzes[[#Headers],[Dec]]),1),INDEX(Mārketinga_plāns[],,1),0),MATCH(Mārketinga_vērtību_novirzes[[#Headers],[Dec]],Mārketinga_faktiskās_izmaksas[#Headers],0))</f>
        <v>1000</v>
      </c>
      <c r="O23" s="105">
        <f>SUM(Mārketinga_vērtību_novirzes[[#This Row],[Jan]:[Dec]])</f>
        <v>1500</v>
      </c>
    </row>
    <row r="24" spans="1:15" ht="24.95" customHeight="1" thickBot="1" x14ac:dyDescent="0.35">
      <c r="A24" s="35"/>
      <c r="B24" s="71" t="s">
        <v>34</v>
      </c>
      <c r="C24" s="104">
        <f>INDEX(Mārketinga_plāns[],MATCH(INDEX(Mārketinga_vērtību_novirzes[],ROW()-ROW(Mārketinga_vērtību_novirzes[[#Headers],[Jan]]),1),INDEX(Mārketinga_plāns[],,1),0),MATCH(Mārketinga_vērtību_novirzes[[#Headers],[Jan]],Mārketinga_plāns[#Headers],0))-INDEX(Mārketinga_faktiskās_izmaksas[],MATCH(INDEX(Mārketinga_vērtību_novirzes[],ROW()-ROW(Mārketinga_vērtību_novirzes[[#Headers],[Jan]]),1),INDEX(Mārketinga_plāns[],,1),0),MATCH(Mārketinga_vērtību_novirzes[[#Headers],[Jan]],Mārketinga_faktiskās_izmaksas[#Headers],0))</f>
        <v>200</v>
      </c>
      <c r="D24" s="104">
        <f>INDEX(Mārketinga_plāns[],MATCH(INDEX(Mārketinga_vērtību_novirzes[],ROW()-ROW(Mārketinga_vērtību_novirzes[[#Headers],[Feb]]),1),INDEX(Mārketinga_plāns[],,1),0),MATCH(Mārketinga_vērtību_novirzes[[#Headers],[Feb]],Mārketinga_plāns[#Headers],0))-INDEX(Mārketinga_faktiskās_izmaksas[],MATCH(INDEX(Mārketinga_vērtību_novirzes[],ROW()-ROW(Mārketinga_vērtību_novirzes[[#Headers],[Feb]]),1),INDEX(Mārketinga_plāns[],,1),0),MATCH(Mārketinga_vērtību_novirzes[[#Headers],[Feb]],Mārketinga_faktiskās_izmaksas[#Headers],0))</f>
        <v>0</v>
      </c>
      <c r="E24" s="104">
        <f>INDEX(Mārketinga_plāns[],MATCH(INDEX(Mārketinga_vērtību_novirzes[],ROW()-ROW(Mārketinga_vērtību_novirzes[[#Headers],[Mar]]),1),INDEX(Mārketinga_plāns[],,1),0),MATCH(Mārketinga_vērtību_novirzes[[#Headers],[Mar]],Mārketinga_plāns[#Headers],0))-INDEX(Mārketinga_faktiskās_izmaksas[],MATCH(INDEX(Mārketinga_vērtību_novirzes[],ROW()-ROW(Mārketinga_vērtību_novirzes[[#Headers],[Mar]]),1),INDEX(Mārketinga_plāns[],,1),0),MATCH(Mārketinga_vērtību_novirzes[[#Headers],[Mar]],Mārketinga_faktiskās_izmaksas[#Headers],0))</f>
        <v>0</v>
      </c>
      <c r="F24" s="104">
        <f>INDEX(Mārketinga_plāns[],MATCH(INDEX(Mārketinga_vērtību_novirzes[],ROW()-ROW(Mārketinga_vērtību_novirzes[[#Headers],[Apr]]),1),INDEX(Mārketinga_plāns[],,1),0),MATCH(Mārketinga_vērtību_novirzes[[#Headers],[Apr]],Mārketinga_plāns[#Headers],0))-INDEX(Mārketinga_faktiskās_izmaksas[],MATCH(INDEX(Mārketinga_vērtību_novirzes[],ROW()-ROW(Mārketinga_vērtību_novirzes[[#Headers],[Apr]]),1),INDEX(Mārketinga_plāns[],,1),0),MATCH(Mārketinga_vērtību_novirzes[[#Headers],[Apr]],Mārketinga_faktiskās_izmaksas[#Headers],0))</f>
        <v>-500</v>
      </c>
      <c r="G24" s="104">
        <f>INDEX(Mārketinga_plāns[],MATCH(INDEX(Mārketinga_vērtību_novirzes[],ROW()-ROW(Mārketinga_vērtību_novirzes[[#Headers],[Maijs]]),1),INDEX(Mārketinga_plāns[],,1),0),MATCH(Mārketinga_vērtību_novirzes[[#Headers],[Maijs]],Mārketinga_plāns[#Headers],0))-INDEX(Mārketinga_faktiskās_izmaksas[],MATCH(INDEX(Mārketinga_vērtību_novirzes[],ROW()-ROW(Mārketinga_vērtību_novirzes[[#Headers],[Maijs]]),1),INDEX(Mārketinga_plāns[],,1),0),MATCH(Mārketinga_vērtību_novirzes[[#Headers],[Maijs]],Mārketinga_faktiskās_izmaksas[#Headers],0))</f>
        <v>0</v>
      </c>
      <c r="H24" s="104">
        <f>INDEX(Mārketinga_plāns[],MATCH(INDEX(Mārketinga_vērtību_novirzes[],ROW()-ROW(Mārketinga_vērtību_novirzes[[#Headers],[Jūn]]),1),INDEX(Mārketinga_plāns[],,1),0),MATCH(Mārketinga_vērtību_novirzes[[#Headers],[Jūn]],Mārketinga_plāns[#Headers],0))-INDEX(Mārketinga_faktiskās_izmaksas[],MATCH(INDEX(Mārketinga_vērtību_novirzes[],ROW()-ROW(Mārketinga_vērtību_novirzes[[#Headers],[Jūn]]),1),INDEX(Mārketinga_plāns[],,1),0),MATCH(Mārketinga_vērtību_novirzes[[#Headers],[Jūn]],Mārketinga_faktiskās_izmaksas[#Headers],0))</f>
        <v>0</v>
      </c>
      <c r="I24" s="104">
        <f>INDEX(Mārketinga_plāns[],MATCH(INDEX(Mārketinga_vērtību_novirzes[],ROW()-ROW(Mārketinga_vērtību_novirzes[[#Headers],[Jūl]]),1),INDEX(Mārketinga_plāns[],,1),0),MATCH(Mārketinga_vērtību_novirzes[[#Headers],[Jūl]],Mārketinga_plāns[#Headers],0))-INDEX(Mārketinga_faktiskās_izmaksas[],MATCH(INDEX(Mārketinga_vērtību_novirzes[],ROW()-ROW(Mārketinga_vērtību_novirzes[[#Headers],[Jūl]]),1),INDEX(Mārketinga_plāns[],,1),0),MATCH(Mārketinga_vērtību_novirzes[[#Headers],[Jūl]],Mārketinga_faktiskās_izmaksas[#Headers],0))</f>
        <v>5000</v>
      </c>
      <c r="J24" s="104">
        <f>INDEX(Mārketinga_plāns[],MATCH(INDEX(Mārketinga_vērtību_novirzes[],ROW()-ROW(Mārketinga_vērtību_novirzes[[#Headers],[Aug]]),1),INDEX(Mārketinga_plāns[],,1),0),MATCH(Mārketinga_vērtību_novirzes[[#Headers],[Aug]],Mārketinga_plāns[#Headers],0))-INDEX(Mārketinga_faktiskās_izmaksas[],MATCH(INDEX(Mārketinga_vērtību_novirzes[],ROW()-ROW(Mārketinga_vērtību_novirzes[[#Headers],[Aug]]),1),INDEX(Mārketinga_plāns[],,1),0),MATCH(Mārketinga_vērtību_novirzes[[#Headers],[Aug]],Mārketinga_faktiskās_izmaksas[#Headers],0))</f>
        <v>0</v>
      </c>
      <c r="K24" s="104">
        <f>INDEX(Mārketinga_plāns[],MATCH(INDEX(Mārketinga_vērtību_novirzes[],ROW()-ROW(Mārketinga_vērtību_novirzes[[#Headers],[Sep]]),1),INDEX(Mārketinga_plāns[],,1),0),MATCH(Mārketinga_vērtību_novirzes[[#Headers],[Sep]],Mārketinga_plāns[#Headers],0))-INDEX(Mārketinga_faktiskās_izmaksas[],MATCH(INDEX(Mārketinga_vērtību_novirzes[],ROW()-ROW(Mārketinga_vērtību_novirzes[[#Headers],[Sep]]),1),INDEX(Mārketinga_plāns[],,1),0),MATCH(Mārketinga_vērtību_novirzes[[#Headers],[Sep]],Mārketinga_faktiskās_izmaksas[#Headers],0))</f>
        <v>0</v>
      </c>
      <c r="L24" s="104">
        <f>INDEX(Mārketinga_plāns[],MATCH(INDEX(Mārketinga_vērtību_novirzes[],ROW()-ROW(Mārketinga_vērtību_novirzes[[#Headers],[Okt]]),1),INDEX(Mārketinga_plāns[],,1),0),MATCH(Mārketinga_vērtību_novirzes[[#Headers],[Okt]],Mārketinga_plāns[#Headers],0))-INDEX(Mārketinga_faktiskās_izmaksas[],MATCH(INDEX(Mārketinga_vērtību_novirzes[],ROW()-ROW(Mārketinga_vērtību_novirzes[[#Headers],[Okt]]),1),INDEX(Mārketinga_plāns[],,1),0),MATCH(Mārketinga_vērtību_novirzes[[#Headers],[Okt]],Mārketinga_faktiskās_izmaksas[#Headers],0))</f>
        <v>5000</v>
      </c>
      <c r="M24" s="104">
        <f>INDEX(Mārketinga_plāns[],MATCH(INDEX(Mārketinga_vērtību_novirzes[],ROW()-ROW(Mārketinga_vērtību_novirzes[[#Headers],[Nov]]),1),INDEX(Mārketinga_plāns[],,1),0),MATCH(Mārketinga_vērtību_novirzes[[#Headers],[Nov]],Mārketinga_plāns[#Headers],0))-INDEX(Mārketinga_faktiskās_izmaksas[],MATCH(INDEX(Mārketinga_vērtību_novirzes[],ROW()-ROW(Mārketinga_vērtību_novirzes[[#Headers],[Nov]]),1),INDEX(Mārketinga_plāns[],,1),0),MATCH(Mārketinga_vērtību_novirzes[[#Headers],[Nov]],Mārketinga_faktiskās_izmaksas[#Headers],0))</f>
        <v>0</v>
      </c>
      <c r="N24" s="104">
        <f>INDEX(Mārketinga_plāns[],MATCH(INDEX(Mārketinga_vērtību_novirzes[],ROW()-ROW(Mārketinga_vērtību_novirzes[[#Headers],[Dec]]),1),INDEX(Mārketinga_plāns[],,1),0),MATCH(Mārketinga_vērtību_novirzes[[#Headers],[Dec]],Mārketinga_plāns[#Headers],0))-INDEX(Mārketinga_faktiskās_izmaksas[],MATCH(INDEX(Mārketinga_vērtību_novirzes[],ROW()-ROW(Mārketinga_vērtību_novirzes[[#Headers],[Dec]]),1),INDEX(Mārketinga_plāns[],,1),0),MATCH(Mārketinga_vērtību_novirzes[[#Headers],[Dec]],Mārketinga_faktiskās_izmaksas[#Headers],0))</f>
        <v>0</v>
      </c>
      <c r="O24" s="105">
        <f>SUM(Mārketinga_vērtību_novirzes[[#This Row],[Jan]:[Dec]])</f>
        <v>9700</v>
      </c>
    </row>
    <row r="25" spans="1:15" ht="24.95" customHeight="1" thickBot="1" x14ac:dyDescent="0.35">
      <c r="A25" s="35"/>
      <c r="B25" s="71" t="s">
        <v>35</v>
      </c>
      <c r="C25" s="104">
        <f>INDEX(Mārketinga_plāns[],MATCH(INDEX(Mārketinga_vērtību_novirzes[],ROW()-ROW(Mārketinga_vērtību_novirzes[[#Headers],[Jan]]),1),INDEX(Mārketinga_plāns[],,1),0),MATCH(Mārketinga_vērtību_novirzes[[#Headers],[Jan]],Mārketinga_plāns[#Headers],0))-INDEX(Mārketinga_faktiskās_izmaksas[],MATCH(INDEX(Mārketinga_vērtību_novirzes[],ROW()-ROW(Mārketinga_vērtību_novirzes[[#Headers],[Jan]]),1),INDEX(Mārketinga_plāns[],,1),0),MATCH(Mārketinga_vērtību_novirzes[[#Headers],[Jan]],Mārketinga_faktiskās_izmaksas[#Headers],0))</f>
        <v>100</v>
      </c>
      <c r="D25" s="104">
        <f>INDEX(Mārketinga_plāns[],MATCH(INDEX(Mārketinga_vērtību_novirzes[],ROW()-ROW(Mārketinga_vērtību_novirzes[[#Headers],[Feb]]),1),INDEX(Mārketinga_plāns[],,1),0),MATCH(Mārketinga_vērtību_novirzes[[#Headers],[Feb]],Mārketinga_plāns[#Headers],0))-INDEX(Mārketinga_faktiskās_izmaksas[],MATCH(INDEX(Mārketinga_vērtību_novirzes[],ROW()-ROW(Mārketinga_vērtību_novirzes[[#Headers],[Feb]]),1),INDEX(Mārketinga_plāns[],,1),0),MATCH(Mārketinga_vērtību_novirzes[[#Headers],[Feb]],Mārketinga_faktiskās_izmaksas[#Headers],0))</f>
        <v>-300</v>
      </c>
      <c r="E25" s="104">
        <f>INDEX(Mārketinga_plāns[],MATCH(INDEX(Mārketinga_vērtību_novirzes[],ROW()-ROW(Mārketinga_vērtību_novirzes[[#Headers],[Mar]]),1),INDEX(Mārketinga_plāns[],,1),0),MATCH(Mārketinga_vērtību_novirzes[[#Headers],[Mar]],Mārketinga_plāns[#Headers],0))-INDEX(Mārketinga_faktiskās_izmaksas[],MATCH(INDEX(Mārketinga_vērtību_novirzes[],ROW()-ROW(Mārketinga_vērtību_novirzes[[#Headers],[Mar]]),1),INDEX(Mārketinga_plāns[],,1),0),MATCH(Mārketinga_vērtību_novirzes[[#Headers],[Mar]],Mārketinga_faktiskās_izmaksas[#Headers],0))</f>
        <v>100</v>
      </c>
      <c r="F25" s="104">
        <f>INDEX(Mārketinga_plāns[],MATCH(INDEX(Mārketinga_vērtību_novirzes[],ROW()-ROW(Mārketinga_vērtību_novirzes[[#Headers],[Apr]]),1),INDEX(Mārketinga_plāns[],,1),0),MATCH(Mārketinga_vērtību_novirzes[[#Headers],[Apr]],Mārketinga_plāns[#Headers],0))-INDEX(Mārketinga_faktiskās_izmaksas[],MATCH(INDEX(Mārketinga_vērtību_novirzes[],ROW()-ROW(Mārketinga_vērtību_novirzes[[#Headers],[Apr]]),1),INDEX(Mārketinga_plāns[],,1),0),MATCH(Mārketinga_vērtību_novirzes[[#Headers],[Apr]],Mārketinga_faktiskās_izmaksas[#Headers],0))</f>
        <v>100</v>
      </c>
      <c r="G25" s="104">
        <f>INDEX(Mārketinga_plāns[],MATCH(INDEX(Mārketinga_vērtību_novirzes[],ROW()-ROW(Mārketinga_vērtību_novirzes[[#Headers],[Maijs]]),1),INDEX(Mārketinga_plāns[],,1),0),MATCH(Mārketinga_vērtību_novirzes[[#Headers],[Maijs]],Mārketinga_plāns[#Headers],0))-INDEX(Mārketinga_faktiskās_izmaksas[],MATCH(INDEX(Mārketinga_vērtību_novirzes[],ROW()-ROW(Mārketinga_vērtību_novirzes[[#Headers],[Maijs]]),1),INDEX(Mārketinga_plāns[],,1),0),MATCH(Mārketinga_vērtību_novirzes[[#Headers],[Maijs]],Mārketinga_faktiskās_izmaksas[#Headers],0))</f>
        <v>-400</v>
      </c>
      <c r="H25" s="104">
        <f>INDEX(Mārketinga_plāns[],MATCH(INDEX(Mārketinga_vērtību_novirzes[],ROW()-ROW(Mārketinga_vērtību_novirzes[[#Headers],[Jūn]]),1),INDEX(Mārketinga_plāns[],,1),0),MATCH(Mārketinga_vērtību_novirzes[[#Headers],[Jūn]],Mārketinga_plāns[#Headers],0))-INDEX(Mārketinga_faktiskās_izmaksas[],MATCH(INDEX(Mārketinga_vērtību_novirzes[],ROW()-ROW(Mārketinga_vērtību_novirzes[[#Headers],[Jūn]]),1),INDEX(Mārketinga_plāns[],,1),0),MATCH(Mārketinga_vērtību_novirzes[[#Headers],[Jūn]],Mārketinga_faktiskās_izmaksas[#Headers],0))</f>
        <v>20</v>
      </c>
      <c r="I25" s="104">
        <f>INDEX(Mārketinga_plāns[],MATCH(INDEX(Mārketinga_vērtību_novirzes[],ROW()-ROW(Mārketinga_vērtību_novirzes[[#Headers],[Jūl]]),1),INDEX(Mārketinga_plāns[],,1),0),MATCH(Mārketinga_vērtību_novirzes[[#Headers],[Jūl]],Mārketinga_plāns[#Headers],0))-INDEX(Mārketinga_faktiskās_izmaksas[],MATCH(INDEX(Mārketinga_vērtību_novirzes[],ROW()-ROW(Mārketinga_vērtību_novirzes[[#Headers],[Jūl]]),1),INDEX(Mārketinga_plāns[],,1),0),MATCH(Mārketinga_vērtību_novirzes[[#Headers],[Jūl]],Mārketinga_faktiskās_izmaksas[#Headers],0))</f>
        <v>200</v>
      </c>
      <c r="J25" s="104">
        <f>INDEX(Mārketinga_plāns[],MATCH(INDEX(Mārketinga_vērtību_novirzes[],ROW()-ROW(Mārketinga_vērtību_novirzes[[#Headers],[Aug]]),1),INDEX(Mārketinga_plāns[],,1),0),MATCH(Mārketinga_vērtību_novirzes[[#Headers],[Aug]],Mārketinga_plāns[#Headers],0))-INDEX(Mārketinga_faktiskās_izmaksas[],MATCH(INDEX(Mārketinga_vērtību_novirzes[],ROW()-ROW(Mārketinga_vērtību_novirzes[[#Headers],[Aug]]),1),INDEX(Mārketinga_plāns[],,1),0),MATCH(Mārketinga_vērtību_novirzes[[#Headers],[Aug]],Mārketinga_faktiskās_izmaksas[#Headers],0))</f>
        <v>200</v>
      </c>
      <c r="K25" s="104">
        <f>INDEX(Mārketinga_plāns[],MATCH(INDEX(Mārketinga_vērtību_novirzes[],ROW()-ROW(Mārketinga_vērtību_novirzes[[#Headers],[Sep]]),1),INDEX(Mārketinga_plāns[],,1),0),MATCH(Mārketinga_vērtību_novirzes[[#Headers],[Sep]],Mārketinga_plāns[#Headers],0))-INDEX(Mārketinga_faktiskās_izmaksas[],MATCH(INDEX(Mārketinga_vērtību_novirzes[],ROW()-ROW(Mārketinga_vērtību_novirzes[[#Headers],[Sep]]),1),INDEX(Mārketinga_plāns[],,1),0),MATCH(Mārketinga_vērtību_novirzes[[#Headers],[Sep]],Mārketinga_faktiskās_izmaksas[#Headers],0))</f>
        <v>200</v>
      </c>
      <c r="L25" s="104">
        <f>INDEX(Mārketinga_plāns[],MATCH(INDEX(Mārketinga_vērtību_novirzes[],ROW()-ROW(Mārketinga_vērtību_novirzes[[#Headers],[Okt]]),1),INDEX(Mārketinga_plāns[],,1),0),MATCH(Mārketinga_vērtību_novirzes[[#Headers],[Okt]],Mārketinga_plāns[#Headers],0))-INDEX(Mārketinga_faktiskās_izmaksas[],MATCH(INDEX(Mārketinga_vērtību_novirzes[],ROW()-ROW(Mārketinga_vērtību_novirzes[[#Headers],[Okt]]),1),INDEX(Mārketinga_plāns[],,1),0),MATCH(Mārketinga_vērtību_novirzes[[#Headers],[Okt]],Mārketinga_faktiskās_izmaksas[#Headers],0))</f>
        <v>200</v>
      </c>
      <c r="M25" s="104">
        <f>INDEX(Mārketinga_plāns[],MATCH(INDEX(Mārketinga_vērtību_novirzes[],ROW()-ROW(Mārketinga_vērtību_novirzes[[#Headers],[Nov]]),1),INDEX(Mārketinga_plāns[],,1),0),MATCH(Mārketinga_vērtību_novirzes[[#Headers],[Nov]],Mārketinga_plāns[#Headers],0))-INDEX(Mārketinga_faktiskās_izmaksas[],MATCH(INDEX(Mārketinga_vērtību_novirzes[],ROW()-ROW(Mārketinga_vērtību_novirzes[[#Headers],[Nov]]),1),INDEX(Mārketinga_plāns[],,1),0),MATCH(Mārketinga_vērtību_novirzes[[#Headers],[Nov]],Mārketinga_faktiskās_izmaksas[#Headers],0))</f>
        <v>200</v>
      </c>
      <c r="N25" s="104">
        <f>INDEX(Mārketinga_plāns[],MATCH(INDEX(Mārketinga_vērtību_novirzes[],ROW()-ROW(Mārketinga_vērtību_novirzes[[#Headers],[Dec]]),1),INDEX(Mārketinga_plāns[],,1),0),MATCH(Mārketinga_vērtību_novirzes[[#Headers],[Dec]],Mārketinga_plāns[#Headers],0))-INDEX(Mārketinga_faktiskās_izmaksas[],MATCH(INDEX(Mārketinga_vērtību_novirzes[],ROW()-ROW(Mārketinga_vērtību_novirzes[[#Headers],[Dec]]),1),INDEX(Mārketinga_plāns[],,1),0),MATCH(Mārketinga_vērtību_novirzes[[#Headers],[Dec]],Mārketinga_faktiskās_izmaksas[#Headers],0))</f>
        <v>200</v>
      </c>
      <c r="O25" s="105">
        <f>SUM(Mārketinga_vērtību_novirzes[[#This Row],[Jan]:[Dec]])</f>
        <v>820</v>
      </c>
    </row>
    <row r="26" spans="1:15" ht="24.95" customHeight="1" thickBot="1" x14ac:dyDescent="0.35">
      <c r="A26" s="35"/>
      <c r="B26" s="71" t="s">
        <v>36</v>
      </c>
      <c r="C26" s="104">
        <f>INDEX(Mārketinga_plāns[],MATCH(INDEX(Mārketinga_vērtību_novirzes[],ROW()-ROW(Mārketinga_vērtību_novirzes[[#Headers],[Jan]]),1),INDEX(Mārketinga_plāns[],,1),0),MATCH(Mārketinga_vērtību_novirzes[[#Headers],[Jan]],Mārketinga_plāns[#Headers],0))-INDEX(Mārketinga_faktiskās_izmaksas[],MATCH(INDEX(Mārketinga_vērtību_novirzes[],ROW()-ROW(Mārketinga_vērtību_novirzes[[#Headers],[Jan]]),1),INDEX(Mārketinga_plāns[],,1),0),MATCH(Mārketinga_vērtību_novirzes[[#Headers],[Jan]],Mārketinga_faktiskās_izmaksas[#Headers],0))</f>
        <v>200</v>
      </c>
      <c r="D26" s="104">
        <f>INDEX(Mārketinga_plāns[],MATCH(INDEX(Mārketinga_vērtību_novirzes[],ROW()-ROW(Mārketinga_vērtību_novirzes[[#Headers],[Feb]]),1),INDEX(Mārketinga_plāns[],,1),0),MATCH(Mārketinga_vērtību_novirzes[[#Headers],[Feb]],Mārketinga_plāns[#Headers],0))-INDEX(Mārketinga_faktiskās_izmaksas[],MATCH(INDEX(Mārketinga_vērtību_novirzes[],ROW()-ROW(Mārketinga_vērtību_novirzes[[#Headers],[Feb]]),1),INDEX(Mārketinga_plāns[],,1),0),MATCH(Mārketinga_vērtību_novirzes[[#Headers],[Feb]],Mārketinga_faktiskās_izmaksas[#Headers],0))</f>
        <v>-200</v>
      </c>
      <c r="E26" s="104">
        <f>INDEX(Mārketinga_plāns[],MATCH(INDEX(Mārketinga_vērtību_novirzes[],ROW()-ROW(Mārketinga_vērtību_novirzes[[#Headers],[Mar]]),1),INDEX(Mārketinga_plāns[],,1),0),MATCH(Mārketinga_vērtību_novirzes[[#Headers],[Mar]],Mārketinga_plāns[#Headers],0))-INDEX(Mārketinga_faktiskās_izmaksas[],MATCH(INDEX(Mārketinga_vērtību_novirzes[],ROW()-ROW(Mārketinga_vērtību_novirzes[[#Headers],[Mar]]),1),INDEX(Mārketinga_plāns[],,1),0),MATCH(Mārketinga_vērtību_novirzes[[#Headers],[Mar]],Mārketinga_faktiskās_izmaksas[#Headers],0))</f>
        <v>-200</v>
      </c>
      <c r="F26" s="104">
        <f>INDEX(Mārketinga_plāns[],MATCH(INDEX(Mārketinga_vērtību_novirzes[],ROW()-ROW(Mārketinga_vērtību_novirzes[[#Headers],[Apr]]),1),INDEX(Mārketinga_plāns[],,1),0),MATCH(Mārketinga_vērtību_novirzes[[#Headers],[Apr]],Mārketinga_plāns[#Headers],0))-INDEX(Mārketinga_faktiskās_izmaksas[],MATCH(INDEX(Mārketinga_vērtību_novirzes[],ROW()-ROW(Mārketinga_vērtību_novirzes[[#Headers],[Apr]]),1),INDEX(Mārketinga_plāns[],,1),0),MATCH(Mārketinga_vērtību_novirzes[[#Headers],[Apr]],Mārketinga_faktiskās_izmaksas[#Headers],0))</f>
        <v>300</v>
      </c>
      <c r="G26" s="104">
        <f>INDEX(Mārketinga_plāns[],MATCH(INDEX(Mārketinga_vērtību_novirzes[],ROW()-ROW(Mārketinga_vērtību_novirzes[[#Headers],[Maijs]]),1),INDEX(Mārketinga_plāns[],,1),0),MATCH(Mārketinga_vērtību_novirzes[[#Headers],[Maijs]],Mārketinga_plāns[#Headers],0))-INDEX(Mārketinga_faktiskās_izmaksas[],MATCH(INDEX(Mārketinga_vērtību_novirzes[],ROW()-ROW(Mārketinga_vērtību_novirzes[[#Headers],[Maijs]]),1),INDEX(Mārketinga_plāns[],,1),0),MATCH(Mārketinga_vērtību_novirzes[[#Headers],[Maijs]],Mārketinga_faktiskās_izmaksas[#Headers],0))</f>
        <v>500</v>
      </c>
      <c r="H26" s="104">
        <f>INDEX(Mārketinga_plāns[],MATCH(INDEX(Mārketinga_vērtību_novirzes[],ROW()-ROW(Mārketinga_vērtību_novirzes[[#Headers],[Jūn]]),1),INDEX(Mārketinga_plāns[],,1),0),MATCH(Mārketinga_vērtību_novirzes[[#Headers],[Jūn]],Mārketinga_plāns[#Headers],0))-INDEX(Mārketinga_faktiskās_izmaksas[],MATCH(INDEX(Mārketinga_vērtību_novirzes[],ROW()-ROW(Mārketinga_vērtību_novirzes[[#Headers],[Jūn]]),1),INDEX(Mārketinga_plāns[],,1),0),MATCH(Mārketinga_vērtību_novirzes[[#Headers],[Jūn]],Mārketinga_faktiskās_izmaksas[#Headers],0))</f>
        <v>-300</v>
      </c>
      <c r="I26" s="104">
        <f>INDEX(Mārketinga_plāns[],MATCH(INDEX(Mārketinga_vērtību_novirzes[],ROW()-ROW(Mārketinga_vērtību_novirzes[[#Headers],[Jūl]]),1),INDEX(Mārketinga_plāns[],,1),0),MATCH(Mārketinga_vērtību_novirzes[[#Headers],[Jūl]],Mārketinga_plāns[#Headers],0))-INDEX(Mārketinga_faktiskās_izmaksas[],MATCH(INDEX(Mārketinga_vērtību_novirzes[],ROW()-ROW(Mārketinga_vērtību_novirzes[[#Headers],[Jūl]]),1),INDEX(Mārketinga_plāns[],,1),0),MATCH(Mārketinga_vērtību_novirzes[[#Headers],[Jūl]],Mārketinga_faktiskās_izmaksas[#Headers],0))</f>
        <v>2000</v>
      </c>
      <c r="J26" s="104">
        <f>INDEX(Mārketinga_plāns[],MATCH(INDEX(Mārketinga_vērtību_novirzes[],ROW()-ROW(Mārketinga_vērtību_novirzes[[#Headers],[Aug]]),1),INDEX(Mārketinga_plāns[],,1),0),MATCH(Mārketinga_vērtību_novirzes[[#Headers],[Aug]],Mārketinga_plāns[#Headers],0))-INDEX(Mārketinga_faktiskās_izmaksas[],MATCH(INDEX(Mārketinga_vērtību_novirzes[],ROW()-ROW(Mārketinga_vērtību_novirzes[[#Headers],[Aug]]),1),INDEX(Mārketinga_plāns[],,1),0),MATCH(Mārketinga_vērtību_novirzes[[#Headers],[Aug]],Mārketinga_faktiskās_izmaksas[#Headers],0))</f>
        <v>5000</v>
      </c>
      <c r="K26" s="104">
        <f>INDEX(Mārketinga_plāns[],MATCH(INDEX(Mārketinga_vērtību_novirzes[],ROW()-ROW(Mārketinga_vērtību_novirzes[[#Headers],[Sep]]),1),INDEX(Mārketinga_plāns[],,1),0),MATCH(Mārketinga_vērtību_novirzes[[#Headers],[Sep]],Mārketinga_plāns[#Headers],0))-INDEX(Mārketinga_faktiskās_izmaksas[],MATCH(INDEX(Mārketinga_vērtību_novirzes[],ROW()-ROW(Mārketinga_vērtību_novirzes[[#Headers],[Sep]]),1),INDEX(Mārketinga_plāns[],,1),0),MATCH(Mārketinga_vērtību_novirzes[[#Headers],[Sep]],Mārketinga_faktiskās_izmaksas[#Headers],0))</f>
        <v>2000</v>
      </c>
      <c r="L26" s="104">
        <f>INDEX(Mārketinga_plāns[],MATCH(INDEX(Mārketinga_vērtību_novirzes[],ROW()-ROW(Mārketinga_vērtību_novirzes[[#Headers],[Okt]]),1),INDEX(Mārketinga_plāns[],,1),0),MATCH(Mārketinga_vērtību_novirzes[[#Headers],[Okt]],Mārketinga_plāns[#Headers],0))-INDEX(Mārketinga_faktiskās_izmaksas[],MATCH(INDEX(Mārketinga_vērtību_novirzes[],ROW()-ROW(Mārketinga_vērtību_novirzes[[#Headers],[Okt]]),1),INDEX(Mārketinga_plāns[],,1),0),MATCH(Mārketinga_vērtību_novirzes[[#Headers],[Okt]],Mārketinga_faktiskās_izmaksas[#Headers],0))</f>
        <v>2000</v>
      </c>
      <c r="M26" s="104">
        <f>INDEX(Mārketinga_plāns[],MATCH(INDEX(Mārketinga_vērtību_novirzes[],ROW()-ROW(Mārketinga_vērtību_novirzes[[#Headers],[Nov]]),1),INDEX(Mārketinga_plāns[],,1),0),MATCH(Mārketinga_vērtību_novirzes[[#Headers],[Nov]],Mārketinga_plāns[#Headers],0))-INDEX(Mārketinga_faktiskās_izmaksas[],MATCH(INDEX(Mārketinga_vērtību_novirzes[],ROW()-ROW(Mārketinga_vērtību_novirzes[[#Headers],[Nov]]),1),INDEX(Mārketinga_plāns[],,1),0),MATCH(Mārketinga_vērtību_novirzes[[#Headers],[Nov]],Mārketinga_faktiskās_izmaksas[#Headers],0))</f>
        <v>2000</v>
      </c>
      <c r="N26" s="104">
        <f>INDEX(Mārketinga_plāns[],MATCH(INDEX(Mārketinga_vērtību_novirzes[],ROW()-ROW(Mārketinga_vērtību_novirzes[[#Headers],[Dec]]),1),INDEX(Mārketinga_plāns[],,1),0),MATCH(Mārketinga_vērtību_novirzes[[#Headers],[Dec]],Mārketinga_plāns[#Headers],0))-INDEX(Mārketinga_faktiskās_izmaksas[],MATCH(INDEX(Mārketinga_vērtību_novirzes[],ROW()-ROW(Mārketinga_vērtību_novirzes[[#Headers],[Dec]]),1),INDEX(Mārketinga_plāns[],,1),0),MATCH(Mārketinga_vērtību_novirzes[[#Headers],[Dec]],Mārketinga_faktiskās_izmaksas[#Headers],0))</f>
        <v>5000</v>
      </c>
      <c r="O26" s="105">
        <f>SUM(Mārketinga_vērtību_novirzes[[#This Row],[Jan]:[Dec]])</f>
        <v>18300</v>
      </c>
    </row>
    <row r="27" spans="1:15" ht="24.95" customHeight="1" thickBot="1" x14ac:dyDescent="0.35">
      <c r="A27" s="35"/>
      <c r="B27" s="71" t="s">
        <v>37</v>
      </c>
      <c r="C27" s="104">
        <f>INDEX(Mārketinga_plāns[],MATCH(INDEX(Mārketinga_vērtību_novirzes[],ROW()-ROW(Mārketinga_vērtību_novirzes[[#Headers],[Jan]]),1),INDEX(Mārketinga_plāns[],,1),0),MATCH(Mārketinga_vērtību_novirzes[[#Headers],[Jan]],Mārketinga_plāns[#Headers],0))-INDEX(Mārketinga_faktiskās_izmaksas[],MATCH(INDEX(Mārketinga_vērtību_novirzes[],ROW()-ROW(Mārketinga_vērtību_novirzes[[#Headers],[Jan]]),1),INDEX(Mārketinga_plāns[],,1),0),MATCH(Mārketinga_vērtību_novirzes[[#Headers],[Jan]],Mārketinga_faktiskās_izmaksas[#Headers],0))</f>
        <v>55</v>
      </c>
      <c r="D27" s="104">
        <f>INDEX(Mārketinga_plāns[],MATCH(INDEX(Mārketinga_vērtību_novirzes[],ROW()-ROW(Mārketinga_vērtību_novirzes[[#Headers],[Feb]]),1),INDEX(Mārketinga_plāns[],,1),0),MATCH(Mārketinga_vērtību_novirzes[[#Headers],[Feb]],Mārketinga_plāns[#Headers],0))-INDEX(Mārketinga_faktiskās_izmaksas[],MATCH(INDEX(Mārketinga_vērtību_novirzes[],ROW()-ROW(Mārketinga_vērtību_novirzes[[#Headers],[Feb]]),1),INDEX(Mārketinga_plāns[],,1),0),MATCH(Mārketinga_vērtību_novirzes[[#Headers],[Feb]],Mārketinga_faktiskās_izmaksas[#Headers],0))</f>
        <v>44</v>
      </c>
      <c r="E27" s="104">
        <f>INDEX(Mārketinga_plāns[],MATCH(INDEX(Mārketinga_vērtību_novirzes[],ROW()-ROW(Mārketinga_vērtību_novirzes[[#Headers],[Mar]]),1),INDEX(Mārketinga_plāns[],,1),0),MATCH(Mārketinga_vērtību_novirzes[[#Headers],[Mar]],Mārketinga_plāns[#Headers],0))-INDEX(Mārketinga_faktiskās_izmaksas[],MATCH(INDEX(Mārketinga_vērtību_novirzes[],ROW()-ROW(Mārketinga_vērtību_novirzes[[#Headers],[Mar]]),1),INDEX(Mārketinga_plāns[],,1),0),MATCH(Mārketinga_vērtību_novirzes[[#Headers],[Mar]],Mārketinga_faktiskās_izmaksas[#Headers],0))</f>
        <v>77</v>
      </c>
      <c r="F27" s="104">
        <f>INDEX(Mārketinga_plāns[],MATCH(INDEX(Mārketinga_vērtību_novirzes[],ROW()-ROW(Mārketinga_vērtību_novirzes[[#Headers],[Apr]]),1),INDEX(Mārketinga_plāns[],,1),0),MATCH(Mārketinga_vērtību_novirzes[[#Headers],[Apr]],Mārketinga_plāns[#Headers],0))-INDEX(Mārketinga_faktiskās_izmaksas[],MATCH(INDEX(Mārketinga_vērtību_novirzes[],ROW()-ROW(Mārketinga_vērtību_novirzes[[#Headers],[Apr]]),1),INDEX(Mārketinga_plāns[],,1),0),MATCH(Mārketinga_vērtību_novirzes[[#Headers],[Apr]],Mārketinga_faktiskās_izmaksas[#Headers],0))</f>
        <v>-23</v>
      </c>
      <c r="G27" s="104">
        <f>INDEX(Mārketinga_plāns[],MATCH(INDEX(Mārketinga_vērtību_novirzes[],ROW()-ROW(Mārketinga_vērtību_novirzes[[#Headers],[Maijs]]),1),INDEX(Mārketinga_plāns[],,1),0),MATCH(Mārketinga_vērtību_novirzes[[#Headers],[Maijs]],Mārketinga_plāns[#Headers],0))-INDEX(Mārketinga_faktiskās_izmaksas[],MATCH(INDEX(Mārketinga_vērtību_novirzes[],ROW()-ROW(Mārketinga_vērtību_novirzes[[#Headers],[Maijs]]),1),INDEX(Mārketinga_plāns[],,1),0),MATCH(Mārketinga_vērtību_novirzes[[#Headers],[Maijs]],Mārketinga_faktiskās_izmaksas[#Headers],0))</f>
        <v>13</v>
      </c>
      <c r="H27" s="104">
        <f>INDEX(Mārketinga_plāns[],MATCH(INDEX(Mārketinga_vērtību_novirzes[],ROW()-ROW(Mārketinga_vērtību_novirzes[[#Headers],[Jūn]]),1),INDEX(Mārketinga_plāns[],,1),0),MATCH(Mārketinga_vērtību_novirzes[[#Headers],[Jūn]],Mārketinga_plāns[#Headers],0))-INDEX(Mārketinga_faktiskās_izmaksas[],MATCH(INDEX(Mārketinga_vērtību_novirzes[],ROW()-ROW(Mārketinga_vērtību_novirzes[[#Headers],[Jūn]]),1),INDEX(Mārketinga_plāns[],,1),0),MATCH(Mārketinga_vērtību_novirzes[[#Headers],[Jūn]],Mārketinga_faktiskās_izmaksas[#Headers],0))</f>
        <v>-45</v>
      </c>
      <c r="I27" s="104">
        <f>INDEX(Mārketinga_plāns[],MATCH(INDEX(Mārketinga_vērtību_novirzes[],ROW()-ROW(Mārketinga_vērtību_novirzes[[#Headers],[Jūl]]),1),INDEX(Mārketinga_plāns[],,1),0),MATCH(Mārketinga_vērtību_novirzes[[#Headers],[Jūl]],Mārketinga_plāns[#Headers],0))-INDEX(Mārketinga_faktiskās_izmaksas[],MATCH(INDEX(Mārketinga_vērtību_novirzes[],ROW()-ROW(Mārketinga_vērtību_novirzes[[#Headers],[Jūl]]),1),INDEX(Mārketinga_plāns[],,1),0),MATCH(Mārketinga_vērtību_novirzes[[#Headers],[Jūl]],Mārketinga_faktiskās_izmaksas[#Headers],0))</f>
        <v>200</v>
      </c>
      <c r="J27" s="104">
        <f>INDEX(Mārketinga_plāns[],MATCH(INDEX(Mārketinga_vērtību_novirzes[],ROW()-ROW(Mārketinga_vērtību_novirzes[[#Headers],[Aug]]),1),INDEX(Mārketinga_plāns[],,1),0),MATCH(Mārketinga_vērtību_novirzes[[#Headers],[Aug]],Mārketinga_plāns[#Headers],0))-INDEX(Mārketinga_faktiskās_izmaksas[],MATCH(INDEX(Mārketinga_vērtību_novirzes[],ROW()-ROW(Mārketinga_vērtību_novirzes[[#Headers],[Aug]]),1),INDEX(Mārketinga_plāns[],,1),0),MATCH(Mārketinga_vērtību_novirzes[[#Headers],[Aug]],Mārketinga_faktiskās_izmaksas[#Headers],0))</f>
        <v>200</v>
      </c>
      <c r="K27" s="104">
        <f>INDEX(Mārketinga_plāns[],MATCH(INDEX(Mārketinga_vērtību_novirzes[],ROW()-ROW(Mārketinga_vērtību_novirzes[[#Headers],[Sep]]),1),INDEX(Mārketinga_plāns[],,1),0),MATCH(Mārketinga_vērtību_novirzes[[#Headers],[Sep]],Mārketinga_plāns[#Headers],0))-INDEX(Mārketinga_faktiskās_izmaksas[],MATCH(INDEX(Mārketinga_vērtību_novirzes[],ROW()-ROW(Mārketinga_vērtību_novirzes[[#Headers],[Sep]]),1),INDEX(Mārketinga_plāns[],,1),0),MATCH(Mārketinga_vērtību_novirzes[[#Headers],[Sep]],Mārketinga_faktiskās_izmaksas[#Headers],0))</f>
        <v>200</v>
      </c>
      <c r="L27" s="104">
        <f>INDEX(Mārketinga_plāns[],MATCH(INDEX(Mārketinga_vērtību_novirzes[],ROW()-ROW(Mārketinga_vērtību_novirzes[[#Headers],[Okt]]),1),INDEX(Mārketinga_plāns[],,1),0),MATCH(Mārketinga_vērtību_novirzes[[#Headers],[Okt]],Mārketinga_plāns[#Headers],0))-INDEX(Mārketinga_faktiskās_izmaksas[],MATCH(INDEX(Mārketinga_vērtību_novirzes[],ROW()-ROW(Mārketinga_vērtību_novirzes[[#Headers],[Okt]]),1),INDEX(Mārketinga_plāns[],,1),0),MATCH(Mārketinga_vērtību_novirzes[[#Headers],[Okt]],Mārketinga_faktiskās_izmaksas[#Headers],0))</f>
        <v>200</v>
      </c>
      <c r="M27" s="104">
        <f>INDEX(Mārketinga_plāns[],MATCH(INDEX(Mārketinga_vērtību_novirzes[],ROW()-ROW(Mārketinga_vērtību_novirzes[[#Headers],[Nov]]),1),INDEX(Mārketinga_plāns[],,1),0),MATCH(Mārketinga_vērtību_novirzes[[#Headers],[Nov]],Mārketinga_plāns[#Headers],0))-INDEX(Mārketinga_faktiskās_izmaksas[],MATCH(INDEX(Mārketinga_vērtību_novirzes[],ROW()-ROW(Mārketinga_vērtību_novirzes[[#Headers],[Nov]]),1),INDEX(Mārketinga_plāns[],,1),0),MATCH(Mārketinga_vērtību_novirzes[[#Headers],[Nov]],Mārketinga_faktiskās_izmaksas[#Headers],0))</f>
        <v>200</v>
      </c>
      <c r="N27" s="104">
        <f>INDEX(Mārketinga_plāns[],MATCH(INDEX(Mārketinga_vērtību_novirzes[],ROW()-ROW(Mārketinga_vērtību_novirzes[[#Headers],[Dec]]),1),INDEX(Mārketinga_plāns[],,1),0),MATCH(Mārketinga_vērtību_novirzes[[#Headers],[Dec]],Mārketinga_plāns[#Headers],0))-INDEX(Mārketinga_faktiskās_izmaksas[],MATCH(INDEX(Mārketinga_vērtību_novirzes[],ROW()-ROW(Mārketinga_vērtību_novirzes[[#Headers],[Dec]]),1),INDEX(Mārketinga_plāns[],,1),0),MATCH(Mārketinga_vērtību_novirzes[[#Headers],[Dec]],Mārketinga_faktiskās_izmaksas[#Headers],0))</f>
        <v>200</v>
      </c>
      <c r="O27" s="105">
        <f>SUM(Mārketinga_vērtību_novirzes[[#This Row],[Jan]:[Dec]])</f>
        <v>1321</v>
      </c>
    </row>
    <row r="28" spans="1:15" ht="24.95" customHeight="1" x14ac:dyDescent="0.3">
      <c r="A28" s="35"/>
      <c r="B28" s="82" t="s">
        <v>21</v>
      </c>
      <c r="C28" s="112">
        <f>SUBTOTAL(109,Mārketinga_vērtību_novirzes[Jan])</f>
        <v>555</v>
      </c>
      <c r="D28" s="112">
        <f>SUBTOTAL(109,Mārketinga_vērtību_novirzes[Feb])</f>
        <v>-456</v>
      </c>
      <c r="E28" s="112">
        <f>SUBTOTAL(109,Mārketinga_vērtību_novirzes[Mar])</f>
        <v>-23</v>
      </c>
      <c r="F28" s="112">
        <f>SUBTOTAL(109,Mārketinga_vērtību_novirzes[Apr])</f>
        <v>-123</v>
      </c>
      <c r="G28" s="112">
        <f>SUBTOTAL(109,Mārketinga_vērtību_novirzes[Maijs])</f>
        <v>113</v>
      </c>
      <c r="H28" s="112">
        <f>SUBTOTAL(109,Mārketinga_vērtību_novirzes[Jūn])</f>
        <v>-825</v>
      </c>
      <c r="I28" s="112">
        <f>SUBTOTAL(109,Mārketinga_vērtību_novirzes[Jūl])</f>
        <v>8100</v>
      </c>
      <c r="J28" s="112">
        <f>SUBTOTAL(109,Mārketinga_vērtību_novirzes[Aug])</f>
        <v>6100</v>
      </c>
      <c r="K28" s="112">
        <f>SUBTOTAL(109,Mārketinga_vērtību_novirzes[Sep])</f>
        <v>3100</v>
      </c>
      <c r="L28" s="112">
        <f>SUBTOTAL(109,Mārketinga_vērtību_novirzes[Okt])</f>
        <v>8100</v>
      </c>
      <c r="M28" s="112">
        <f>SUBTOTAL(109,Mārketinga_vērtību_novirzes[Nov])</f>
        <v>3100</v>
      </c>
      <c r="N28" s="112">
        <f>SUBTOTAL(109,Mārketinga_vērtību_novirzes[Dec])</f>
        <v>6900</v>
      </c>
      <c r="O28" s="113">
        <f>SUBTOTAL(109,Mārketinga_vērtību_novirzes[GADS])</f>
        <v>34641</v>
      </c>
    </row>
    <row r="29" spans="1:15" ht="21" customHeight="1" x14ac:dyDescent="0.3">
      <c r="A29" s="145"/>
      <c r="B29" s="134"/>
      <c r="C29" s="134"/>
      <c r="D29" s="148"/>
      <c r="E29" s="148"/>
      <c r="F29" s="148"/>
      <c r="G29" s="148"/>
      <c r="H29" s="148"/>
      <c r="I29" s="148"/>
      <c r="J29" s="148"/>
      <c r="K29" s="148"/>
      <c r="L29" s="148"/>
      <c r="M29" s="148"/>
      <c r="N29" s="148"/>
      <c r="O29" s="147"/>
    </row>
    <row r="30" spans="1:15" ht="24.95" customHeight="1" thickBot="1" x14ac:dyDescent="0.35">
      <c r="A30" s="35" t="s">
        <v>103</v>
      </c>
      <c r="B30" s="62" t="s">
        <v>38</v>
      </c>
      <c r="C30" s="69" t="s">
        <v>45</v>
      </c>
      <c r="D30" s="69" t="s">
        <v>47</v>
      </c>
      <c r="E30" s="69" t="s">
        <v>49</v>
      </c>
      <c r="F30" s="69" t="s">
        <v>51</v>
      </c>
      <c r="G30" s="69" t="s">
        <v>53</v>
      </c>
      <c r="H30" s="69" t="s">
        <v>55</v>
      </c>
      <c r="I30" s="69" t="s">
        <v>57</v>
      </c>
      <c r="J30" s="69" t="s">
        <v>59</v>
      </c>
      <c r="K30" s="69" t="s">
        <v>63</v>
      </c>
      <c r="L30" s="69" t="s">
        <v>65</v>
      </c>
      <c r="M30" s="69" t="s">
        <v>67</v>
      </c>
      <c r="N30" s="69" t="s">
        <v>70</v>
      </c>
      <c r="O30" s="70" t="s">
        <v>71</v>
      </c>
    </row>
    <row r="31" spans="1:15" ht="24.95" customHeight="1" thickBot="1" x14ac:dyDescent="0.35">
      <c r="A31" s="35"/>
      <c r="B31" s="71" t="s">
        <v>39</v>
      </c>
      <c r="C31" s="104">
        <f>INDEX(Apmācību_un_komandējumu_plāns[],MATCH(INDEX(Apmācību_un_komandējumu_vērtību_novirzes[],ROW()-ROW(Apmācību_un_komandējumu_vērtību_novirzes[[#Headers],[Jan]]),1),INDEX(Apmācību_un_komandējumu_plāns[],,1),0),MATCH(Apmācību_un_komandējumu_vērtību_novirzes[[#Headers],[Jan]],Apmācību_un_komandējumu_plāns[#Headers],0))-INDEX(Apmācību_un_komandējumu_faktiskās_izmaksas[],MATCH(INDEX(Apmācību_un_komandējumu_vērtību_novirzes[],ROW()-ROW(Apmācību_un_komandējumu_vērtību_novirzes[[#Headers],[Jan]]),1),INDEX(Apmācību_un_komandējumu_plāns[],,1),0),MATCH(Apmācību_un_komandējumu_vērtību_novirzes[[#Headers],[Jan]],Apmācību_un_komandējumu_faktiskās_izmaksas[#Headers],0))</f>
        <v>400</v>
      </c>
      <c r="D31" s="104">
        <f>INDEX(Apmācību_un_komandējumu_plāns[],MATCH(INDEX(Apmācību_un_komandējumu_vērtību_novirzes[],ROW()-ROW(Apmācību_un_komandējumu_vērtību_novirzes[[#Headers],[Feb]]),1),INDEX(Apmācību_un_komandējumu_plāns[],,1),0),MATCH(Apmācību_un_komandējumu_vērtību_novirzes[[#Headers],[Feb]],Apmācību_un_komandējumu_plāns[#Headers],0))-INDEX(Apmācību_un_komandējumu_faktiskās_izmaksas[],MATCH(INDEX(Apmācību_un_komandējumu_vērtību_novirzes[],ROW()-ROW(Apmācību_un_komandējumu_vērtību_novirzes[[#Headers],[Feb]]),1),INDEX(Apmācību_un_komandējumu_plāns[],,1),0),MATCH(Apmācību_un_komandējumu_vērtību_novirzes[[#Headers],[Feb]],Apmācību_un_komandējumu_faktiskās_izmaksas[#Headers],0))</f>
        <v>-400</v>
      </c>
      <c r="E31" s="104">
        <f>INDEX(Apmācību_un_komandējumu_plāns[],MATCH(INDEX(Apmācību_un_komandējumu_vērtību_novirzes[],ROW()-ROW(Apmācību_un_komandējumu_vērtību_novirzes[[#Headers],[Mar]]),1),INDEX(Apmācību_un_komandējumu_plāns[],,1),0),MATCH(Apmācību_un_komandējumu_vērtību_novirzes[[#Headers],[Mar]],Apmācību_un_komandējumu_plāns[#Headers],0))-INDEX(Apmācību_un_komandējumu_faktiskās_izmaksas[],MATCH(INDEX(Apmācību_un_komandējumu_vērtību_novirzes[],ROW()-ROW(Apmācību_un_komandējumu_vērtību_novirzes[[#Headers],[Mar]]),1),INDEX(Apmācību_un_komandējumu_plāns[],,1),0),MATCH(Apmācību_un_komandējumu_vērtību_novirzes[[#Headers],[Mar]],Apmācību_un_komandējumu_faktiskās_izmaksas[#Headers],0))</f>
        <v>600</v>
      </c>
      <c r="F31" s="104">
        <f>INDEX(Apmācību_un_komandējumu_plāns[],MATCH(INDEX(Apmācību_un_komandējumu_vērtību_novirzes[],ROW()-ROW(Apmācību_un_komandējumu_vērtību_novirzes[[#Headers],[Apr]]),1),INDEX(Apmācību_un_komandējumu_plāns[],,1),0),MATCH(Apmācību_un_komandējumu_vērtību_novirzes[[#Headers],[Apr]],Apmācību_un_komandējumu_plāns[#Headers],0))-INDEX(Apmācību_un_komandējumu_faktiskās_izmaksas[],MATCH(INDEX(Apmācību_un_komandējumu_vērtību_novirzes[],ROW()-ROW(Apmācību_un_komandējumu_vērtību_novirzes[[#Headers],[Apr]]),1),INDEX(Apmācību_un_komandējumu_plāns[],,1),0),MATCH(Apmācību_un_komandējumu_vērtību_novirzes[[#Headers],[Apr]],Apmācību_un_komandējumu_faktiskās_izmaksas[#Headers],0))</f>
        <v>400</v>
      </c>
      <c r="G31" s="104">
        <f>INDEX(Apmācību_un_komandējumu_plāns[],MATCH(INDEX(Apmācību_un_komandējumu_vērtību_novirzes[],ROW()-ROW(Apmācību_un_komandējumu_vērtību_novirzes[[#Headers],[Maijs]]),1),INDEX(Apmācību_un_komandējumu_plāns[],,1),0),MATCH(Apmācību_un_komandējumu_vērtību_novirzes[[#Headers],[Maijs]],Apmācību_un_komandējumu_plāns[#Headers],0))-INDEX(Apmācību_un_komandējumu_faktiskās_izmaksas[],MATCH(INDEX(Apmācību_un_komandējumu_vērtību_novirzes[],ROW()-ROW(Apmācību_un_komandējumu_vērtību_novirzes[[#Headers],[Maijs]]),1),INDEX(Apmācību_un_komandējumu_plāns[],,1),0),MATCH(Apmācību_un_komandējumu_vērtību_novirzes[[#Headers],[Maijs]],Apmācību_un_komandējumu_faktiskās_izmaksas[#Headers],0))</f>
        <v>800</v>
      </c>
      <c r="H31" s="104">
        <f>INDEX(Apmācību_un_komandējumu_plāns[],MATCH(INDEX(Apmācību_un_komandējumu_vērtību_novirzes[],ROW()-ROW(Apmācību_un_komandējumu_vērtību_novirzes[[#Headers],[Jūn]]),1),INDEX(Apmācību_un_komandējumu_plāns[],,1),0),MATCH(Apmācību_un_komandējumu_vērtību_novirzes[[#Headers],[Jūn]],Apmācību_un_komandējumu_plāns[#Headers],0))-INDEX(Apmācību_un_komandējumu_faktiskās_izmaksas[],MATCH(INDEX(Apmācību_un_komandējumu_vērtību_novirzes[],ROW()-ROW(Apmācību_un_komandējumu_vērtību_novirzes[[#Headers],[Jūn]]),1),INDEX(Apmācību_un_komandējumu_plāns[],,1),0),MATCH(Apmācību_un_komandējumu_vērtību_novirzes[[#Headers],[Jūn]],Apmācību_un_komandējumu_faktiskās_izmaksas[#Headers],0))</f>
        <v>-800</v>
      </c>
      <c r="I31" s="104">
        <f>INDEX(Apmācību_un_komandējumu_plāns[],MATCH(INDEX(Apmācību_un_komandējumu_vērtību_novirzes[],ROW()-ROW(Apmācību_un_komandējumu_vērtību_novirzes[[#Headers],[Jūl]]),1),INDEX(Apmācību_un_komandējumu_plāns[],,1),0),MATCH(Apmācību_un_komandējumu_vērtību_novirzes[[#Headers],[Jūl]],Apmācību_un_komandējumu_plāns[#Headers],0))-INDEX(Apmācību_un_komandējumu_faktiskās_izmaksas[],MATCH(INDEX(Apmācību_un_komandējumu_vērtību_novirzes[],ROW()-ROW(Apmācību_un_komandējumu_vērtību_novirzes[[#Headers],[Jūl]]),1),INDEX(Apmācību_un_komandējumu_plāns[],,1),0),MATCH(Apmācību_un_komandējumu_vērtību_novirzes[[#Headers],[Jūl]],Apmācību_un_komandējumu_faktiskās_izmaksas[#Headers],0))</f>
        <v>2000</v>
      </c>
      <c r="J31" s="104">
        <f>INDEX(Apmācību_un_komandējumu_plāns[],MATCH(INDEX(Apmācību_un_komandējumu_vērtību_novirzes[],ROW()-ROW(Apmācību_un_komandējumu_vērtību_novirzes[[#Headers],[Aug]]),1),INDEX(Apmācību_un_komandējumu_plāns[],,1),0),MATCH(Apmācību_un_komandējumu_vērtību_novirzes[[#Headers],[Aug]],Apmācību_un_komandējumu_plāns[#Headers],0))-INDEX(Apmācību_un_komandējumu_faktiskās_izmaksas[],MATCH(INDEX(Apmācību_un_komandējumu_vērtību_novirzes[],ROW()-ROW(Apmācību_un_komandējumu_vērtību_novirzes[[#Headers],[Aug]]),1),INDEX(Apmācību_un_komandējumu_plāns[],,1),0),MATCH(Apmācību_un_komandējumu_vērtību_novirzes[[#Headers],[Aug]],Apmācību_un_komandējumu_faktiskās_izmaksas[#Headers],0))</f>
        <v>2000</v>
      </c>
      <c r="K31" s="104">
        <f>INDEX(Apmācību_un_komandējumu_plāns[],MATCH(INDEX(Apmācību_un_komandējumu_vērtību_novirzes[],ROW()-ROW(Apmācību_un_komandējumu_vērtību_novirzes[[#Headers],[Sep]]),1),INDEX(Apmācību_un_komandējumu_plāns[],,1),0),MATCH(Apmācību_un_komandējumu_vērtību_novirzes[[#Headers],[Sep]],Apmācību_un_komandējumu_plāns[#Headers],0))-INDEX(Apmācību_un_komandējumu_faktiskās_izmaksas[],MATCH(INDEX(Apmācību_un_komandējumu_vērtību_novirzes[],ROW()-ROW(Apmācību_un_komandējumu_vērtību_novirzes[[#Headers],[Sep]]),1),INDEX(Apmācību_un_komandējumu_plāns[],,1),0),MATCH(Apmācību_un_komandējumu_vērtību_novirzes[[#Headers],[Sep]],Apmācību_un_komandējumu_faktiskās_izmaksas[#Headers],0))</f>
        <v>2000</v>
      </c>
      <c r="L31" s="104">
        <f>INDEX(Apmācību_un_komandējumu_plāns[],MATCH(INDEX(Apmācību_un_komandējumu_vērtību_novirzes[],ROW()-ROW(Apmācību_un_komandējumu_vērtību_novirzes[[#Headers],[Okt]]),1),INDEX(Apmācību_un_komandējumu_plāns[],,1),0),MATCH(Apmācību_un_komandējumu_vērtību_novirzes[[#Headers],[Okt]],Apmācību_un_komandējumu_plāns[#Headers],0))-INDEX(Apmācību_un_komandējumu_faktiskās_izmaksas[],MATCH(INDEX(Apmācību_un_komandējumu_vērtību_novirzes[],ROW()-ROW(Apmācību_un_komandējumu_vērtību_novirzes[[#Headers],[Okt]]),1),INDEX(Apmācību_un_komandējumu_plāns[],,1),0),MATCH(Apmācību_un_komandējumu_vērtību_novirzes[[#Headers],[Okt]],Apmācību_un_komandējumu_faktiskās_izmaksas[#Headers],0))</f>
        <v>2000</v>
      </c>
      <c r="M31" s="104">
        <f>INDEX(Apmācību_un_komandējumu_plāns[],MATCH(INDEX(Apmācību_un_komandējumu_vērtību_novirzes[],ROW()-ROW(Apmācību_un_komandējumu_vērtību_novirzes[[#Headers],[Nov]]),1),INDEX(Apmācību_un_komandējumu_plāns[],,1),0),MATCH(Apmācību_un_komandējumu_vērtību_novirzes[[#Headers],[Nov]],Apmācību_un_komandējumu_plāns[#Headers],0))-INDEX(Apmācību_un_komandējumu_faktiskās_izmaksas[],MATCH(INDEX(Apmācību_un_komandējumu_vērtību_novirzes[],ROW()-ROW(Apmācību_un_komandējumu_vērtību_novirzes[[#Headers],[Nov]]),1),INDEX(Apmācību_un_komandējumu_plāns[],,1),0),MATCH(Apmācību_un_komandējumu_vērtību_novirzes[[#Headers],[Nov]],Apmācību_un_komandējumu_faktiskās_izmaksas[#Headers],0))</f>
        <v>2000</v>
      </c>
      <c r="N31" s="104">
        <f>INDEX(Apmācību_un_komandējumu_plāns[],MATCH(INDEX(Apmācību_un_komandējumu_vērtību_novirzes[],ROW()-ROW(Apmācību_un_komandējumu_vērtību_novirzes[[#Headers],[Dec]]),1),INDEX(Apmācību_un_komandējumu_plāns[],,1),0),MATCH(Apmācību_un_komandējumu_vērtību_novirzes[[#Headers],[Dec]],Apmācību_un_komandējumu_plāns[#Headers],0))-INDEX(Apmācību_un_komandējumu_faktiskās_izmaksas[],MATCH(INDEX(Apmācību_un_komandējumu_vērtību_novirzes[],ROW()-ROW(Apmācību_un_komandējumu_vērtību_novirzes[[#Headers],[Dec]]),1),INDEX(Apmācību_un_komandējumu_plāns[],,1),0),MATCH(Apmācību_un_komandējumu_vērtību_novirzes[[#Headers],[Dec]],Apmācību_un_komandējumu_faktiskās_izmaksas[#Headers],0))</f>
        <v>2000</v>
      </c>
      <c r="O31" s="105">
        <f>SUM(Apmācību_un_komandējumu_vērtību_novirzes[[#This Row],[Jan]:[Dec]])</f>
        <v>13000</v>
      </c>
    </row>
    <row r="32" spans="1:15" ht="24.95" customHeight="1" thickBot="1" x14ac:dyDescent="0.35">
      <c r="A32" s="35"/>
      <c r="B32" s="71" t="s">
        <v>40</v>
      </c>
      <c r="C32" s="104">
        <f>INDEX(Apmācību_un_komandējumu_plāns[],MATCH(INDEX(Apmācību_un_komandējumu_vērtību_novirzes[],ROW()-ROW(Apmācību_un_komandējumu_vērtību_novirzes[[#Headers],[Jan]]),1),INDEX(Apmācību_un_komandējumu_plāns[],,1),0),MATCH(Apmācību_un_komandējumu_vērtību_novirzes[[#Headers],[Jan]],Apmācību_un_komandējumu_plāns[#Headers],0))-INDEX(Apmācību_un_komandējumu_faktiskās_izmaksas[],MATCH(INDEX(Apmācību_un_komandējumu_vērtību_novirzes[],ROW()-ROW(Apmācību_un_komandējumu_vērtību_novirzes[[#Headers],[Jan]]),1),INDEX(Apmācību_un_komandējumu_plāns[],,1),0),MATCH(Apmācību_un_komandējumu_vērtību_novirzes[[#Headers],[Jan]],Apmācību_un_komandējumu_faktiskās_izmaksas[#Headers],0))</f>
        <v>800</v>
      </c>
      <c r="D32" s="104">
        <f>INDEX(Apmācību_un_komandējumu_plāns[],MATCH(INDEX(Apmācību_un_komandējumu_vērtību_novirzes[],ROW()-ROW(Apmācību_un_komandējumu_vērtību_novirzes[[#Headers],[Feb]]),1),INDEX(Apmācību_un_komandējumu_plāns[],,1),0),MATCH(Apmācību_un_komandējumu_vērtību_novirzes[[#Headers],[Feb]],Apmācību_un_komandējumu_plāns[#Headers],0))-INDEX(Apmācību_un_komandējumu_faktiskās_izmaksas[],MATCH(INDEX(Apmācību_un_komandējumu_vērtību_novirzes[],ROW()-ROW(Apmācību_un_komandējumu_vērtību_novirzes[[#Headers],[Feb]]),1),INDEX(Apmācību_un_komandējumu_plāns[],,1),0),MATCH(Apmācību_un_komandējumu_vērtību_novirzes[[#Headers],[Feb]],Apmācību_un_komandējumu_faktiskās_izmaksas[#Headers],0))</f>
        <v>-200</v>
      </c>
      <c r="E32" s="104">
        <f>INDEX(Apmācību_un_komandējumu_plāns[],MATCH(INDEX(Apmācību_un_komandējumu_vērtību_novirzes[],ROW()-ROW(Apmācību_un_komandējumu_vērtību_novirzes[[#Headers],[Mar]]),1),INDEX(Apmācību_un_komandējumu_plāns[],,1),0),MATCH(Apmācību_un_komandējumu_vērtību_novirzes[[#Headers],[Mar]],Apmācību_un_komandējumu_plāns[#Headers],0))-INDEX(Apmācību_un_komandējumu_faktiskās_izmaksas[],MATCH(INDEX(Apmācību_un_komandējumu_vērtību_novirzes[],ROW()-ROW(Apmācību_un_komandējumu_vērtību_novirzes[[#Headers],[Mar]]),1),INDEX(Apmācību_un_komandējumu_plāns[],,1),0),MATCH(Apmācību_un_komandējumu_vērtību_novirzes[[#Headers],[Mar]],Apmācību_un_komandējumu_faktiskās_izmaksas[#Headers],0))</f>
        <v>600</v>
      </c>
      <c r="F32" s="104">
        <f>INDEX(Apmācību_un_komandējumu_plāns[],MATCH(INDEX(Apmācību_un_komandējumu_vērtību_novirzes[],ROW()-ROW(Apmācību_un_komandējumu_vērtību_novirzes[[#Headers],[Apr]]),1),INDEX(Apmācību_un_komandējumu_plāns[],,1),0),MATCH(Apmācību_un_komandējumu_vērtību_novirzes[[#Headers],[Apr]],Apmācību_un_komandējumu_plāns[#Headers],0))-INDEX(Apmācību_un_komandējumu_faktiskās_izmaksas[],MATCH(INDEX(Apmācību_un_komandējumu_vērtību_novirzes[],ROW()-ROW(Apmācību_un_komandējumu_vērtību_novirzes[[#Headers],[Apr]]),1),INDEX(Apmācību_un_komandējumu_plāns[],,1),0),MATCH(Apmācību_un_komandējumu_vērtību_novirzes[[#Headers],[Apr]],Apmācību_un_komandējumu_faktiskās_izmaksas[#Headers],0))</f>
        <v>800</v>
      </c>
      <c r="G32" s="104">
        <f>INDEX(Apmācību_un_komandējumu_plāns[],MATCH(INDEX(Apmācību_un_komandējumu_vērtību_novirzes[],ROW()-ROW(Apmācību_un_komandējumu_vērtību_novirzes[[#Headers],[Maijs]]),1),INDEX(Apmācību_un_komandējumu_plāns[],,1),0),MATCH(Apmācību_un_komandējumu_vērtību_novirzes[[#Headers],[Maijs]],Apmācību_un_komandējumu_plāns[#Headers],0))-INDEX(Apmācību_un_komandējumu_faktiskās_izmaksas[],MATCH(INDEX(Apmācību_un_komandējumu_vērtību_novirzes[],ROW()-ROW(Apmācību_un_komandējumu_vērtību_novirzes[[#Headers],[Maijs]]),1),INDEX(Apmācību_un_komandējumu_plāns[],,1),0),MATCH(Apmācību_un_komandējumu_vērtību_novirzes[[#Headers],[Maijs]],Apmācību_un_komandējumu_faktiskās_izmaksas[#Headers],0))</f>
        <v>1200</v>
      </c>
      <c r="H32" s="104">
        <f>INDEX(Apmācību_un_komandējumu_plāns[],MATCH(INDEX(Apmācību_un_komandējumu_vērtību_novirzes[],ROW()-ROW(Apmācību_un_komandējumu_vērtību_novirzes[[#Headers],[Jūn]]),1),INDEX(Apmācību_un_komandējumu_plāns[],,1),0),MATCH(Apmācību_un_komandējumu_vērtību_novirzes[[#Headers],[Jūn]],Apmācību_un_komandējumu_plāns[#Headers],0))-INDEX(Apmācību_un_komandējumu_faktiskās_izmaksas[],MATCH(INDEX(Apmācību_un_komandējumu_vērtību_novirzes[],ROW()-ROW(Apmācību_un_komandējumu_vērtību_novirzes[[#Headers],[Jūn]]),1),INDEX(Apmācību_un_komandējumu_plāns[],,1),0),MATCH(Apmācību_un_komandējumu_vērtību_novirzes[[#Headers],[Jūn]],Apmācību_un_komandējumu_faktiskās_izmaksas[#Headers],0))</f>
        <v>-1500</v>
      </c>
      <c r="I32" s="104">
        <f>INDEX(Apmācību_un_komandējumu_plāns[],MATCH(INDEX(Apmācību_un_komandējumu_vērtību_novirzes[],ROW()-ROW(Apmācību_un_komandējumu_vērtību_novirzes[[#Headers],[Jūl]]),1),INDEX(Apmācību_un_komandējumu_plāns[],,1),0),MATCH(Apmācību_un_komandējumu_vērtību_novirzes[[#Headers],[Jūl]],Apmācību_un_komandējumu_plāns[#Headers],0))-INDEX(Apmācību_un_komandējumu_faktiskās_izmaksas[],MATCH(INDEX(Apmācību_un_komandējumu_vērtību_novirzes[],ROW()-ROW(Apmācību_un_komandējumu_vērtību_novirzes[[#Headers],[Jūl]]),1),INDEX(Apmācību_un_komandējumu_plāns[],,1),0),MATCH(Apmācību_un_komandējumu_vērtību_novirzes[[#Headers],[Jūl]],Apmācību_un_komandējumu_faktiskās_izmaksas[#Headers],0))</f>
        <v>2000</v>
      </c>
      <c r="J32" s="104">
        <f>INDEX(Apmācību_un_komandējumu_plāns[],MATCH(INDEX(Apmācību_un_komandējumu_vērtību_novirzes[],ROW()-ROW(Apmācību_un_komandējumu_vērtību_novirzes[[#Headers],[Aug]]),1),INDEX(Apmācību_un_komandējumu_plāns[],,1),0),MATCH(Apmācību_un_komandējumu_vērtību_novirzes[[#Headers],[Aug]],Apmācību_un_komandējumu_plāns[#Headers],0))-INDEX(Apmācību_un_komandējumu_faktiskās_izmaksas[],MATCH(INDEX(Apmācību_un_komandējumu_vērtību_novirzes[],ROW()-ROW(Apmācību_un_komandējumu_vērtību_novirzes[[#Headers],[Aug]]),1),INDEX(Apmācību_un_komandējumu_plāns[],,1),0),MATCH(Apmācību_un_komandējumu_vērtību_novirzes[[#Headers],[Aug]],Apmācību_un_komandējumu_faktiskās_izmaksas[#Headers],0))</f>
        <v>2000</v>
      </c>
      <c r="K32" s="104">
        <f>INDEX(Apmācību_un_komandējumu_plāns[],MATCH(INDEX(Apmācību_un_komandējumu_vērtību_novirzes[],ROW()-ROW(Apmācību_un_komandējumu_vērtību_novirzes[[#Headers],[Sep]]),1),INDEX(Apmācību_un_komandējumu_plāns[],,1),0),MATCH(Apmācību_un_komandējumu_vērtību_novirzes[[#Headers],[Sep]],Apmācību_un_komandējumu_plāns[#Headers],0))-INDEX(Apmācību_un_komandējumu_faktiskās_izmaksas[],MATCH(INDEX(Apmācību_un_komandējumu_vērtību_novirzes[],ROW()-ROW(Apmācību_un_komandējumu_vērtību_novirzes[[#Headers],[Sep]]),1),INDEX(Apmācību_un_komandējumu_plāns[],,1),0),MATCH(Apmācību_un_komandējumu_vērtību_novirzes[[#Headers],[Sep]],Apmācību_un_komandējumu_faktiskās_izmaksas[#Headers],0))</f>
        <v>2000</v>
      </c>
      <c r="L32" s="104">
        <f>INDEX(Apmācību_un_komandējumu_plāns[],MATCH(INDEX(Apmācību_un_komandējumu_vērtību_novirzes[],ROW()-ROW(Apmācību_un_komandējumu_vērtību_novirzes[[#Headers],[Okt]]),1),INDEX(Apmācību_un_komandējumu_plāns[],,1),0),MATCH(Apmācību_un_komandējumu_vērtību_novirzes[[#Headers],[Okt]],Apmācību_un_komandējumu_plāns[#Headers],0))-INDEX(Apmācību_un_komandējumu_faktiskās_izmaksas[],MATCH(INDEX(Apmācību_un_komandējumu_vērtību_novirzes[],ROW()-ROW(Apmācību_un_komandējumu_vērtību_novirzes[[#Headers],[Okt]]),1),INDEX(Apmācību_un_komandējumu_plāns[],,1),0),MATCH(Apmācību_un_komandējumu_vērtību_novirzes[[#Headers],[Okt]],Apmācību_un_komandējumu_faktiskās_izmaksas[#Headers],0))</f>
        <v>2000</v>
      </c>
      <c r="M32" s="104">
        <f>INDEX(Apmācību_un_komandējumu_plāns[],MATCH(INDEX(Apmācību_un_komandējumu_vērtību_novirzes[],ROW()-ROW(Apmācību_un_komandējumu_vērtību_novirzes[[#Headers],[Nov]]),1),INDEX(Apmācību_un_komandējumu_plāns[],,1),0),MATCH(Apmācību_un_komandējumu_vērtību_novirzes[[#Headers],[Nov]],Apmācību_un_komandējumu_plāns[#Headers],0))-INDEX(Apmācību_un_komandējumu_faktiskās_izmaksas[],MATCH(INDEX(Apmācību_un_komandējumu_vērtību_novirzes[],ROW()-ROW(Apmācību_un_komandējumu_vērtību_novirzes[[#Headers],[Nov]]),1),INDEX(Apmācību_un_komandējumu_plāns[],,1),0),MATCH(Apmācību_un_komandējumu_vērtību_novirzes[[#Headers],[Nov]],Apmācību_un_komandējumu_faktiskās_izmaksas[#Headers],0))</f>
        <v>2000</v>
      </c>
      <c r="N32" s="104">
        <f>INDEX(Apmācību_un_komandējumu_plāns[],MATCH(INDEX(Apmācību_un_komandējumu_vērtību_novirzes[],ROW()-ROW(Apmācību_un_komandējumu_vērtību_novirzes[[#Headers],[Dec]]),1),INDEX(Apmācību_un_komandējumu_plāns[],,1),0),MATCH(Apmācību_un_komandējumu_vērtību_novirzes[[#Headers],[Dec]],Apmācību_un_komandējumu_plāns[#Headers],0))-INDEX(Apmācību_un_komandējumu_faktiskās_izmaksas[],MATCH(INDEX(Apmācību_un_komandējumu_vērtību_novirzes[],ROW()-ROW(Apmācību_un_komandējumu_vērtību_novirzes[[#Headers],[Dec]]),1),INDEX(Apmācību_un_komandējumu_plāns[],,1),0),MATCH(Apmācību_un_komandējumu_vērtību_novirzes[[#Headers],[Dec]],Apmācību_un_komandējumu_faktiskās_izmaksas[#Headers],0))</f>
        <v>2000</v>
      </c>
      <c r="O32" s="105">
        <f>SUM(Apmācību_un_komandējumu_vērtību_novirzes[[#This Row],[Jan]:[Dec]])</f>
        <v>13700</v>
      </c>
    </row>
    <row r="33" spans="1:15" ht="24.95" customHeight="1" x14ac:dyDescent="0.3">
      <c r="A33" s="35"/>
      <c r="B33" s="84" t="s">
        <v>21</v>
      </c>
      <c r="C33" s="112">
        <f>SUBTOTAL(109,Apmācību_un_komandējumu_vērtību_novirzes[Jan])</f>
        <v>1200</v>
      </c>
      <c r="D33" s="112">
        <f>SUBTOTAL(109,Apmācību_un_komandējumu_vērtību_novirzes[Feb])</f>
        <v>-600</v>
      </c>
      <c r="E33" s="112">
        <f>SUBTOTAL(109,Apmācību_un_komandējumu_vērtību_novirzes[Mar])</f>
        <v>1200</v>
      </c>
      <c r="F33" s="112">
        <f>SUBTOTAL(109,Apmācību_un_komandējumu_vērtību_novirzes[Apr])</f>
        <v>1200</v>
      </c>
      <c r="G33" s="112">
        <f>SUBTOTAL(109,Apmācību_un_komandējumu_vērtību_novirzes[Maijs])</f>
        <v>2000</v>
      </c>
      <c r="H33" s="112">
        <f>SUBTOTAL(109,Apmācību_un_komandējumu_vērtību_novirzes[Jūn])</f>
        <v>-2300</v>
      </c>
      <c r="I33" s="112">
        <f>SUBTOTAL(109,Apmācību_un_komandējumu_vērtību_novirzes[Jūl])</f>
        <v>4000</v>
      </c>
      <c r="J33" s="112">
        <f>SUBTOTAL(109,Apmācību_un_komandējumu_vērtību_novirzes[Aug])</f>
        <v>4000</v>
      </c>
      <c r="K33" s="112">
        <f>SUBTOTAL(109,Apmācību_un_komandējumu_vērtību_novirzes[Sep])</f>
        <v>4000</v>
      </c>
      <c r="L33" s="112">
        <f>SUBTOTAL(109,Apmācību_un_komandējumu_vērtību_novirzes[Okt])</f>
        <v>4000</v>
      </c>
      <c r="M33" s="112">
        <f>SUBTOTAL(109,Apmācību_un_komandējumu_vērtību_novirzes[Nov])</f>
        <v>4000</v>
      </c>
      <c r="N33" s="112">
        <f>SUBTOTAL(109,Apmācību_un_komandējumu_vērtību_novirzes[Dec])</f>
        <v>4000</v>
      </c>
      <c r="O33" s="113">
        <f>SUBTOTAL(109,Apmācību_un_komandējumu_vērtību_novirzes[GADS])</f>
        <v>26700</v>
      </c>
    </row>
    <row r="34" spans="1:15" ht="21" customHeight="1" x14ac:dyDescent="0.3">
      <c r="A34" s="145"/>
      <c r="B34" s="134"/>
      <c r="C34" s="134"/>
      <c r="D34" s="147"/>
      <c r="E34" s="147"/>
      <c r="F34" s="147"/>
      <c r="G34" s="147"/>
      <c r="H34" s="147"/>
      <c r="I34" s="147"/>
      <c r="J34" s="147"/>
      <c r="K34" s="147"/>
      <c r="L34" s="147"/>
      <c r="M34" s="147"/>
      <c r="N34" s="147"/>
      <c r="O34" s="147"/>
    </row>
    <row r="35" spans="1:15" ht="24.95" customHeight="1" thickBot="1" x14ac:dyDescent="0.35">
      <c r="A35" s="45" t="s">
        <v>85</v>
      </c>
      <c r="B35" s="13" t="s">
        <v>41</v>
      </c>
      <c r="C35" s="31" t="s">
        <v>45</v>
      </c>
      <c r="D35" s="31" t="s">
        <v>47</v>
      </c>
      <c r="E35" s="31" t="s">
        <v>49</v>
      </c>
      <c r="F35" s="31" t="s">
        <v>51</v>
      </c>
      <c r="G35" s="31" t="s">
        <v>53</v>
      </c>
      <c r="H35" s="31" t="s">
        <v>55</v>
      </c>
      <c r="I35" s="31" t="s">
        <v>57</v>
      </c>
      <c r="J35" s="31" t="s">
        <v>59</v>
      </c>
      <c r="K35" s="31" t="s">
        <v>63</v>
      </c>
      <c r="L35" s="31" t="s">
        <v>65</v>
      </c>
      <c r="M35" s="31" t="s">
        <v>67</v>
      </c>
      <c r="N35" s="31" t="s">
        <v>70</v>
      </c>
      <c r="O35" s="31" t="s">
        <v>72</v>
      </c>
    </row>
    <row r="36" spans="1:15" ht="24.95" customHeight="1" thickBot="1" x14ac:dyDescent="0.35">
      <c r="A36" s="35"/>
      <c r="B36" s="14" t="s">
        <v>83</v>
      </c>
      <c r="C36" s="121">
        <f>Apmācību_un_komandējumu_vērtību_novirzes[[#Totals],[Jan]]+Mārketinga_vērtību_novirzes[[#Totals],[Jan]]+Biroja_vērtību_novirzes[[#Totals],[Jan]]+Darbinieku_vērtību_novirzes[[#Totals],[Jan]]</f>
        <v>1738</v>
      </c>
      <c r="D36" s="121">
        <f>Apmācību_un_komandējumu_vērtību_novirzes[[#Totals],[Feb]]+Mārketinga_vērtību_novirzes[[#Totals],[Feb]]+Biroja_vērtību_novirzes[[#Totals],[Feb]]+Darbinieku_vērtību_novirzes[[#Totals],[Feb]]</f>
        <v>-984</v>
      </c>
      <c r="E36" s="121">
        <f>Apmācību_un_komandējumu_vērtību_novirzes[[#Totals],[Mar]]+Mārketinga_vērtību_novirzes[[#Totals],[Mar]]+Biroja_vērtību_novirzes[[#Totals],[Mar]]+Darbinieku_vērtību_novirzes[[#Totals],[Mar]]</f>
        <v>1255</v>
      </c>
      <c r="F36" s="121">
        <f>Apmācību_un_komandējumu_vērtību_novirzes[[#Totals],[Apr]]+Mārketinga_vērtību_novirzes[[#Totals],[Apr]]+Biroja_vērtību_novirzes[[#Totals],[Apr]]+Darbinieku_vērtību_novirzes[[#Totals],[Apr]]</f>
        <v>301</v>
      </c>
      <c r="G36" s="121">
        <f>Apmācību_un_komandējumu_vērtību_novirzes[[#Totals],[Maijs]]+Mārketinga_vērtību_novirzes[[#Totals],[Maijs]]+Biroja_vērtību_novirzes[[#Totals],[Maijs]]+Darbinieku_vērtību_novirzes[[#Totals],[Maijs]]</f>
        <v>1440</v>
      </c>
      <c r="H36" s="121">
        <f>Apmācību_un_komandējumu_vērtību_novirzes[[#Totals],[Jūn]]+Mārketinga_vērtību_novirzes[[#Totals],[Jūn]]+Biroja_vērtību_novirzes[[#Totals],[Jūn]]+Darbinieku_vērtību_novirzes[[#Totals],[Jūn]]</f>
        <v>-3744</v>
      </c>
      <c r="I36" s="121">
        <f>Apmācību_un_komandējumu_vērtību_novirzes[[#Totals],[Jūl]]+Mārketinga_vērtību_novirzes[[#Totals],[Jūl]]+Biroja_vērtību_novirzes[[#Totals],[Jūl]]+Darbinieku_vērtību_novirzes[[#Totals],[Jūl]]</f>
        <v>134695</v>
      </c>
      <c r="J36" s="121">
        <f>Apmācību_un_komandējumu_vērtību_novirzes[[#Totals],[Aug]]+Mārketinga_vērtību_novirzes[[#Totals],[Aug]]+Biroja_vērtību_novirzes[[#Totals],[Aug]]+Darbinieku_vērtību_novirzes[[#Totals],[Aug]]</f>
        <v>138918</v>
      </c>
      <c r="K36" s="121">
        <f>Apmācību_un_komandējumu_vērtību_novirzes[[#Totals],[Sep]]+Mārketinga_vērtību_novirzes[[#Totals],[Sep]]+Biroja_vērtību_novirzes[[#Totals],[Sep]]+Darbinieku_vērtību_novirzes[[#Totals],[Sep]]</f>
        <v>135918</v>
      </c>
      <c r="L36" s="121">
        <f>Apmācību_un_komandējumu_vērtību_novirzes[[#Totals],[Okt]]+Mārketinga_vērtību_novirzes[[#Totals],[Okt]]+Biroja_vērtību_novirzes[[#Totals],[Okt]]+Darbinieku_vērtību_novirzes[[#Totals],[Okt]]</f>
        <v>140918</v>
      </c>
      <c r="M36" s="121">
        <f>Apmācību_un_komandējumu_vērtību_novirzes[[#Totals],[Nov]]+Mārketinga_vērtību_novirzes[[#Totals],[Nov]]+Biroja_vērtību_novirzes[[#Totals],[Nov]]+Darbinieku_vērtību_novirzes[[#Totals],[Nov]]</f>
        <v>136218</v>
      </c>
      <c r="N36" s="121">
        <f>Apmācību_un_komandējumu_vērtību_novirzes[[#Totals],[Dec]]+Mārketinga_vērtību_novirzes[[#Totals],[Dec]]+Biroja_vērtību_novirzes[[#Totals],[Dec]]+Darbinieku_vērtību_novirzes[[#Totals],[Dec]]</f>
        <v>140018</v>
      </c>
      <c r="O36" s="121">
        <f>Apmācību_un_komandējumu_vērtību_novirzes[[#Totals],[GADS]]+Mārketinga_vērtību_novirzes[[#Totals],[GADS]]+Biroja_vērtību_novirzes[[#Totals],[GADS]]+Darbinieku_vērtību_novirzes[[#Totals],[GADS]]</f>
        <v>826691</v>
      </c>
    </row>
    <row r="37" spans="1:15" ht="24.95" customHeight="1" thickBot="1" x14ac:dyDescent="0.35">
      <c r="A37" s="35"/>
      <c r="B37" s="14" t="s">
        <v>84</v>
      </c>
      <c r="C37" s="122">
        <f>SUM($C$36:C36)</f>
        <v>1738</v>
      </c>
      <c r="D37" s="122">
        <f>SUM($C$36:D36)</f>
        <v>754</v>
      </c>
      <c r="E37" s="122">
        <f>SUM($C$36:E36)</f>
        <v>2009</v>
      </c>
      <c r="F37" s="122">
        <f>SUM($C$36:F36)</f>
        <v>2310</v>
      </c>
      <c r="G37" s="122">
        <f>SUM($C$36:G36)</f>
        <v>3750</v>
      </c>
      <c r="H37" s="122">
        <f>SUM($C$36:H36)</f>
        <v>6</v>
      </c>
      <c r="I37" s="122">
        <f>SUM($C$36:I36)</f>
        <v>134701</v>
      </c>
      <c r="J37" s="122">
        <f>SUM($C$36:J36)</f>
        <v>273619</v>
      </c>
      <c r="K37" s="122">
        <f>SUM($C$36:K36)</f>
        <v>409537</v>
      </c>
      <c r="L37" s="122">
        <f>SUM($C$36:L36)</f>
        <v>550455</v>
      </c>
      <c r="M37" s="122">
        <f>SUM($C$36:M36)</f>
        <v>686673</v>
      </c>
      <c r="N37" s="122">
        <f>SUM($C$36:N36)</f>
        <v>826691</v>
      </c>
      <c r="O37" s="122"/>
    </row>
    <row r="38" spans="1:15" ht="21" customHeight="1" x14ac:dyDescent="0.3">
      <c r="A38" s="145"/>
      <c r="B38" s="2"/>
      <c r="C38" s="2"/>
      <c r="D38" s="15"/>
      <c r="E38" s="2"/>
      <c r="F38" s="2"/>
      <c r="G38" s="2"/>
      <c r="H38" s="2"/>
      <c r="I38" s="2"/>
      <c r="J38" s="2"/>
      <c r="K38" s="2"/>
      <c r="L38" s="2"/>
      <c r="M38" s="2"/>
      <c r="N38" s="2"/>
      <c r="O38" s="2"/>
    </row>
    <row r="39" spans="1:15" ht="21" customHeight="1" x14ac:dyDescent="0.3">
      <c r="A39" s="149"/>
      <c r="B39" s="151"/>
      <c r="C39" s="151"/>
      <c r="D39" s="151"/>
      <c r="E39" s="151"/>
      <c r="F39" s="151"/>
      <c r="G39" s="151"/>
      <c r="H39" s="151"/>
      <c r="I39" s="151"/>
      <c r="J39" s="151"/>
      <c r="K39" s="151"/>
      <c r="L39" s="151"/>
      <c r="M39" s="151"/>
      <c r="N39" s="151"/>
      <c r="O39" s="151"/>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9"/>
  <sheetViews>
    <sheetView showGridLines="0" zoomScaleNormal="100" workbookViewId="0"/>
  </sheetViews>
  <sheetFormatPr defaultColWidth="9.140625" defaultRowHeight="18.75" x14ac:dyDescent="0.3"/>
  <cols>
    <col min="1" max="1" width="4.7109375" style="41" customWidth="1"/>
    <col min="2" max="2" width="26.7109375" style="5" customWidth="1"/>
    <col min="3" max="3" width="26" style="5" customWidth="1"/>
    <col min="4" max="4" width="27.85546875" style="5" customWidth="1"/>
    <col min="5" max="5" width="24.85546875" style="5" customWidth="1"/>
    <col min="6" max="6" width="32.85546875" style="5" bestFit="1" customWidth="1"/>
    <col min="7" max="7" width="4.7109375" style="1" customWidth="1"/>
    <col min="8" max="8" width="8.85546875" customWidth="1"/>
    <col min="9" max="16384" width="9.140625" style="5"/>
  </cols>
  <sheetData>
    <row r="1" spans="1:16" s="1" customFormat="1" ht="24" customHeight="1" x14ac:dyDescent="0.3">
      <c r="A1" s="38" t="s">
        <v>104</v>
      </c>
      <c r="B1" s="11"/>
      <c r="C1" s="11"/>
      <c r="D1" s="11"/>
      <c r="E1" s="8"/>
      <c r="F1" s="8"/>
      <c r="G1" s="68" t="s">
        <v>73</v>
      </c>
      <c r="I1"/>
      <c r="J1"/>
      <c r="K1"/>
      <c r="L1"/>
      <c r="M1"/>
      <c r="N1"/>
      <c r="O1"/>
      <c r="P1" t="s">
        <v>73</v>
      </c>
    </row>
    <row r="2" spans="1:16" s="1" customFormat="1" ht="45" customHeight="1" x14ac:dyDescent="0.35">
      <c r="A2" s="38" t="s">
        <v>105</v>
      </c>
      <c r="B2" s="131" t="str">
        <f>'PLĀNOTIE IZDEVUMI'!B2:D3</f>
        <v>Uzņēmuma nosaukumu</v>
      </c>
      <c r="C2" s="131"/>
      <c r="D2" s="131"/>
      <c r="E2" s="16"/>
      <c r="F2" s="142" t="s">
        <v>68</v>
      </c>
      <c r="G2" s="142"/>
      <c r="I2"/>
      <c r="J2"/>
      <c r="K2"/>
      <c r="L2"/>
      <c r="M2"/>
      <c r="N2"/>
      <c r="O2"/>
      <c r="P2"/>
    </row>
    <row r="3" spans="1:16" s="1" customFormat="1" ht="30" customHeight="1" x14ac:dyDescent="0.3">
      <c r="A3" s="38" t="s">
        <v>87</v>
      </c>
      <c r="B3" s="131"/>
      <c r="C3" s="131"/>
      <c r="D3" s="131"/>
      <c r="E3" s="141" t="str">
        <f>darblapas_nosaukums</f>
        <v>Detalizēti izdevumu aprēķini</v>
      </c>
      <c r="F3" s="141"/>
      <c r="G3" s="141"/>
      <c r="I3"/>
      <c r="J3"/>
      <c r="K3"/>
      <c r="L3"/>
      <c r="M3"/>
      <c r="N3"/>
      <c r="O3"/>
      <c r="P3"/>
    </row>
    <row r="4" spans="1:16" customFormat="1" ht="18.75" customHeight="1" x14ac:dyDescent="0.2">
      <c r="A4" s="29"/>
    </row>
    <row r="5" spans="1:16" ht="24.95" customHeight="1" thickBot="1" x14ac:dyDescent="0.35">
      <c r="A5" s="39" t="s">
        <v>106</v>
      </c>
      <c r="B5" s="17" t="s">
        <v>89</v>
      </c>
      <c r="C5" s="18" t="s">
        <v>91</v>
      </c>
      <c r="D5" s="19" t="s">
        <v>92</v>
      </c>
      <c r="E5" s="17" t="s">
        <v>94</v>
      </c>
      <c r="F5" s="20" t="s">
        <v>95</v>
      </c>
      <c r="G5" s="12"/>
      <c r="I5"/>
      <c r="J5"/>
      <c r="K5"/>
      <c r="L5"/>
      <c r="M5"/>
      <c r="N5"/>
      <c r="O5"/>
      <c r="P5"/>
    </row>
    <row r="6" spans="1:16" ht="24.95" customHeight="1" thickBot="1" x14ac:dyDescent="0.35">
      <c r="A6" s="40"/>
      <c r="B6" s="85" t="s">
        <v>18</v>
      </c>
      <c r="C6" s="123">
        <f>Darbinieku_plāns[[#Totals],[GADS]]</f>
        <v>1355090</v>
      </c>
      <c r="D6" s="123">
        <f>Darbinieku_faktiskās_izmaksas[[#Totals],[GADS]]</f>
        <v>659130</v>
      </c>
      <c r="E6" s="123">
        <f>C6-D6</f>
        <v>695960</v>
      </c>
      <c r="F6" s="22">
        <f>E6/C6</f>
        <v>0.5135895032802249</v>
      </c>
      <c r="G6" s="3"/>
    </row>
    <row r="7" spans="1:16" ht="24.95" customHeight="1" thickBot="1" x14ac:dyDescent="0.35">
      <c r="A7" s="39"/>
      <c r="B7" s="85" t="str">
        <f>'PLĀNOTIE IZDEVUMI'!B10</f>
        <v>Biroja izmaksas</v>
      </c>
      <c r="C7" s="123">
        <f>Biroja_plāns[[#Totals],[GADS]]</f>
        <v>138740</v>
      </c>
      <c r="D7" s="123">
        <f>Biroja_faktiskās_izmaksas[[#Totals],[GADS]]</f>
        <v>69350</v>
      </c>
      <c r="E7" s="123">
        <f>C7-D7</f>
        <v>69390</v>
      </c>
      <c r="F7" s="22">
        <f>E7/C7</f>
        <v>0.50014415453366012</v>
      </c>
    </row>
    <row r="8" spans="1:16" ht="24.95" customHeight="1" thickBot="1" x14ac:dyDescent="0.35">
      <c r="A8" s="39"/>
      <c r="B8" s="21" t="str">
        <f>'PLĀNOTIE IZDEVUMI'!B21</f>
        <v>Mārketinga izmaksas</v>
      </c>
      <c r="C8" s="123">
        <f>Mārketinga_plāns[[#Totals],[GADS]]</f>
        <v>67800</v>
      </c>
      <c r="D8" s="123">
        <f>Mārketinga_faktiskās_izmaksas[[#Totals],[GADS]]</f>
        <v>33159</v>
      </c>
      <c r="E8" s="123">
        <f>C8-D8</f>
        <v>34641</v>
      </c>
      <c r="F8" s="22">
        <f>E8/C8</f>
        <v>0.51092920353982296</v>
      </c>
    </row>
    <row r="9" spans="1:16" ht="24.95" customHeight="1" thickBot="1" x14ac:dyDescent="0.35">
      <c r="A9" s="39"/>
      <c r="B9" s="21" t="str">
        <f>'PLĀNOTIE IZDEVUMI'!B30</f>
        <v>Apmācības/komandējumi</v>
      </c>
      <c r="C9" s="123">
        <f>Apmācību_un_komandējumu_plāns[[#Totals],[GADS]]</f>
        <v>48000</v>
      </c>
      <c r="D9" s="123">
        <f>Apmācību_un_komandējumu_faktiskās_izmaksas[[#Totals],[GADS]]</f>
        <v>21300</v>
      </c>
      <c r="E9" s="123">
        <f>C9-D9</f>
        <v>26700</v>
      </c>
      <c r="F9" s="22">
        <f>E9/C9</f>
        <v>0.55625000000000002</v>
      </c>
    </row>
    <row r="10" spans="1:16" ht="24.95" customHeight="1" x14ac:dyDescent="0.3">
      <c r="A10" s="39"/>
      <c r="B10" s="42" t="str">
        <f>'PLĀNOTIE IZDEVUMI'!B35</f>
        <v>KOPSUMMAS</v>
      </c>
      <c r="C10" s="124">
        <f>'PLĀNOTIE IZDEVUMI'!O36</f>
        <v>1609630</v>
      </c>
      <c r="D10" s="124">
        <f>'FAKTISKIE IZDEVUMI'!O36</f>
        <v>782939</v>
      </c>
      <c r="E10" s="124">
        <f>C10-D10</f>
        <v>826691</v>
      </c>
      <c r="F10" s="43">
        <f>E10/C10</f>
        <v>0.51359070096854553</v>
      </c>
    </row>
    <row r="11" spans="1:16" x14ac:dyDescent="0.3">
      <c r="A11" s="39"/>
      <c r="B11" s="87"/>
      <c r="C11" s="93"/>
      <c r="D11" s="93"/>
      <c r="E11" s="93"/>
      <c r="F11" s="7"/>
    </row>
    <row r="12" spans="1:16" ht="300" customHeight="1" x14ac:dyDescent="0.3">
      <c r="A12" s="39" t="s">
        <v>88</v>
      </c>
      <c r="B12" s="137" t="s">
        <v>90</v>
      </c>
      <c r="C12" s="136"/>
      <c r="D12" s="136" t="s">
        <v>93</v>
      </c>
      <c r="E12" s="136"/>
      <c r="F12" s="136"/>
      <c r="G12"/>
    </row>
    <row r="13" spans="1:16" ht="18.75" customHeight="1" x14ac:dyDescent="0.3">
      <c r="A13" s="39"/>
      <c r="B13" s="88"/>
    </row>
    <row r="14" spans="1:16" ht="409.5" x14ac:dyDescent="0.3">
      <c r="A14" s="39" t="s">
        <v>107</v>
      </c>
      <c r="B14" s="138"/>
      <c r="C14" s="139"/>
      <c r="D14" s="139"/>
      <c r="E14" s="139"/>
      <c r="F14" s="139"/>
    </row>
    <row r="15" spans="1:16" x14ac:dyDescent="0.3">
      <c r="A15" s="39"/>
      <c r="B15" s="138"/>
      <c r="C15" s="139"/>
      <c r="D15" s="139"/>
      <c r="E15" s="139"/>
      <c r="F15" s="139"/>
    </row>
    <row r="16" spans="1:16" x14ac:dyDescent="0.3">
      <c r="A16" s="39"/>
      <c r="B16" s="138"/>
      <c r="C16" s="139"/>
      <c r="D16" s="139"/>
      <c r="E16" s="139"/>
      <c r="F16" s="139"/>
    </row>
    <row r="17" spans="1:6" x14ac:dyDescent="0.3">
      <c r="A17" s="39"/>
      <c r="B17" s="138"/>
      <c r="C17" s="139"/>
      <c r="D17" s="139"/>
      <c r="E17" s="139"/>
      <c r="F17" s="139"/>
    </row>
    <row r="18" spans="1:6" x14ac:dyDescent="0.3">
      <c r="A18" s="39"/>
      <c r="B18" s="138"/>
      <c r="C18" s="139"/>
      <c r="D18" s="139"/>
      <c r="E18" s="139"/>
      <c r="F18" s="139"/>
    </row>
    <row r="19" spans="1:6" x14ac:dyDescent="0.3">
      <c r="A19" s="39"/>
      <c r="B19" s="139"/>
      <c r="C19" s="139"/>
      <c r="D19" s="139"/>
      <c r="E19" s="139"/>
      <c r="F19" s="139"/>
    </row>
    <row r="20" spans="1:6" x14ac:dyDescent="0.3">
      <c r="A20" s="39"/>
      <c r="B20" s="139"/>
      <c r="C20" s="139"/>
      <c r="D20" s="139"/>
      <c r="E20" s="139"/>
      <c r="F20" s="139"/>
    </row>
    <row r="21" spans="1:6" x14ac:dyDescent="0.3">
      <c r="A21" s="39"/>
      <c r="B21" s="139"/>
      <c r="C21" s="139"/>
      <c r="D21" s="139"/>
      <c r="E21" s="139"/>
      <c r="F21" s="139"/>
    </row>
    <row r="22" spans="1:6" x14ac:dyDescent="0.3">
      <c r="A22" s="39"/>
      <c r="B22" s="138"/>
      <c r="C22" s="139"/>
      <c r="D22" s="139"/>
      <c r="E22" s="139"/>
      <c r="F22" s="139"/>
    </row>
    <row r="23" spans="1:6" x14ac:dyDescent="0.3">
      <c r="A23" s="39"/>
      <c r="B23" s="138"/>
      <c r="C23" s="139"/>
      <c r="D23" s="139"/>
      <c r="E23" s="139"/>
      <c r="F23" s="139"/>
    </row>
    <row r="24" spans="1:6" x14ac:dyDescent="0.3">
      <c r="A24" s="39"/>
      <c r="B24" s="138"/>
      <c r="C24" s="139"/>
      <c r="D24" s="139"/>
      <c r="E24" s="139"/>
      <c r="F24" s="139"/>
    </row>
    <row r="25" spans="1:6" x14ac:dyDescent="0.3">
      <c r="A25" s="39"/>
      <c r="B25" s="138"/>
      <c r="C25" s="139"/>
      <c r="D25" s="139"/>
      <c r="E25" s="139"/>
      <c r="F25" s="139"/>
    </row>
    <row r="26" spans="1:6" x14ac:dyDescent="0.3">
      <c r="A26" s="39"/>
      <c r="B26" s="138"/>
      <c r="C26" s="139"/>
      <c r="D26" s="139"/>
      <c r="E26" s="139"/>
      <c r="F26" s="139"/>
    </row>
    <row r="27" spans="1:6" x14ac:dyDescent="0.3">
      <c r="A27" s="39"/>
      <c r="B27" s="138"/>
      <c r="C27" s="139"/>
      <c r="D27" s="139"/>
      <c r="E27" s="139"/>
      <c r="F27" s="139"/>
    </row>
    <row r="28" spans="1:6" x14ac:dyDescent="0.3">
      <c r="A28" s="39"/>
      <c r="B28" s="139"/>
      <c r="C28" s="139"/>
      <c r="D28" s="139"/>
      <c r="E28" s="139"/>
      <c r="F28" s="139"/>
    </row>
    <row r="29" spans="1:6" x14ac:dyDescent="0.3">
      <c r="A29" s="39"/>
      <c r="B29" s="139"/>
      <c r="C29" s="139"/>
      <c r="D29" s="139"/>
      <c r="E29" s="139"/>
      <c r="F29" s="139"/>
    </row>
    <row r="30" spans="1:6" x14ac:dyDescent="0.3">
      <c r="A30" s="39"/>
      <c r="B30" s="139"/>
      <c r="C30" s="139"/>
      <c r="D30" s="139"/>
      <c r="E30" s="139"/>
      <c r="F30" s="139"/>
    </row>
    <row r="31" spans="1:6" x14ac:dyDescent="0.3">
      <c r="A31" s="39"/>
      <c r="B31" s="138"/>
      <c r="C31" s="139"/>
      <c r="D31" s="139"/>
      <c r="E31" s="139"/>
      <c r="F31" s="139"/>
    </row>
    <row r="32" spans="1:6" x14ac:dyDescent="0.3">
      <c r="A32" s="39"/>
      <c r="B32" s="138"/>
      <c r="C32" s="139"/>
      <c r="D32" s="139"/>
      <c r="E32" s="139"/>
      <c r="F32" s="139"/>
    </row>
    <row r="33" spans="1:6" x14ac:dyDescent="0.3">
      <c r="A33" s="39"/>
      <c r="B33" s="139"/>
      <c r="C33" s="139"/>
      <c r="D33" s="139"/>
      <c r="E33" s="139"/>
      <c r="F33" s="139"/>
    </row>
    <row r="34" spans="1:6" x14ac:dyDescent="0.3">
      <c r="A34" s="39"/>
      <c r="B34" s="139"/>
      <c r="C34" s="139"/>
      <c r="D34" s="139"/>
      <c r="E34" s="139"/>
      <c r="F34" s="139"/>
    </row>
    <row r="35" spans="1:6" x14ac:dyDescent="0.3">
      <c r="A35" s="39"/>
      <c r="B35" s="139"/>
      <c r="C35" s="139"/>
      <c r="D35" s="139"/>
      <c r="E35" s="139"/>
      <c r="F35" s="139"/>
    </row>
    <row r="36" spans="1:6" x14ac:dyDescent="0.3">
      <c r="A36" s="39"/>
      <c r="B36" s="140"/>
      <c r="C36" s="139"/>
      <c r="D36" s="139"/>
      <c r="E36" s="139"/>
      <c r="F36" s="139"/>
    </row>
    <row r="37" spans="1:6" x14ac:dyDescent="0.3">
      <c r="A37" s="39"/>
      <c r="B37" s="140"/>
      <c r="C37" s="139"/>
      <c r="D37" s="139"/>
      <c r="E37" s="139"/>
      <c r="F37" s="139"/>
    </row>
    <row r="38" spans="1:6" x14ac:dyDescent="0.3">
      <c r="A38" s="39"/>
    </row>
    <row r="39" spans="1:6" x14ac:dyDescent="0.3">
      <c r="A39" s="39"/>
    </row>
  </sheetData>
  <mergeCells count="6">
    <mergeCell ref="D12:F12"/>
    <mergeCell ref="B12:C12"/>
    <mergeCell ref="B14:F37"/>
    <mergeCell ref="B2:D3"/>
    <mergeCell ref="E3:G3"/>
    <mergeCell ref="F2:G2"/>
  </mergeCells>
  <printOptions horizontalCentered="1"/>
  <pageMargins left="0.4" right="0.4" top="0.4" bottom="0.4" header="0.3" footer="0.3"/>
  <pageSetup paperSize="9" orientation="portrait" r:id="rId1"/>
  <ignoredErrors>
    <ignoredError sqref="B2"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5</vt:i4>
      </vt:variant>
      <vt:variant>
        <vt:lpstr>Diapazoni ar nosaukumiem</vt:lpstr>
      </vt:variant>
      <vt:variant>
        <vt:i4>1</vt:i4>
      </vt:variant>
    </vt:vector>
  </HeadingPairs>
  <TitlesOfParts>
    <vt:vector size="6" baseType="lpstr">
      <vt:lpstr>SĀKUMS</vt:lpstr>
      <vt:lpstr>PLĀNOTIE IZDEVUMI</vt:lpstr>
      <vt:lpstr>FAKTISKIE IZDEVUMI</vt:lpstr>
      <vt:lpstr>IZDEVUMU NOVIRZES</vt:lpstr>
      <vt:lpstr>IZDEVUMU ANALĪZE</vt:lpstr>
      <vt:lpstr>darblapas_nosaukums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2018-05-30T05:56:59Z</dcterms:created>
  <dcterms:modified xsi:type="dcterms:W3CDTF">2018-09-18T06:27:21Z</dcterms:modified>
</cp:coreProperties>
</file>

<file path=docProps/custom.xml><?xml version="1.0" encoding="utf-8"?>
<Properties xmlns="http://schemas.openxmlformats.org/officeDocument/2006/custom-properties" xmlns:vt="http://schemas.openxmlformats.org/officeDocument/2006/docPropsVTypes"/>
</file>