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C:\Users\admin\Desktop\pt-BR\"/>
    </mc:Choice>
  </mc:AlternateContent>
  <bookViews>
    <workbookView xWindow="0" yWindow="0" windowWidth="21600" windowHeight="8325" tabRatio="756" xr2:uid="{00000000-000D-0000-FFFF-FFFF00000000}"/>
  </bookViews>
  <sheets>
    <sheet name="INÍCIO" sheetId="6" r:id="rId1"/>
    <sheet name="DESPESAS PLANEJADAS" sheetId="2" r:id="rId2"/>
    <sheet name="DESPESAS REAIS" sheetId="3" r:id="rId3"/>
    <sheet name="VARIAÇÕES DE DESPESAS" sheetId="4" r:id="rId4"/>
    <sheet name="ANÁLISE DE DESPESAS" sheetId="5" r:id="rId5"/>
  </sheets>
  <definedNames>
    <definedName name="título_da_planilha">'DESPESAS PLANEJADAS'!$J$2</definedName>
  </definedNames>
  <calcPr calcId="162913"/>
</workbook>
</file>

<file path=xl/calcChain.xml><?xml version="1.0" encoding="utf-8"?>
<calcChain xmlns="http://schemas.openxmlformats.org/spreadsheetml/2006/main">
  <c r="E3" i="5" l="1"/>
  <c r="J2" i="4"/>
  <c r="J2" i="3"/>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27" i="2"/>
  <c r="O26" i="2"/>
  <c r="O25" i="2"/>
  <c r="O24" i="2"/>
  <c r="O23" i="2"/>
  <c r="O22" i="2"/>
  <c r="O18" i="2"/>
  <c r="O17" i="2"/>
  <c r="O16" i="2"/>
  <c r="O15" i="2"/>
  <c r="O14" i="2"/>
  <c r="O13" i="2"/>
  <c r="O12" i="2"/>
  <c r="O11" i="2"/>
  <c r="N7" i="2"/>
  <c r="M7" i="2"/>
  <c r="L7" i="2"/>
  <c r="K7" i="2"/>
  <c r="J7" i="2"/>
  <c r="I7" i="2"/>
  <c r="H7" i="2"/>
  <c r="G7" i="2"/>
  <c r="F7" i="2"/>
  <c r="E7" i="2"/>
  <c r="D7" i="2"/>
  <c r="C7" i="2"/>
  <c r="O6" i="2"/>
  <c r="O33" i="2" l="1"/>
  <c r="J8" i="2"/>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C10" i="5" s="1"/>
  <c r="I37" i="2"/>
  <c r="C37" i="2"/>
  <c r="F37" i="2"/>
  <c r="E8" i="5"/>
  <c r="F8" i="5" s="1"/>
  <c r="D37" i="4"/>
  <c r="J37" i="4"/>
  <c r="M37" i="4"/>
  <c r="H37" i="4"/>
  <c r="N37" i="4"/>
  <c r="C37" i="4"/>
  <c r="E37" i="4"/>
  <c r="K37" i="4"/>
  <c r="F37" i="4"/>
  <c r="L37" i="4"/>
  <c r="G37" i="4"/>
  <c r="I37" i="4"/>
  <c r="O19" i="4"/>
  <c r="O28" i="4"/>
  <c r="D9" i="5"/>
  <c r="E9" i="5" s="1"/>
  <c r="F9" i="5" s="1"/>
  <c r="O36" i="3"/>
  <c r="D10" i="5" s="1"/>
  <c r="K37" i="2"/>
  <c r="G37" i="3"/>
  <c r="M37" i="3"/>
  <c r="J37" i="3"/>
  <c r="F37" i="3"/>
  <c r="H37" i="3"/>
  <c r="N37" i="3"/>
  <c r="I37" i="3"/>
  <c r="C37" i="3"/>
  <c r="D37" i="3"/>
  <c r="E37" i="3"/>
  <c r="K37" i="3"/>
  <c r="L37" i="3"/>
  <c r="E7" i="5"/>
  <c r="F7" i="5" s="1"/>
  <c r="N37" i="2"/>
  <c r="H37" i="2"/>
  <c r="M37" i="2"/>
  <c r="L37" i="2"/>
  <c r="G37" i="2"/>
  <c r="E6" i="5"/>
  <c r="F6" i="5" s="1"/>
  <c r="O36" i="4" l="1"/>
  <c r="E10" i="5"/>
  <c r="F10" i="5" s="1"/>
</calcChain>
</file>

<file path=xl/sharedStrings.xml><?xml version="1.0" encoding="utf-8"?>
<sst xmlns="http://schemas.openxmlformats.org/spreadsheetml/2006/main" count="388" uniqueCount="107">
  <si>
    <t>SOBRE ESTE MODELO</t>
  </si>
  <si>
    <t>Use esta pasta de trabalho de Orçamento de despesas comerciais para acompanhar as despesas planejadas e reais e as variações.</t>
  </si>
  <si>
    <t>Preencha com o Nome da empresa e adicione o logotipo.</t>
  </si>
  <si>
    <t>Insira as informações nas tabelas das planilhas Despesas planejadas e Despesas reais.</t>
  </si>
  <si>
    <t>Observação: </t>
  </si>
  <si>
    <t>há instruções adicionais na coluna A de cada planilha. Este texto está oculto de propósito. Para removê-lo, selecione a coluna A e selecione Excluir. Para reexibir o texto, selecione a coluna A e altere a cor da fonte.</t>
  </si>
  <si>
    <t>Saiba mais sobre tabelas pressionando Shift e F10 em uma tabela, selecione a opção TABELA e selecione TEXTO ALTERNATIVO</t>
  </si>
  <si>
    <t>Insira o Nome da empresa na célula à direita e o logotipo na célula N2. O título desta planilha está na célula K2.</t>
  </si>
  <si>
    <t>As dicas estão na célula K3.</t>
  </si>
  <si>
    <t>O rótulo Despesas planejadas está na célula à direita, os meses nas células C4 a N4, o rótulo Ano na célula O4 e as instruções de Como usar este modelo na célula R4.</t>
  </si>
  <si>
    <t>Insira os Custos com funcionários na tabela Planejamento de funcionários, que começa na célula à direita. A próxima instrução está na célula A10.</t>
  </si>
  <si>
    <t>Insira os Custos com escritório na tabela Planejamento do escritório, que começa na célula à direita. A próxima instrução está na célula A21.</t>
  </si>
  <si>
    <t>Os totais são calculados automaticamente na tabela Total planejado, que começa na célula à direita.</t>
  </si>
  <si>
    <t>Nome da empresa</t>
  </si>
  <si>
    <t>DESPESAS PLANEJADAS</t>
  </si>
  <si>
    <t>Custos com funcionários</t>
  </si>
  <si>
    <t>Salários</t>
  </si>
  <si>
    <t>Benefícios</t>
  </si>
  <si>
    <t>Subtotal</t>
  </si>
  <si>
    <t>Custos do escritório</t>
  </si>
  <si>
    <t>Aluguel do escritório</t>
  </si>
  <si>
    <t>Gás</t>
  </si>
  <si>
    <t>Eletricidade</t>
  </si>
  <si>
    <t>Água</t>
  </si>
  <si>
    <t>Telefone</t>
  </si>
  <si>
    <t>Acesso à Internet</t>
  </si>
  <si>
    <t>Material de escritório</t>
  </si>
  <si>
    <t>Segurança</t>
  </si>
  <si>
    <t>Custos de marketing</t>
  </si>
  <si>
    <t>Hospedagem de site</t>
  </si>
  <si>
    <t>Atualizações do site</t>
  </si>
  <si>
    <t>Preparação de materiais de referência</t>
  </si>
  <si>
    <t>Impressão de materiais de referência</t>
  </si>
  <si>
    <t>Eventos de marketing</t>
  </si>
  <si>
    <t>Despesas diversas</t>
  </si>
  <si>
    <t>Viagem/Treinamento</t>
  </si>
  <si>
    <t>Sessões de treinamento</t>
  </si>
  <si>
    <t>Custos com viagens para treinamento</t>
  </si>
  <si>
    <t>TOTAIS</t>
  </si>
  <si>
    <t>Despesas mensais planejadas</t>
  </si>
  <si>
    <t>TOTAL Despesas planejadas</t>
  </si>
  <si>
    <t>JAN</t>
  </si>
  <si>
    <t>Jan</t>
  </si>
  <si>
    <t>FEV</t>
  </si>
  <si>
    <t>Fev</t>
  </si>
  <si>
    <t>MAR</t>
  </si>
  <si>
    <t>Mar</t>
  </si>
  <si>
    <t>ABR</t>
  </si>
  <si>
    <t>Abr</t>
  </si>
  <si>
    <t>MAI</t>
  </si>
  <si>
    <t>Mai</t>
  </si>
  <si>
    <t>JUN</t>
  </si>
  <si>
    <t>Jun</t>
  </si>
  <si>
    <t>JUL</t>
  </si>
  <si>
    <t>Jul</t>
  </si>
  <si>
    <t>AGO</t>
  </si>
  <si>
    <t>Ago</t>
  </si>
  <si>
    <t>Estimativas detalhadas de despesas</t>
  </si>
  <si>
    <t>As células sombreadas são cálculos.</t>
  </si>
  <si>
    <t>SET</t>
  </si>
  <si>
    <t>Set</t>
  </si>
  <si>
    <t>OUT</t>
  </si>
  <si>
    <t>Out</t>
  </si>
  <si>
    <t>NOV</t>
  </si>
  <si>
    <t>Nov</t>
  </si>
  <si>
    <t>O espaço reservado para o logotipo está nesta célula.</t>
  </si>
  <si>
    <t>DEZ</t>
  </si>
  <si>
    <t>Dez</t>
  </si>
  <si>
    <t>ANO</t>
  </si>
  <si>
    <t>Ano</t>
  </si>
  <si>
    <t xml:space="preserve"> </t>
  </si>
  <si>
    <t>Dica: COMO USAR ESTE MODELO
Insira os dados nas células em branco das planilhas DESPESAS PLANEJADAS e DESPESAS REAIS e as VARIAÇÕES DE DESPESAS e ANÁLISES DE DESPESAS serão calculadas para você. Caso você adicione uma linha em uma planilha, precisa haver correspondência com as outras planilhas.</t>
  </si>
  <si>
    <t>O Nome da empresa é atualizado automaticamente na célula à direita. O título desta planilha está na célula K2. Insira o logotipo na célula N2.</t>
  </si>
  <si>
    <t>O rótulo Despesas reais está na célula à direita, os meses nas células C4 a N4 e o rótulo Ano na célula O4.</t>
  </si>
  <si>
    <t>Insira os Custos com funcionários na tabela Real funcionários, que começa na célula à direita. A próxima instrução está na célula A10.</t>
  </si>
  <si>
    <t>Insira os custos com viagens ou treinamentos na tabela Real viagem e treinamento, que começa na célula à direita. A próxima instrução está na célula A35.</t>
  </si>
  <si>
    <t>DESPESAS REAIS</t>
  </si>
  <si>
    <t>Despesas mensais reais</t>
  </si>
  <si>
    <t>TOTAL Despesas reais</t>
  </si>
  <si>
    <t>O rótulo Variações de despesas está na célula à direita, os meses nas células C4 a N4 e o rótulo Ano na célula O4.</t>
  </si>
  <si>
    <t>A variação nos Custos com funcionários é calculada automaticamente na tabela Variações de funcionários que começa na célula à direita. A próxima instrução está na célula A10.</t>
  </si>
  <si>
    <t>A variação nos Custos com viagens ou treinamentos é calculada automaticamente na tabela Variações de viagens e treinamentos, que começa na célula à direita. A próxima instrução está na célula A35.</t>
  </si>
  <si>
    <t>VARIAÇÕES DE DESPESAS</t>
  </si>
  <si>
    <t xml:space="preserve">As Despesas anuais planejadas e reais, as Variações de despesas e a Porcentagem de variação são atualizadas automaticamente para cada Categoria de despesa nesta planilha. Instruções úteis sobre como usar esta planilha estão nas células desta coluna. Pressione Seta para baixo para começar. </t>
  </si>
  <si>
    <t>O Nome da empresa é atualizado automaticamente na célula à direita. Insira o logotipo na célula F2.</t>
  </si>
  <si>
    <t>O título desta planilha está na célula E3. A próxima instrução está na célula A5.</t>
  </si>
  <si>
    <t>As Despesas planejadas, as Despesas reais, as Variações de despesas e a Porcentagem de variação são calculadas automaticamente na tabela Análise, que começa na célula à direita. A próxima instrução está na célula A12.</t>
  </si>
  <si>
    <t>O gráfico de pizza Despesas planejadas está na célula à direita e o gráfico Despesas reais, na célula D12. A próxima instrução está na célula A14.</t>
  </si>
  <si>
    <t>Categoria de despesas</t>
  </si>
  <si>
    <t>O gráfico de pizza mostrando as despesas planejadas nas várias categorias está nesta célula.</t>
  </si>
  <si>
    <t>Despesas planejadas</t>
  </si>
  <si>
    <t>Despesas reais</t>
  </si>
  <si>
    <t>O gráfico de pizza mostrando as despesas reais nas várias categorias está nesta célula.</t>
  </si>
  <si>
    <t>Variações de despesas</t>
  </si>
  <si>
    <t>Porcentagem de variação</t>
  </si>
  <si>
    <t>As tabelas são atualizadas automaticamente na planilha Variações de despesas e os gráficos na planilha Análise de despesas</t>
  </si>
  <si>
    <t>Insira os Custos com funcionários, os Custos do escritório, os Custos de marketing e os Custos com viagens ou treinamentos nas respectivas tabelas nesta planilha. Os totais são calculados automaticamente. Instruções úteis sobre como usar esta planilha estão nas células desta coluna. Pressione Seta para baixo para começar.</t>
  </si>
  <si>
    <t>Insira os Custos de marketing na tabela Planejamento de marketing, que começa na célula à direita. A próxima instrução está na célula A30.</t>
  </si>
  <si>
    <t>Insira os Custos com viagens e treinamentos na tabela Planejamento viagem e treinamento, que começa na célula à direita. A próxima instrução está na célula A35.</t>
  </si>
  <si>
    <t>Insira os custos do escritório na tabela Real escritório, que começa na célula à direita. A próxima instrução está na célula A21.</t>
  </si>
  <si>
    <t>Insira os custos de marketing na tabela Real marketing, que começa na célula à direita. A próxima instrução está na célula A30.</t>
  </si>
  <si>
    <t>As despesas reais totais são calculadas automaticamente na tabela Total real que começa na célula à direita.</t>
  </si>
  <si>
    <t>As Variações de despesas são calculadas automaticamente nesta planilha para Custos com funcionários, Custos do escritório, Custos de marketing e Custos com viagens ou treinamento nas respectivas tabelas desta planilha. Instruções úteis sobre como usar esta planilha estão nas células desta coluna. Pressione Seta para baixo para começar.</t>
  </si>
  <si>
    <t>A variação nos Custos do escritório é calculada automaticamente na tabela Variações do escritório que começa na célula à direita. A próxima instrução está na célula A21.</t>
  </si>
  <si>
    <t>A variação nos Custos de marketing é calculada automaticamente na tabela Variações de marketing que começa na célula à direita. A próxima instrução está na célula A30.</t>
  </si>
  <si>
    <t>A Variações de despesas é calculada automaticamente na tabela Variações totais que começa na célula à direita.</t>
  </si>
  <si>
    <t>O gráfico mostrando as Despesas mensais planejadas, as Despesas mensais reais e as Variação nas despesas mensais está na célula à direita.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</si>
</sst>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R$&quot;\ #,##0.00;[Red]\-&quot;R$&quot;\ #,##0.00"/>
    <numFmt numFmtId="42" formatCode="_-&quot;R$&quot;\ * #,##0_-;\-&quot;R$&quot;\ * #,##0_-;_-&quot;R$&quot;\ * &quot;-&quot;_-;_-@_-"/>
    <numFmt numFmtId="44" formatCode="_-&quot;R$&quot;\ * #,##0.00_-;\-&quot;R$&quot;\ * #,##0.00_-;_-&quot;R$&quot;\ * &quot;-&quot;??_-;_-@_-"/>
    <numFmt numFmtId="164" formatCode="_(* #,##0_);_(* \(#,##0\);_(* &quot;-&quot;_);_(@_)"/>
    <numFmt numFmtId="165" formatCode="_(* #,##0.00_);_(* \(#,##0.00\);_(* &quot;-&quot;??_);_(@_)"/>
    <numFmt numFmtId="166" formatCode="&quot;R$&quot;\ #,##0.00;[Red]&quot;R$&quot;\ #,##0.00"/>
  </numFmts>
  <fonts count="54" x14ac:knownFonts="1">
    <font>
      <sz val="9"/>
      <color theme="1" tint="0.24994659260841701"/>
      <name val="Microsoft Sans Serif"/>
      <family val="2"/>
      <scheme val="minor"/>
    </font>
    <font>
      <sz val="11"/>
      <color theme="1"/>
      <name val="Microsoft Sans Serif"/>
      <family val="2"/>
      <scheme val="minor"/>
    </font>
    <font>
      <sz val="14"/>
      <color theme="1"/>
      <name val="Microsoft Sans Serif"/>
      <family val="2"/>
      <scheme val="minor"/>
    </font>
    <font>
      <b/>
      <sz val="14"/>
      <color theme="1"/>
      <name val="Microsoft Sans Serif"/>
      <family val="2"/>
      <scheme val="minor"/>
    </font>
    <font>
      <sz val="10"/>
      <color theme="1"/>
      <name val="Microsoft Sans Serif"/>
      <family val="2"/>
      <scheme val="minor"/>
    </font>
    <font>
      <b/>
      <u/>
      <sz val="10"/>
      <color theme="1"/>
      <name val="Microsoft Sans Serif"/>
      <family val="2"/>
      <scheme val="minor"/>
    </font>
    <font>
      <b/>
      <sz val="10"/>
      <color theme="1"/>
      <name val="Microsoft Sans Serif"/>
      <family val="2"/>
      <scheme val="minor"/>
    </font>
    <font>
      <b/>
      <i/>
      <sz val="10"/>
      <color theme="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b/>
      <sz val="14"/>
      <color theme="0"/>
      <name val="Franklin Gothic Book"/>
      <family val="2"/>
      <scheme val="major"/>
    </font>
    <font>
      <i/>
      <sz val="11"/>
      <color theme="3" tint="0.79998168889431442"/>
      <name val="Microsoft Sans Serif"/>
      <family val="2"/>
      <scheme val="minor"/>
    </font>
    <font>
      <b/>
      <sz val="36"/>
      <color theme="0"/>
      <name val="Franklin Gothic Book"/>
      <family val="2"/>
      <scheme val="major"/>
    </font>
    <font>
      <sz val="9"/>
      <color theme="1"/>
      <name val="Microsoft Sans Serif"/>
      <family val="2"/>
      <scheme val="minor"/>
    </font>
    <font>
      <b/>
      <sz val="9"/>
      <color theme="1"/>
      <name val="Microsoft Sans Serif"/>
      <family val="2"/>
      <scheme val="minor"/>
    </font>
    <font>
      <b/>
      <sz val="10"/>
      <color theme="0"/>
      <name val="Microsoft Sans Serif"/>
      <family val="2"/>
      <scheme val="minor"/>
    </font>
    <font>
      <b/>
      <sz val="16"/>
      <color theme="0"/>
      <name val="Franklin Gothic Book"/>
      <family val="2"/>
      <scheme val="major"/>
    </font>
    <font>
      <sz val="10"/>
      <color theme="1" tint="0.24994659260841701"/>
      <name val="Microsoft Sans Serif"/>
      <family val="2"/>
      <scheme val="minor"/>
    </font>
    <font>
      <b/>
      <sz val="10"/>
      <color theme="1" tint="0.24994659260841701"/>
      <name val="Microsoft Sans Serif"/>
      <family val="2"/>
      <scheme val="minor"/>
    </font>
    <font>
      <sz val="9"/>
      <color theme="6" tint="0.39997558519241921"/>
      <name val="Microsoft Sans Serif"/>
      <family val="2"/>
      <scheme val="minor"/>
    </font>
    <font>
      <b/>
      <sz val="14"/>
      <color theme="2"/>
      <name val="Franklin Gothic Book"/>
      <family val="2"/>
      <scheme val="major"/>
    </font>
    <font>
      <sz val="14"/>
      <color theme="3"/>
      <name val="Microsoft Sans Serif"/>
      <family val="2"/>
      <scheme val="minor"/>
    </font>
    <font>
      <b/>
      <sz val="13"/>
      <color theme="3"/>
      <name val="Franklin Gothic Book"/>
      <family val="2"/>
      <scheme val="major"/>
    </font>
    <font>
      <b/>
      <sz val="14"/>
      <color theme="0"/>
      <name val="Microsoft Sans Serif"/>
      <family val="2"/>
      <scheme val="minor"/>
    </font>
    <font>
      <sz val="9"/>
      <name val="Microsoft Sans Serif"/>
      <family val="2"/>
      <scheme val="minor"/>
    </font>
    <font>
      <b/>
      <sz val="9"/>
      <name val="Microsoft Sans Serif"/>
      <family val="2"/>
      <scheme val="minor"/>
    </font>
    <font>
      <b/>
      <sz val="10"/>
      <name val="Microsoft Sans Serif"/>
      <family val="2"/>
      <scheme val="minor"/>
    </font>
    <font>
      <b/>
      <sz val="10"/>
      <color theme="3" tint="-0.499984740745262"/>
      <name val="Franklin Gothic Book"/>
      <family val="2"/>
      <scheme val="major"/>
    </font>
    <font>
      <b/>
      <sz val="14"/>
      <color theme="3"/>
      <name val="Microsoft Sans Serif"/>
      <family val="2"/>
      <scheme val="minor"/>
    </font>
    <font>
      <b/>
      <sz val="14"/>
      <color theme="3" tint="-0.499984740745262"/>
      <name val="Franklin Gothic Book"/>
      <family val="2"/>
      <scheme val="major"/>
    </font>
    <font>
      <sz val="10"/>
      <color theme="5" tint="0.79998168889431442"/>
      <name val="Microsoft Sans Serif"/>
      <family val="2"/>
      <scheme val="minor"/>
    </font>
    <font>
      <b/>
      <sz val="16"/>
      <color theme="0"/>
      <name val="Arial"/>
      <family val="2"/>
    </font>
    <font>
      <sz val="14"/>
      <color theme="3" tint="-0.249977111117893"/>
      <name val="Microsoft Sans Serif"/>
      <family val="2"/>
      <scheme val="minor"/>
    </font>
    <font>
      <sz val="14"/>
      <color theme="6" tint="0.39997558519241921"/>
      <name val="Microsoft Sans Serif"/>
      <family val="2"/>
      <scheme val="minor"/>
    </font>
    <font>
      <sz val="11"/>
      <color theme="6" tint="0.39997558519241921"/>
      <name val="Calibri"/>
      <family val="2"/>
    </font>
    <font>
      <sz val="11"/>
      <color theme="1" tint="4.9989318521683403E-2"/>
      <name val="Calibri"/>
      <family val="2"/>
    </font>
    <font>
      <b/>
      <sz val="11"/>
      <color theme="1" tint="4.9989318521683403E-2"/>
      <name val="Calibri"/>
      <family val="2"/>
    </font>
    <font>
      <i/>
      <sz val="11"/>
      <color theme="0"/>
      <name val="Microsoft Sans Serif"/>
      <family val="2"/>
      <scheme val="minor"/>
    </font>
    <font>
      <b/>
      <sz val="16"/>
      <color theme="3"/>
      <name val="Franklin Gothic Book"/>
      <family val="2"/>
      <scheme val="major"/>
    </font>
    <font>
      <sz val="14"/>
      <color theme="0"/>
      <name val="Microsoft Sans Serif"/>
      <family val="2"/>
      <scheme val="minor"/>
    </font>
    <font>
      <sz val="9"/>
      <color theme="1" tint="0.24994659260841701"/>
      <name val="Microsoft Sans Serif"/>
      <family val="2"/>
      <scheme val="minor"/>
    </font>
    <font>
      <sz val="18"/>
      <color theme="3"/>
      <name val="Franklin Gothic Book"/>
      <family val="2"/>
      <scheme val="major"/>
    </font>
    <font>
      <sz val="11"/>
      <color rgb="FF006100"/>
      <name val="Microsoft Sans Serif"/>
      <family val="2"/>
      <scheme val="minor"/>
    </font>
    <font>
      <sz val="11"/>
      <color rgb="FF9C0006"/>
      <name val="Microsoft Sans Serif"/>
      <family val="2"/>
      <scheme val="minor"/>
    </font>
    <font>
      <sz val="11"/>
      <color rgb="FF9C5700"/>
      <name val="Microsoft Sans Serif"/>
      <family val="2"/>
      <scheme val="minor"/>
    </font>
    <font>
      <sz val="11"/>
      <color rgb="FF3F3F76"/>
      <name val="Microsoft Sans Serif"/>
      <family val="2"/>
      <scheme val="minor"/>
    </font>
    <font>
      <b/>
      <sz val="11"/>
      <color rgb="FF3F3F3F"/>
      <name val="Microsoft Sans Serif"/>
      <family val="2"/>
      <scheme val="minor"/>
    </font>
    <font>
      <b/>
      <sz val="11"/>
      <color rgb="FFFA7D00"/>
      <name val="Microsoft Sans Serif"/>
      <family val="2"/>
      <scheme val="minor"/>
    </font>
    <font>
      <sz val="11"/>
      <color rgb="FFFA7D00"/>
      <name val="Microsoft Sans Serif"/>
      <family val="2"/>
      <scheme val="minor"/>
    </font>
    <font>
      <b/>
      <sz val="11"/>
      <color theme="0"/>
      <name val="Microsoft Sans Serif"/>
      <family val="2"/>
      <scheme val="minor"/>
    </font>
    <font>
      <sz val="11"/>
      <color rgb="FFFF0000"/>
      <name val="Microsoft Sans Serif"/>
      <family val="2"/>
      <scheme val="minor"/>
    </font>
    <font>
      <b/>
      <sz val="11"/>
      <color theme="1"/>
      <name val="Microsoft Sans Serif"/>
      <family val="2"/>
      <scheme val="minor"/>
    </font>
    <font>
      <sz val="11"/>
      <color theme="0"/>
      <name val="Microsoft Sans Serif"/>
      <family val="2"/>
      <scheme val="minor"/>
    </font>
  </fonts>
  <fills count="45">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0" borderId="0"/>
    <xf numFmtId="0" fontId="8" fillId="0" borderId="0" applyNumberFormat="0" applyFill="0" applyProtection="0">
      <alignment vertical="center"/>
    </xf>
    <xf numFmtId="0" fontId="17" fillId="4" borderId="0" applyNumberFormat="0" applyProtection="0">
      <alignment vertical="center"/>
    </xf>
    <xf numFmtId="0" fontId="10" fillId="2" borderId="0" applyNumberFormat="0" applyProtection="0">
      <alignment vertical="center"/>
    </xf>
    <xf numFmtId="0" fontId="9" fillId="3" borderId="1" applyNumberFormat="0" applyProtection="0">
      <alignment horizontal="left" vertical="center" indent="1"/>
    </xf>
    <xf numFmtId="0" fontId="12" fillId="0" borderId="0" applyNumberFormat="0" applyFill="0" applyBorder="0" applyAlignment="0" applyProtection="0"/>
    <xf numFmtId="165" fontId="41" fillId="0" borderId="0" applyFont="0" applyFill="0" applyBorder="0" applyAlignment="0" applyProtection="0"/>
    <xf numFmtId="164"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9" fontId="41" fillId="0" borderId="0" applyFont="0" applyFill="0" applyBorder="0" applyAlignment="0" applyProtection="0"/>
    <xf numFmtId="0" fontId="42" fillId="0" borderId="0" applyNumberFormat="0" applyFill="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6" fillId="17" borderId="33" applyNumberFormat="0" applyAlignment="0" applyProtection="0"/>
    <xf numFmtId="0" fontId="47" fillId="18" borderId="34" applyNumberFormat="0" applyAlignment="0" applyProtection="0"/>
    <xf numFmtId="0" fontId="48" fillId="18" borderId="33" applyNumberFormat="0" applyAlignment="0" applyProtection="0"/>
    <xf numFmtId="0" fontId="49" fillId="0" borderId="35" applyNumberFormat="0" applyFill="0" applyAlignment="0" applyProtection="0"/>
    <xf numFmtId="0" fontId="50" fillId="19" borderId="36" applyNumberFormat="0" applyAlignment="0" applyProtection="0"/>
    <xf numFmtId="0" fontId="51" fillId="0" borderId="0" applyNumberFormat="0" applyFill="0" applyBorder="0" applyAlignment="0" applyProtection="0"/>
    <xf numFmtId="0" fontId="41" fillId="20" borderId="37" applyNumberFormat="0" applyFont="0" applyAlignment="0" applyProtection="0"/>
    <xf numFmtId="0" fontId="52" fillId="0" borderId="38" applyNumberFormat="0" applyFill="0" applyAlignment="0" applyProtection="0"/>
    <xf numFmtId="0" fontId="5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cellStyleXfs>
  <cellXfs count="151">
    <xf numFmtId="0" fontId="0" fillId="10" borderId="0" xfId="0"/>
    <xf numFmtId="0" fontId="2" fillId="10" borderId="0" xfId="0" applyFont="1"/>
    <xf numFmtId="0" fontId="4" fillId="10" borderId="0" xfId="0" applyNumberFormat="1" applyFont="1" applyAlignment="1"/>
    <xf numFmtId="0" fontId="2" fillId="10" borderId="0" xfId="0" applyFont="1" applyBorder="1"/>
    <xf numFmtId="0" fontId="4" fillId="10" borderId="0" xfId="0" applyFont="1"/>
    <xf numFmtId="0" fontId="4" fillId="10" borderId="0" xfId="0" applyFont="1" applyBorder="1"/>
    <xf numFmtId="9" fontId="0" fillId="10" borderId="0" xfId="0" applyNumberFormat="1" applyFont="1" applyBorder="1" applyAlignment="1">
      <alignment horizontal="right"/>
    </xf>
    <xf numFmtId="0" fontId="2" fillId="4" borderId="0" xfId="0" applyFont="1" applyFill="1" applyAlignment="1">
      <alignment horizontal="left" vertical="top" indent="1"/>
    </xf>
    <xf numFmtId="0" fontId="3" fillId="4" borderId="0" xfId="0" applyNumberFormat="1" applyFont="1" applyFill="1" applyAlignment="1">
      <alignment horizontal="left" vertical="top" indent="1"/>
    </xf>
    <xf numFmtId="0" fontId="5" fillId="4" borderId="0" xfId="0" applyNumberFormat="1" applyFont="1" applyFill="1" applyAlignment="1">
      <alignment horizontal="left" vertical="top" indent="1"/>
    </xf>
    <xf numFmtId="0" fontId="2" fillId="8" borderId="0" xfId="0" applyFont="1" applyFill="1" applyAlignment="1">
      <alignment horizontal="left" vertical="top" indent="1"/>
    </xf>
    <xf numFmtId="0" fontId="22" fillId="10" borderId="0" xfId="0" applyFont="1"/>
    <xf numFmtId="0" fontId="21" fillId="9" borderId="0" xfId="3" applyNumberFormat="1" applyFont="1" applyFill="1" applyAlignment="1">
      <alignment horizontal="left" vertical="center" indent="1"/>
    </xf>
    <xf numFmtId="0" fontId="16" fillId="4" borderId="5" xfId="0" applyNumberFormat="1" applyFont="1" applyFill="1" applyBorder="1" applyAlignment="1">
      <alignment horizontal="left" vertical="center" indent="1"/>
    </xf>
    <xf numFmtId="0" fontId="4" fillId="10" borderId="4" xfId="0" applyNumberFormat="1" applyFont="1" applyBorder="1" applyAlignment="1"/>
    <xf numFmtId="0" fontId="17" fillId="4" borderId="0" xfId="2" applyNumberFormat="1" applyFont="1" applyFill="1" applyAlignment="1"/>
    <xf numFmtId="0" fontId="10" fillId="6" borderId="0" xfId="3" applyNumberFormat="1" applyFill="1" applyAlignment="1">
      <alignment horizontal="left" vertical="center" indent="2"/>
    </xf>
    <xf numFmtId="0" fontId="10" fillId="5" borderId="0" xfId="3" applyNumberFormat="1" applyFill="1" applyAlignment="1">
      <alignment horizontal="left" vertical="center" indent="2"/>
    </xf>
    <xf numFmtId="0" fontId="10" fillId="7" borderId="0" xfId="3" applyNumberFormat="1" applyFill="1" applyAlignment="1">
      <alignment horizontal="left" vertical="center" indent="2"/>
    </xf>
    <xf numFmtId="0" fontId="10" fillId="4" borderId="0" xfId="3" applyNumberFormat="1" applyFill="1" applyAlignment="1">
      <alignment horizontal="left" vertical="center" indent="2"/>
    </xf>
    <xf numFmtId="0" fontId="0" fillId="11" borderId="2" xfId="0" applyNumberFormat="1" applyFont="1" applyFill="1" applyBorder="1" applyAlignment="1">
      <alignment horizontal="left" vertical="center" indent="2"/>
    </xf>
    <xf numFmtId="9" fontId="0" fillId="11" borderId="2" xfId="0" applyNumberFormat="1" applyFont="1" applyFill="1" applyBorder="1" applyAlignment="1">
      <alignment horizontal="right" vertical="center" indent="2"/>
    </xf>
    <xf numFmtId="0" fontId="23" fillId="12" borderId="0" xfId="3" applyNumberFormat="1" applyFont="1" applyFill="1" applyAlignment="1">
      <alignment horizontal="left"/>
    </xf>
    <xf numFmtId="0" fontId="23" fillId="12" borderId="0" xfId="3" applyNumberFormat="1" applyFont="1" applyFill="1" applyAlignment="1">
      <alignment horizontal="center"/>
    </xf>
    <xf numFmtId="0" fontId="11" fillId="9" borderId="3" xfId="3" applyNumberFormat="1" applyFont="1" applyFill="1" applyBorder="1" applyAlignment="1">
      <alignment horizontal="left" vertical="center" indent="1"/>
    </xf>
    <xf numFmtId="0" fontId="16" fillId="4" borderId="7" xfId="0" applyNumberFormat="1" applyFont="1" applyFill="1" applyBorder="1" applyAlignment="1">
      <alignment horizontal="left" vertical="center" indent="1"/>
    </xf>
    <xf numFmtId="0" fontId="28" fillId="9" borderId="3" xfId="3" applyNumberFormat="1" applyFont="1" applyFill="1" applyBorder="1" applyAlignment="1">
      <alignment vertical="center"/>
    </xf>
    <xf numFmtId="0" fontId="20" fillId="10" borderId="0" xfId="0" applyFont="1" applyAlignment="1">
      <alignment wrapText="1"/>
    </xf>
    <xf numFmtId="0" fontId="21" fillId="9" borderId="3" xfId="3" applyNumberFormat="1" applyFont="1" applyFill="1" applyBorder="1" applyAlignment="1">
      <alignment horizontal="left" vertical="center" indent="1"/>
    </xf>
    <xf numFmtId="0" fontId="30" fillId="9" borderId="0" xfId="3" applyNumberFormat="1" applyFont="1" applyFill="1" applyAlignment="1">
      <alignment vertical="center"/>
    </xf>
    <xf numFmtId="0" fontId="0" fillId="10" borderId="0" xfId="0" applyAlignment="1">
      <alignment vertical="center"/>
    </xf>
    <xf numFmtId="0" fontId="32" fillId="8" borderId="0" xfId="2" applyFont="1" applyFill="1" applyBorder="1" applyAlignment="1">
      <alignment horizontal="center" vertical="center"/>
    </xf>
    <xf numFmtId="0" fontId="34" fillId="10" borderId="0" xfId="0" applyFont="1"/>
    <xf numFmtId="0" fontId="33" fillId="8" borderId="0" xfId="0" applyFont="1" applyFill="1" applyAlignment="1">
      <alignment horizontal="left" vertical="top" wrapText="1"/>
    </xf>
    <xf numFmtId="0" fontId="34" fillId="10" borderId="0" xfId="0" applyFont="1" applyAlignment="1">
      <alignment wrapText="1"/>
    </xf>
    <xf numFmtId="0" fontId="35" fillId="10" borderId="0" xfId="0" applyFont="1" applyAlignment="1">
      <alignment vertical="center" wrapText="1"/>
    </xf>
    <xf numFmtId="0" fontId="2" fillId="10" borderId="0" xfId="0" applyFont="1" applyAlignment="1">
      <alignment wrapText="1"/>
    </xf>
    <xf numFmtId="0" fontId="0" fillId="11" borderId="5" xfId="0" applyNumberFormat="1" applyFont="1" applyFill="1" applyBorder="1" applyAlignment="1">
      <alignment horizontal="left" vertical="center" indent="2"/>
    </xf>
    <xf numFmtId="9" fontId="0" fillId="11" borderId="5" xfId="0" applyNumberFormat="1" applyFont="1" applyFill="1" applyBorder="1" applyAlignment="1">
      <alignment horizontal="right" vertical="center" indent="2"/>
    </xf>
    <xf numFmtId="0" fontId="36" fillId="10" borderId="0" xfId="0" applyFont="1" applyAlignment="1">
      <alignment vertical="center" wrapText="1"/>
    </xf>
    <xf numFmtId="0" fontId="36" fillId="10" borderId="0" xfId="0" applyFont="1" applyAlignment="1">
      <alignment wrapText="1"/>
    </xf>
    <xf numFmtId="0" fontId="37" fillId="10" borderId="0" xfId="0" applyFont="1" applyAlignment="1">
      <alignment vertical="center" wrapText="1"/>
    </xf>
    <xf numFmtId="0" fontId="24" fillId="6" borderId="9" xfId="4" applyNumberFormat="1" applyFont="1" applyFill="1" applyBorder="1" applyAlignment="1">
      <alignment horizontal="left" vertical="center" indent="1"/>
    </xf>
    <xf numFmtId="0" fontId="16" fillId="4" borderId="10" xfId="0" applyNumberFormat="1" applyFont="1" applyFill="1" applyBorder="1" applyAlignment="1">
      <alignment horizontal="left" vertical="center" indent="1"/>
    </xf>
    <xf numFmtId="0" fontId="6" fillId="11" borderId="12" xfId="0" applyFont="1" applyFill="1" applyBorder="1" applyAlignment="1">
      <alignment horizontal="left" vertical="center" indent="1"/>
    </xf>
    <xf numFmtId="0" fontId="6" fillId="11" borderId="12" xfId="0" applyFont="1" applyFill="1" applyBorder="1" applyAlignment="1">
      <alignment horizontal="left" vertical="center" indent="2"/>
    </xf>
    <xf numFmtId="0" fontId="24" fillId="5" borderId="14" xfId="4" applyNumberFormat="1" applyFont="1" applyFill="1" applyBorder="1">
      <alignment horizontal="left" vertical="center" indent="1"/>
    </xf>
    <xf numFmtId="0" fontId="20" fillId="12" borderId="15" xfId="4" applyNumberFormat="1" applyFont="1" applyFill="1" applyBorder="1">
      <alignment horizontal="left" vertical="center" indent="1"/>
    </xf>
    <xf numFmtId="0" fontId="20" fillId="12" borderId="16" xfId="4" applyNumberFormat="1" applyFont="1" applyFill="1" applyBorder="1">
      <alignment horizontal="left" vertical="center" indent="1"/>
    </xf>
    <xf numFmtId="0" fontId="24" fillId="5" borderId="9" xfId="4" applyNumberFormat="1" applyFont="1" applyFill="1" applyBorder="1">
      <alignment horizontal="left" vertical="center" indent="1"/>
    </xf>
    <xf numFmtId="0" fontId="20" fillId="12" borderId="22" xfId="4" applyNumberFormat="1" applyFont="1" applyFill="1" applyBorder="1">
      <alignment horizontal="left" vertical="center" indent="1"/>
    </xf>
    <xf numFmtId="0" fontId="20" fillId="12" borderId="23" xfId="4" applyNumberFormat="1" applyFont="1" applyFill="1" applyBorder="1">
      <alignment horizontal="left" vertical="center" indent="1"/>
    </xf>
    <xf numFmtId="0" fontId="20" fillId="12" borderId="24" xfId="4" applyNumberFormat="1" applyFont="1" applyFill="1" applyBorder="1">
      <alignment horizontal="left" vertical="center" indent="1"/>
    </xf>
    <xf numFmtId="0" fontId="24" fillId="5" borderId="25" xfId="4" applyNumberFormat="1" applyFont="1" applyFill="1" applyBorder="1">
      <alignment horizontal="left" vertical="center" indent="1"/>
    </xf>
    <xf numFmtId="0" fontId="24" fillId="7" borderId="14" xfId="4" applyNumberFormat="1" applyFont="1" applyFill="1" applyBorder="1">
      <alignment horizontal="left" vertical="center" indent="1"/>
    </xf>
    <xf numFmtId="0" fontId="24" fillId="6" borderId="14" xfId="4" applyNumberFormat="1" applyFont="1" applyFill="1" applyBorder="1">
      <alignment horizontal="left" vertical="center" indent="1"/>
    </xf>
    <xf numFmtId="0" fontId="24" fillId="6" borderId="14" xfId="4" applyNumberFormat="1" applyFont="1" applyFill="1" applyBorder="1" applyAlignment="1">
      <alignment horizontal="left" vertical="center" indent="1"/>
    </xf>
    <xf numFmtId="0" fontId="20" fillId="12" borderId="15" xfId="4" applyNumberFormat="1" applyFont="1" applyFill="1" applyBorder="1" applyAlignment="1">
      <alignment horizontal="center" vertical="center"/>
    </xf>
    <xf numFmtId="0" fontId="20" fillId="12" borderId="16" xfId="4" applyNumberFormat="1" applyFont="1" applyFill="1" applyBorder="1" applyAlignment="1">
      <alignment horizontal="center" vertical="center"/>
    </xf>
    <xf numFmtId="0" fontId="20" fillId="12" borderId="14" xfId="4" applyNumberFormat="1" applyFont="1" applyFill="1" applyBorder="1" applyAlignment="1">
      <alignment horizontal="center" vertical="center"/>
    </xf>
    <xf numFmtId="0" fontId="6" fillId="11" borderId="30" xfId="0" applyFont="1" applyFill="1" applyBorder="1" applyAlignment="1">
      <alignment horizontal="left" vertical="center" indent="2"/>
    </xf>
    <xf numFmtId="0" fontId="40" fillId="4" borderId="0" xfId="0" applyFont="1" applyFill="1" applyAlignment="1">
      <alignment horizontal="left" vertical="top" indent="1"/>
    </xf>
    <xf numFmtId="0" fontId="20" fillId="12" borderId="15" xfId="4" applyNumberFormat="1" applyFont="1" applyFill="1" applyBorder="1" applyAlignment="1">
      <alignment horizontal="left" vertical="center" indent="1"/>
    </xf>
    <xf numFmtId="0" fontId="20" fillId="12" borderId="16" xfId="4" applyNumberFormat="1" applyFont="1" applyFill="1" applyBorder="1" applyAlignment="1">
      <alignment horizontal="left" vertical="center" indent="1"/>
    </xf>
    <xf numFmtId="0" fontId="16" fillId="4" borderId="17" xfId="0" applyNumberFormat="1" applyFont="1" applyFill="1" applyBorder="1" applyAlignment="1">
      <alignment horizontal="left" vertical="center" indent="1"/>
    </xf>
    <xf numFmtId="0" fontId="27" fillId="11" borderId="19" xfId="0" applyFont="1" applyFill="1" applyBorder="1" applyAlignment="1">
      <alignment horizontal="left" vertical="center" indent="1"/>
    </xf>
    <xf numFmtId="0" fontId="20" fillId="12" borderId="14" xfId="4" applyNumberFormat="1" applyFont="1" applyFill="1" applyBorder="1" applyAlignment="1">
      <alignment horizontal="left" vertical="center" indent="1"/>
    </xf>
    <xf numFmtId="0" fontId="27" fillId="11" borderId="11" xfId="0" applyFont="1" applyFill="1" applyBorder="1" applyAlignment="1">
      <alignment horizontal="left" vertical="center" indent="1"/>
    </xf>
    <xf numFmtId="0" fontId="27" fillId="11" borderId="19" xfId="0" applyFont="1" applyFill="1" applyBorder="1" applyAlignment="1">
      <alignment horizontal="left" vertical="center" indent="2"/>
    </xf>
    <xf numFmtId="0" fontId="24" fillId="7" borderId="9" xfId="4" applyNumberFormat="1" applyFont="1" applyFill="1" applyBorder="1">
      <alignment horizontal="left" vertical="center" indent="1"/>
    </xf>
    <xf numFmtId="0" fontId="16" fillId="4" borderId="4" xfId="0" applyNumberFormat="1" applyFont="1" applyFill="1" applyBorder="1" applyAlignment="1">
      <alignment horizontal="left" vertical="center" indent="1"/>
    </xf>
    <xf numFmtId="0" fontId="30" fillId="9" borderId="32" xfId="3" applyNumberFormat="1" applyFont="1" applyFill="1" applyBorder="1" applyAlignment="1">
      <alignment vertical="center"/>
    </xf>
    <xf numFmtId="0" fontId="20" fillId="12" borderId="15" xfId="4" applyNumberFormat="1" applyFont="1" applyFill="1" applyBorder="1" applyAlignment="1">
      <alignment horizontal="left"/>
    </xf>
    <xf numFmtId="0" fontId="20" fillId="12" borderId="16" xfId="4" applyNumberFormat="1" applyFont="1" applyFill="1" applyBorder="1" applyAlignment="1">
      <alignment horizontal="left"/>
    </xf>
    <xf numFmtId="0" fontId="19" fillId="11" borderId="19" xfId="0" applyNumberFormat="1" applyFont="1" applyFill="1" applyBorder="1" applyAlignment="1">
      <alignment horizontal="left" vertical="center" indent="1"/>
    </xf>
    <xf numFmtId="0" fontId="18" fillId="11" borderId="19" xfId="0" applyNumberFormat="1" applyFont="1" applyFill="1" applyBorder="1" applyAlignment="1">
      <alignment horizontal="left" vertical="center" indent="2"/>
    </xf>
    <xf numFmtId="0" fontId="6" fillId="11" borderId="19" xfId="0" applyNumberFormat="1" applyFont="1" applyFill="1" applyBorder="1" applyAlignment="1">
      <alignment horizontal="left" vertical="center" indent="1"/>
    </xf>
    <xf numFmtId="0" fontId="19" fillId="11" borderId="19" xfId="0" applyNumberFormat="1" applyFont="1" applyFill="1" applyBorder="1" applyAlignment="1">
      <alignment horizontal="left" vertical="center" indent="2"/>
    </xf>
    <xf numFmtId="0" fontId="0" fillId="11" borderId="2" xfId="0" applyNumberFormat="1" applyFont="1" applyFill="1" applyBorder="1" applyAlignment="1">
      <alignment horizontal="left" vertical="center" indent="1"/>
    </xf>
    <xf numFmtId="0" fontId="16" fillId="4" borderId="26" xfId="0" applyNumberFormat="1" applyFont="1" applyFill="1" applyBorder="1" applyAlignment="1">
      <alignment horizontal="left" vertical="center" indent="1"/>
    </xf>
    <xf numFmtId="0" fontId="0" fillId="10" borderId="0" xfId="0" applyNumberFormat="1" applyFont="1" applyBorder="1" applyAlignment="1">
      <alignment horizontal="left" indent="1"/>
    </xf>
    <xf numFmtId="0" fontId="4" fillId="10" borderId="0" xfId="0" applyFont="1" applyAlignment="1">
      <alignment horizontal="left"/>
    </xf>
    <xf numFmtId="166" fontId="0" fillId="10" borderId="0" xfId="0" applyNumberFormat="1" applyFont="1" applyBorder="1" applyAlignment="1">
      <alignment horizontal="right"/>
    </xf>
    <xf numFmtId="0" fontId="20" fillId="10" borderId="0" xfId="0" applyFont="1" applyAlignment="1">
      <alignment wrapText="1"/>
    </xf>
    <xf numFmtId="0" fontId="20" fillId="10" borderId="0" xfId="0" applyFont="1"/>
    <xf numFmtId="0" fontId="29" fillId="4" borderId="0" xfId="0" applyNumberFormat="1" applyFont="1" applyFill="1" applyAlignment="1">
      <alignment horizontal="center" vertical="top"/>
    </xf>
    <xf numFmtId="0" fontId="17" fillId="4" borderId="0" xfId="2" applyNumberFormat="1" applyFont="1" applyFill="1" applyAlignment="1">
      <alignment horizontal="left" indent="1"/>
    </xf>
    <xf numFmtId="0" fontId="6" fillId="10" borderId="0" xfId="0" applyNumberFormat="1" applyFont="1" applyBorder="1" applyAlignment="1">
      <alignment horizontal="center"/>
    </xf>
    <xf numFmtId="0" fontId="4" fillId="10" borderId="0" xfId="0" applyNumberFormat="1" applyFont="1" applyBorder="1" applyAlignment="1">
      <alignment horizontal="center"/>
    </xf>
    <xf numFmtId="0" fontId="13" fillId="8" borderId="0" xfId="1" applyNumberFormat="1" applyFont="1" applyFill="1" applyAlignment="1">
      <alignment horizontal="left" vertical="top" indent="1"/>
    </xf>
    <xf numFmtId="0" fontId="12" fillId="4" borderId="0" xfId="5" applyNumberFormat="1" applyFill="1" applyAlignment="1">
      <alignment horizontal="left" vertical="top" indent="1"/>
    </xf>
    <xf numFmtId="0" fontId="38" fillId="4" borderId="0" xfId="5" applyNumberFormat="1" applyFont="1" applyFill="1" applyAlignment="1">
      <alignment horizontal="left" vertical="top" indent="1"/>
    </xf>
    <xf numFmtId="0" fontId="6" fillId="10" borderId="0" xfId="0" applyNumberFormat="1" applyFont="1" applyAlignment="1">
      <alignment horizontal="center"/>
    </xf>
    <xf numFmtId="0" fontId="4" fillId="10" borderId="0" xfId="0" applyNumberFormat="1" applyFont="1" applyAlignment="1">
      <alignment horizontal="center"/>
    </xf>
    <xf numFmtId="0" fontId="31" fillId="11" borderId="0" xfId="0" applyFont="1" applyFill="1" applyAlignment="1">
      <alignment horizontal="center"/>
    </xf>
    <xf numFmtId="0" fontId="31" fillId="11" borderId="0" xfId="0" applyFont="1" applyFill="1" applyAlignment="1">
      <alignment horizontal="left"/>
    </xf>
    <xf numFmtId="0" fontId="4" fillId="10" borderId="0" xfId="0" applyFont="1" applyAlignment="1">
      <alignment horizontal="left"/>
    </xf>
    <xf numFmtId="0" fontId="4" fillId="10" borderId="0" xfId="0" applyFont="1" applyAlignment="1">
      <alignment horizontal="center"/>
    </xf>
    <xf numFmtId="0" fontId="4" fillId="10" borderId="0" xfId="0" applyFont="1" applyAlignment="1">
      <alignment horizontal="left" indent="1"/>
    </xf>
    <xf numFmtId="0" fontId="17" fillId="4" borderId="0" xfId="2" applyNumberFormat="1" applyFont="1" applyFill="1" applyAlignment="1">
      <alignment horizontal="right" vertical="center" indent="3"/>
    </xf>
    <xf numFmtId="0" fontId="39" fillId="4" borderId="0" xfId="2" applyNumberFormat="1" applyFont="1" applyFill="1" applyAlignment="1">
      <alignment horizontal="center" wrapText="1"/>
    </xf>
    <xf numFmtId="8" fontId="14" fillId="13" borderId="17" xfId="0" applyNumberFormat="1" applyFont="1" applyFill="1" applyBorder="1" applyAlignment="1">
      <alignment horizontal="right" vertical="center"/>
    </xf>
    <xf numFmtId="8" fontId="14" fillId="13" borderId="13" xfId="0" applyNumberFormat="1" applyFont="1" applyFill="1" applyBorder="1" applyAlignment="1">
      <alignment horizontal="right" vertical="center"/>
    </xf>
    <xf numFmtId="8" fontId="14" fillId="11" borderId="18" xfId="0" applyNumberFormat="1" applyFont="1" applyFill="1" applyBorder="1" applyAlignment="1">
      <alignment horizontal="right" vertical="center"/>
    </xf>
    <xf numFmtId="8" fontId="14" fillId="11" borderId="19" xfId="0" applyNumberFormat="1" applyFont="1" applyFill="1" applyBorder="1" applyAlignment="1">
      <alignment horizontal="right" vertical="center"/>
    </xf>
    <xf numFmtId="8" fontId="14" fillId="11" borderId="20" xfId="0" applyNumberFormat="1" applyFont="1" applyFill="1" applyBorder="1" applyAlignment="1">
      <alignment horizontal="right" vertical="center"/>
    </xf>
    <xf numFmtId="8" fontId="14" fillId="11" borderId="21" xfId="0" applyNumberFormat="1" applyFont="1" applyFill="1" applyBorder="1" applyAlignment="1">
      <alignment horizontal="right" vertical="center"/>
    </xf>
    <xf numFmtId="8" fontId="14" fillId="11" borderId="27" xfId="0" applyNumberFormat="1" applyFont="1" applyFill="1" applyBorder="1" applyAlignment="1">
      <alignment horizontal="right" vertical="center"/>
    </xf>
    <xf numFmtId="8" fontId="14" fillId="11" borderId="28" xfId="0" applyNumberFormat="1" applyFont="1" applyFill="1" applyBorder="1" applyAlignment="1">
      <alignment horizontal="right" vertical="center"/>
    </xf>
    <xf numFmtId="8" fontId="14" fillId="11" borderId="29" xfId="0" applyNumberFormat="1" applyFont="1" applyFill="1" applyBorder="1" applyAlignment="1">
      <alignment horizontal="right" vertical="center"/>
    </xf>
    <xf numFmtId="8" fontId="0" fillId="13" borderId="17" xfId="0" applyNumberFormat="1" applyFont="1" applyFill="1" applyBorder="1" applyAlignment="1">
      <alignment horizontal="right" vertical="center"/>
    </xf>
    <xf numFmtId="8" fontId="0" fillId="13" borderId="13" xfId="0" applyNumberFormat="1" applyFont="1" applyFill="1" applyBorder="1" applyAlignment="1">
      <alignment horizontal="right" vertical="center"/>
    </xf>
    <xf numFmtId="8" fontId="0" fillId="11" borderId="18" xfId="0" applyNumberFormat="1" applyFont="1" applyFill="1" applyBorder="1" applyAlignment="1">
      <alignment horizontal="right" vertical="center"/>
    </xf>
    <xf numFmtId="8" fontId="0" fillId="11" borderId="19" xfId="0" applyNumberFormat="1" applyFont="1" applyFill="1" applyBorder="1" applyAlignment="1">
      <alignment horizontal="right" vertical="center"/>
    </xf>
    <xf numFmtId="8" fontId="0" fillId="11" borderId="20" xfId="0" applyNumberFormat="1" applyFont="1" applyFill="1" applyBorder="1" applyAlignment="1">
      <alignment horizontal="right" vertical="center"/>
    </xf>
    <xf numFmtId="8" fontId="0" fillId="11" borderId="21" xfId="0" applyNumberFormat="1" applyFont="1" applyFill="1" applyBorder="1" applyAlignment="1">
      <alignment horizontal="right" vertical="center"/>
    </xf>
    <xf numFmtId="8" fontId="15" fillId="11" borderId="5" xfId="0" applyNumberFormat="1" applyFont="1" applyFill="1" applyBorder="1" applyAlignment="1">
      <alignment horizontal="right" vertical="center"/>
    </xf>
    <xf numFmtId="8" fontId="15" fillId="11" borderId="2" xfId="0" applyNumberFormat="1" applyFont="1" applyFill="1" applyBorder="1" applyAlignment="1">
      <alignment horizontal="right" vertical="center"/>
    </xf>
    <xf numFmtId="8" fontId="0" fillId="11" borderId="19" xfId="0" applyNumberFormat="1" applyFont="1" applyFill="1" applyBorder="1" applyAlignment="1">
      <alignment vertical="center"/>
    </xf>
    <xf numFmtId="8" fontId="0" fillId="11" borderId="20" xfId="0" applyNumberFormat="1" applyFont="1" applyFill="1" applyBorder="1" applyAlignment="1">
      <alignment vertical="center"/>
    </xf>
    <xf numFmtId="8" fontId="0" fillId="11" borderId="21" xfId="0" applyNumberFormat="1" applyFont="1" applyFill="1" applyBorder="1" applyAlignment="1">
      <alignment vertical="center"/>
    </xf>
    <xf numFmtId="8" fontId="25" fillId="11" borderId="20" xfId="0" applyNumberFormat="1" applyFont="1" applyFill="1" applyBorder="1" applyAlignment="1">
      <alignment horizontal="right" vertical="center"/>
    </xf>
    <xf numFmtId="8" fontId="15" fillId="11" borderId="31" xfId="0" applyNumberFormat="1" applyFont="1" applyFill="1" applyBorder="1" applyAlignment="1">
      <alignment horizontal="right"/>
    </xf>
    <xf numFmtId="8" fontId="15" fillId="11" borderId="2" xfId="0" applyNumberFormat="1" applyFont="1" applyFill="1" applyBorder="1" applyAlignment="1">
      <alignment horizontal="right"/>
    </xf>
    <xf numFmtId="8" fontId="15" fillId="11" borderId="6" xfId="0" applyNumberFormat="1" applyFont="1" applyFill="1" applyBorder="1" applyAlignment="1">
      <alignment horizontal="right"/>
    </xf>
    <xf numFmtId="8" fontId="15" fillId="11" borderId="8" xfId="0" applyNumberFormat="1" applyFont="1" applyFill="1" applyBorder="1" applyAlignment="1">
      <alignment horizontal="right"/>
    </xf>
    <xf numFmtId="8" fontId="15" fillId="11" borderId="5" xfId="0" applyNumberFormat="1" applyFont="1" applyFill="1" applyBorder="1" applyAlignment="1">
      <alignment horizontal="right"/>
    </xf>
    <xf numFmtId="8" fontId="14" fillId="11" borderId="20" xfId="0" applyNumberFormat="1" applyFont="1" applyFill="1" applyBorder="1" applyAlignment="1">
      <alignment vertical="center"/>
    </xf>
    <xf numFmtId="8" fontId="26" fillId="11" borderId="2" xfId="0" applyNumberFormat="1" applyFont="1" applyFill="1" applyBorder="1" applyAlignment="1">
      <alignment horizontal="right"/>
    </xf>
    <xf numFmtId="8" fontId="26" fillId="11" borderId="8" xfId="0" applyNumberFormat="1" applyFont="1" applyFill="1" applyBorder="1" applyAlignment="1">
      <alignment horizontal="right"/>
    </xf>
    <xf numFmtId="0" fontId="33" fillId="8" borderId="0" xfId="0" applyNumberFormat="1" applyFont="1" applyFill="1" applyAlignment="1">
      <alignment horizontal="left" vertical="top" wrapText="1" indent="1"/>
    </xf>
    <xf numFmtId="0" fontId="2" fillId="8" borderId="0" xfId="0" applyNumberFormat="1" applyFont="1" applyFill="1" applyAlignment="1">
      <alignment horizontal="left" vertical="top" indent="1"/>
    </xf>
    <xf numFmtId="0" fontId="2" fillId="4" borderId="0" xfId="0" applyNumberFormat="1" applyFont="1" applyFill="1" applyAlignment="1">
      <alignment horizontal="left" vertical="top" indent="1"/>
    </xf>
    <xf numFmtId="0" fontId="40" fillId="4" borderId="0" xfId="0" applyNumberFormat="1" applyFont="1" applyFill="1" applyAlignment="1">
      <alignment horizontal="left" vertical="top" indent="1"/>
    </xf>
    <xf numFmtId="0" fontId="2" fillId="10" borderId="0" xfId="0" applyNumberFormat="1" applyFont="1"/>
    <xf numFmtId="0" fontId="33" fillId="8" borderId="0" xfId="0" applyNumberFormat="1" applyFont="1" applyFill="1" applyAlignment="1">
      <alignment horizontal="left" vertical="top" indent="1"/>
    </xf>
    <xf numFmtId="0" fontId="3" fillId="8" borderId="0" xfId="0" applyNumberFormat="1" applyFont="1" applyFill="1" applyAlignment="1">
      <alignment horizontal="left" vertical="top" indent="1"/>
    </xf>
    <xf numFmtId="0" fontId="5" fillId="8" borderId="0" xfId="0" applyNumberFormat="1" applyFont="1" applyFill="1" applyAlignment="1">
      <alignment horizontal="left" vertical="top" indent="1"/>
    </xf>
    <xf numFmtId="0" fontId="34" fillId="10" borderId="0" xfId="0" applyNumberFormat="1" applyFont="1" applyAlignment="1"/>
    <xf numFmtId="0" fontId="22" fillId="10" borderId="0" xfId="0" applyNumberFormat="1" applyFont="1" applyAlignment="1"/>
    <xf numFmtId="0" fontId="34" fillId="10" borderId="0" xfId="0" applyNumberFormat="1" applyFont="1" applyBorder="1"/>
    <xf numFmtId="0" fontId="2" fillId="10" borderId="0" xfId="0" applyNumberFormat="1" applyFont="1" applyBorder="1"/>
    <xf numFmtId="0" fontId="34" fillId="10" borderId="0" xfId="0" applyNumberFormat="1" applyFont="1"/>
    <xf numFmtId="0" fontId="4" fillId="10" borderId="0" xfId="0" applyNumberFormat="1" applyFont="1" applyAlignment="1">
      <alignment horizontal="right"/>
    </xf>
    <xf numFmtId="0" fontId="6" fillId="10" borderId="0" xfId="0" applyNumberFormat="1" applyFont="1" applyAlignment="1">
      <alignment horizontal="right"/>
    </xf>
    <xf numFmtId="0" fontId="7" fillId="10" borderId="0" xfId="0" applyNumberFormat="1" applyFont="1" applyAlignment="1">
      <alignment horizontal="right"/>
    </xf>
    <xf numFmtId="0" fontId="4" fillId="10" borderId="0" xfId="0" applyNumberFormat="1" applyFont="1" applyBorder="1"/>
    <xf numFmtId="0" fontId="4" fillId="10" borderId="0" xfId="0" applyNumberFormat="1" applyFont="1"/>
    <xf numFmtId="0" fontId="34" fillId="10" borderId="6" xfId="0" applyNumberFormat="1" applyFont="1" applyBorder="1"/>
    <xf numFmtId="8" fontId="0" fillId="11" borderId="2" xfId="0" applyNumberFormat="1" applyFont="1" applyFill="1" applyBorder="1" applyAlignment="1">
      <alignment horizontal="right" vertical="center" indent="2"/>
    </xf>
    <xf numFmtId="8" fontId="0" fillId="11" borderId="5" xfId="0" applyNumberFormat="1" applyFont="1" applyFill="1" applyBorder="1" applyAlignment="1">
      <alignment horizontal="right" vertical="center" indent="2"/>
    </xf>
  </cellXfs>
  <cellStyles count="47">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2" builtinId="26" customBuiltin="1"/>
    <cellStyle name="Cálculo" xfId="17" builtinId="22" customBuiltin="1"/>
    <cellStyle name="Célula de Verificação" xfId="19" builtinId="23" customBuiltin="1"/>
    <cellStyle name="Célula Vinculada" xfId="18"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5" builtinId="20" customBuiltin="1"/>
    <cellStyle name="Moeda" xfId="8" builtinId="4" customBuiltin="1"/>
    <cellStyle name="Moeda [0]" xfId="9" builtinId="7" customBuiltin="1"/>
    <cellStyle name="Neutro" xfId="14" builtinId="28" customBuiltin="1"/>
    <cellStyle name="Normal" xfId="0" builtinId="0" customBuiltin="1"/>
    <cellStyle name="Nota" xfId="21" builtinId="10" customBuiltin="1"/>
    <cellStyle name="Porcentagem" xfId="10" builtinId="5" customBuiltin="1"/>
    <cellStyle name="Ruim" xfId="13" builtinId="27" customBuiltin="1"/>
    <cellStyle name="Saída" xfId="16" builtinId="21" customBuiltin="1"/>
    <cellStyle name="Separador de milhares [0]" xfId="7" builtinId="6" customBuiltin="1"/>
    <cellStyle name="Texto de Aviso" xfId="20" builtinId="11" customBuiltin="1"/>
    <cellStyle name="Texto Explicativo" xfId="5" builtinId="53" customBuiltin="1"/>
    <cellStyle name="Título" xfId="11" builtinId="15" customBuiltin="1"/>
    <cellStyle name="Título 1" xfId="1" builtinId="16" customBuiltin="1"/>
    <cellStyle name="Título 2" xfId="2" builtinId="17" customBuiltin="1"/>
    <cellStyle name="Título 3" xfId="3" builtinId="18" customBuiltin="1"/>
    <cellStyle name="Título 4" xfId="4" builtinId="19" customBuiltin="1"/>
    <cellStyle name="Total" xfId="22" builtinId="25" customBuiltin="1"/>
    <cellStyle name="Vírgula" xfId="6" builtinId="3" customBuiltin="1"/>
  </cellStyles>
  <dxfs count="463">
    <dxf>
      <font>
        <b val="0"/>
        <i val="0"/>
        <strike val="0"/>
        <condense val="0"/>
        <extend val="0"/>
        <outline val="0"/>
        <shadow val="0"/>
        <u val="none"/>
        <vertAlign val="baseline"/>
        <sz val="9"/>
        <color theme="1" tint="0.2499465926084170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0" formatCode="General"/>
      <border diagonalUp="0" diagonalDown="0" outline="0">
        <left style="medium">
          <color theme="6" tint="0.39994506668294322"/>
        </left>
        <right style="medium">
          <color theme="6" tint="0.39994506668294322"/>
        </right>
        <top/>
        <bottom/>
      </border>
    </dxf>
    <dxf>
      <numFmt numFmtId="0" formatCode="General"/>
      <border diagonalUp="0" diagonalDown="0" outline="0">
        <left style="medium">
          <color theme="6" tint="0.39994506668294322"/>
        </left>
        <right style="medium">
          <color theme="6" tint="0.39994506668294322"/>
        </right>
        <top/>
        <bottom/>
      </border>
    </dxf>
    <dxf>
      <numFmt numFmtId="0" formatCode="General"/>
      <border diagonalUp="0" diagonalDown="0" outline="0">
        <left style="medium">
          <color theme="6" tint="0.39994506668294322"/>
        </left>
        <right style="medium">
          <color theme="6" tint="0.39994506668294322"/>
        </right>
        <top/>
        <bottom/>
      </border>
    </dxf>
    <dxf>
      <numFmt numFmtId="0" formatCode="General"/>
      <border diagonalUp="0" diagonalDown="0" outline="0">
        <left style="medium">
          <color theme="6" tint="0.39994506668294322"/>
        </left>
        <right style="medium">
          <color theme="6" tint="0.39994506668294322"/>
        </right>
        <top/>
        <bottom/>
      </border>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0" formatCode="General"/>
      <border diagonalUp="0" diagonalDown="0" outline="0">
        <left style="medium">
          <color theme="6" tint="0.39994506668294322"/>
        </left>
        <right style="medium">
          <color theme="6" tint="0.39994506668294322"/>
        </right>
        <top/>
        <bottom/>
      </border>
    </dxf>
    <dxf>
      <numFmt numFmtId="0" formatCode="General"/>
      <border diagonalUp="0" diagonalDown="0" outline="0">
        <left style="medium">
          <color theme="6" tint="0.39994506668294322"/>
        </left>
        <right style="medium">
          <color theme="6" tint="0.39994506668294322"/>
        </right>
        <top/>
        <bottom/>
      </border>
    </dxf>
    <dxf>
      <numFmt numFmtId="0" formatCode="General"/>
      <border diagonalUp="0" diagonalDown="0" outline="0">
        <left style="medium">
          <color theme="6" tint="0.39994506668294322"/>
        </left>
        <right style="medium">
          <color theme="6" tint="0.39994506668294322"/>
        </right>
        <top/>
        <bottom/>
      </border>
    </dxf>
    <dxf>
      <numFmt numFmtId="0" formatCode="General"/>
      <border diagonalUp="0" diagonalDown="0" outline="0">
        <left style="medium">
          <color theme="6" tint="0.39994506668294322"/>
        </left>
        <right style="medium">
          <color theme="6" tint="0.39994506668294322"/>
        </right>
        <top/>
        <bottom/>
      </border>
    </dxf>
    <dxf>
      <font>
        <b/>
        <i val="0"/>
        <strike val="0"/>
        <condense val="0"/>
        <extend val="0"/>
        <outline val="0"/>
        <shadow val="0"/>
        <u val="none"/>
        <vertAlign val="baseline"/>
        <sz val="10"/>
        <color theme="0"/>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0" formatCode="General"/>
      <border diagonalUp="0" diagonalDown="0" outline="0">
        <left style="medium">
          <color theme="6" tint="0.39994506668294322"/>
        </left>
        <right style="medium">
          <color theme="6" tint="0.39994506668294322"/>
        </right>
        <top/>
        <bottom/>
      </border>
    </dxf>
    <dxf>
      <numFmt numFmtId="0" formatCode="General"/>
      <border diagonalUp="0" diagonalDown="0" outline="0">
        <left style="medium">
          <color theme="6" tint="0.39994506668294322"/>
        </left>
        <right style="medium">
          <color theme="6" tint="0.39994506668294322"/>
        </right>
        <top/>
        <bottom/>
      </border>
    </dxf>
    <dxf>
      <numFmt numFmtId="0" formatCode="General"/>
      <border diagonalUp="0" diagonalDown="0" outline="0">
        <left style="medium">
          <color theme="6" tint="0.39994506668294322"/>
        </left>
        <right style="medium">
          <color theme="6" tint="0.39994506668294322"/>
        </right>
        <top/>
        <bottom/>
      </border>
    </dxf>
    <dxf>
      <numFmt numFmtId="0" formatCode="General"/>
      <border diagonalUp="0" diagonalDown="0" outline="0">
        <left style="medium">
          <color theme="6" tint="0.39994506668294322"/>
        </left>
        <right style="medium">
          <color theme="6" tint="0.39994506668294322"/>
        </right>
        <top/>
        <bottom/>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numFmt numFmtId="12"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val="0"/>
      </font>
      <numFmt numFmtId="12" formatCode="&quot;R$&quot;\ #,##0.00;[Red]\-&quot;R$&quot;\ #,##0.00"/>
      <fill>
        <patternFill patternType="solid">
          <fgColor indexed="64"/>
          <bgColor theme="6" tint="0.79998168889431442"/>
        </patternFill>
      </fill>
      <border diagonalUp="0" diagonalDown="0">
        <left style="medium">
          <color theme="6" tint="0.39994506668294322"/>
        </left>
        <right/>
        <top style="medium">
          <color theme="6" tint="0.39994506668294322"/>
        </top>
        <bottom style="medium">
          <color theme="6" tint="0.39994506668294322"/>
        </bottom>
      </border>
    </dxf>
    <dxf>
      <numFmt numFmtId="12" formatCode="&quot;R$&quot;\ #,##0.00;[Red]\-&quot;R$&quot;\ #,##0.00"/>
    </dxf>
    <dxf>
      <numFmt numFmtId="12" formatCode="&quot;R$&quot;\ #,##0.00;[Red]\-&quot;R$&quot;\ #,##0.00"/>
    </dxf>
    <dxf>
      <numFmt numFmtId="12" formatCode="&quot;R$&quot;\ #,##0.00;[Red]\-&quot;R$&quot;\ #,##0.00"/>
    </dxf>
    <dxf>
      <numFmt numFmtId="12" formatCode="&quot;R$&quot;\ #,##0.00;[Red]\-&quot;R$&quot;\ #,##0.00"/>
    </dxf>
    <dxf>
      <numFmt numFmtId="12" formatCode="&quot;R$&quot;\ #,##0.00;[Red]\-&quot;R$&quot;\ #,##0.00"/>
    </dxf>
    <dxf>
      <numFmt numFmtId="12" formatCode="&quot;R$&quot;\ #,##0.00;[Red]\-&quot;R$&quot;\ #,##0.00"/>
    </dxf>
    <dxf>
      <numFmt numFmtId="12" formatCode="&quot;R$&quot;\ #,##0.00;[Red]\-&quot;R$&quot;\ #,##0.00"/>
    </dxf>
    <dxf>
      <numFmt numFmtId="12" formatCode="&quot;R$&quot;\ #,##0.00;[Red]\-&quot;R$&quot;\ #,##0.00"/>
    </dxf>
    <dxf>
      <numFmt numFmtId="12" formatCode="&quot;R$&quot;\ #,##0.00;[Red]\-&quot;R$&quot;\ #,##0.00"/>
    </dxf>
    <dxf>
      <numFmt numFmtId="12" formatCode="&quot;R$&quot;\ #,##0.00;[Red]\-&quot;R$&quot;\ #,##0.00"/>
    </dxf>
    <dxf>
      <numFmt numFmtId="12" formatCode="&quot;R$&quot;\ #,##0.00;[Red]\-&quot;R$&quot;\ #,##0.00"/>
    </dxf>
    <dxf>
      <numFmt numFmtId="12" formatCode="&quot;R$&quot;\ #,##0.00;[Red]\-&quot;R$&quot;\ #,##0.00"/>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numFmt numFmtId="12" formatCode="&quot;R$&quot;\ #,##0.00;[Red]\-&quot;R$&quot;\ #,##0.00"/>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numFmt numFmtId="12" formatCode="&quot;R$&quot;\ #,##0.00;[Red]\-&quot;R$&quot;\ #,##0.00"/>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7558519241921"/>
        </right>
        <top style="medium">
          <color theme="6" tint="0.39997558519241921"/>
        </top>
        <bottom/>
      </border>
    </dxf>
    <dxf>
      <font>
        <strike val="0"/>
        <outline val="0"/>
        <shadow val="0"/>
        <u val="none"/>
        <vertAlign val="baseline"/>
        <sz val="9"/>
        <color theme="1"/>
        <name val="Microsoft Sans Serif"/>
        <family val="2"/>
        <scheme val="minor"/>
      </font>
      <numFmt numFmtId="12" formatCode="&quot;R$&quot;\ #,##0.00;[Red]\-&quot;R$&quot;\ #,##0.0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numFmt numFmtId="12" formatCode="&quot;R$&quot;\ #,##0.00;[Red]\-&quot;R$&quot;\ #,##0.00"/>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tint="0.24994659260841701"/>
        <name val="Microsoft Sans Serif"/>
        <family val="2"/>
        <scheme val="minor"/>
      </font>
      <numFmt numFmtId="13" formatCode="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border outline="0">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fill>
        <patternFill patternType="solid">
          <fgColor indexed="64"/>
          <bgColor theme="6" tint="0.79998168889431442"/>
        </patternFill>
      </fill>
      <alignment horizontal="right" vertical="center" textRotation="0" wrapText="0" indent="2" justifyLastLine="0" shrinkToFit="0" readingOrder="0"/>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border outline="0">
        <bottom style="medium">
          <color theme="6" tint="0.39997558519241921"/>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166" formatCode="&quot;R$&quot;\ #,##0.00;[Red]&quot;R$&quot;\ #,##0.00"/>
    </dxf>
    <dxf>
      <numFmt numFmtId="166" formatCode="&quot;R$&quot;\ #,##0.00;[Red]&quot;R$&quot;\ #,##0.00"/>
    </dxf>
    <dxf>
      <numFmt numFmtId="166" formatCode="&quot;R$&quot;\ #,##0.00;[Red]&quot;R$&quot;\ #,##0.00"/>
    </dxf>
    <dxf>
      <numFmt numFmtId="166" formatCode="&quot;R$&quot;\ #,##0.00;[Red]&quot;R$&quot;\ #,##0.00"/>
    </dxf>
    <dxf>
      <numFmt numFmtId="166" formatCode="&quot;R$&quot;\ #,##0.00;[Red]&quot;R$&quot;\ #,##0.00"/>
    </dxf>
    <dxf>
      <numFmt numFmtId="166" formatCode="&quot;R$&quot;\ #,##0.00;[Red]&quot;R$&quot;\ #,##0.00"/>
    </dxf>
    <dxf>
      <numFmt numFmtId="166" formatCode="&quot;R$&quot;\ #,##0.00;[Red]&quot;R$&quot;\ #,##0.00"/>
    </dxf>
    <dxf>
      <numFmt numFmtId="166" formatCode="&quot;R$&quot;\ #,##0.00;[Red]&quot;R$&quot;\ #,##0.00"/>
    </dxf>
    <dxf>
      <numFmt numFmtId="166" formatCode="&quot;R$&quot;\ #,##0.00;[Red]&quot;R$&quot;\ #,##0.00"/>
    </dxf>
    <dxf>
      <numFmt numFmtId="166" formatCode="&quot;R$&quot;\ #,##0.00;[Red]&quot;R$&quot;\ #,##0.00"/>
    </dxf>
    <dxf>
      <numFmt numFmtId="166" formatCode="&quot;R$&quot;\ #,##0.00;[Red]&quot;R$&quot;\ #,##0.00"/>
    </dxf>
    <dxf>
      <numFmt numFmtId="166" formatCode="&quot;R$&quot;\ #,##0.00;[Red]&quot;R$&quot;\ #,##0.00"/>
    </dxf>
    <dxf>
      <numFmt numFmtId="166" formatCode="&quot;R$&quot;\ #,##0.00;[Red]&quot;R$&quot;\ #,##0.00"/>
    </dxf>
    <dxf>
      <fill>
        <patternFill patternType="solid">
          <fgColor indexed="64"/>
          <bgColor theme="6" tint="0.79998168889431442"/>
        </patternFill>
      </fill>
      <alignment horizontal="left" vertical="center" textRotation="0" wrapTex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dxf>
    <dxf>
      <border>
        <top style="medium">
          <color theme="6" tint="0.39994506668294322"/>
        </top>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medium">
          <color theme="6" tint="0.39994506668294322"/>
        </top>
        <bottom style="medium">
          <color theme="6" tint="0.39994506668294322"/>
        </bottom>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auto="1"/>
        <name val="Microsoft Sans Serif"/>
        <family val="2"/>
        <scheme val="minor"/>
      </font>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auto="1"/>
        <name val="Microsoft Sans Serif"/>
        <family val="2"/>
        <scheme val="minor"/>
      </font>
      <fill>
        <patternFill patternType="solid">
          <fgColor indexed="64"/>
          <bgColor theme="6" tint="0.79998168889431442"/>
        </patternFill>
      </fill>
      <border diagonalUp="0" diagonalDown="0">
        <left/>
        <right style="medium">
          <color theme="6" tint="0.39994506668294322"/>
        </right>
        <top/>
        <bottom/>
        <vertical style="medium">
          <color theme="6" tint="0.39994506668294322"/>
        </vertical>
        <horizontal style="medium">
          <color theme="6" tint="0.3999450666829432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medium">
          <color theme="6" tint="0.39994506668294322"/>
        </right>
        <top/>
        <bottom/>
      </border>
    </dxf>
    <dxf>
      <font>
        <b/>
        <i val="0"/>
        <strike val="0"/>
        <condense val="0"/>
        <extend val="0"/>
        <outline val="0"/>
        <shadow val="0"/>
        <u val="none"/>
        <vertAlign val="baseline"/>
        <sz val="10"/>
        <color theme="1"/>
        <name val="Microsoft Sans Serif"/>
        <family val="2"/>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88402966399123"/>
        </left>
        <right style="medium">
          <color theme="6" tint="0.39985351115451523"/>
        </right>
        <top style="medium">
          <color theme="6" tint="0.39994506668294322"/>
        </top>
        <bottom style="medium">
          <color theme="6" tint="0.39985351115451523"/>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right style="medium">
          <color theme="6" tint="0.39994506668294322"/>
        </right>
        <top/>
        <bottom/>
      </border>
    </dxf>
    <dxf>
      <border>
        <bottom style="medium">
          <color theme="6" tint="0.39994506668294322"/>
        </bottom>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462"/>
      <tableStyleElement type="headerRow" dxfId="461"/>
      <tableStyleElement type="totalRow" dxfId="460"/>
      <tableStyleElement type="firstColumn" dxfId="459"/>
      <tableStyleElement type="lastColumn" dxfId="458"/>
      <tableStyleElement type="firstRowStripe" size="9" dxfId="457"/>
      <tableStyleElement type="firstColumnStripe" dxfId="456"/>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r>
              <a:rPr lang="en-US"/>
              <a:t>Despesas reais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endParaRPr lang="pt-BR"/>
        </a:p>
      </c:txPr>
    </c:title>
    <c:autoTitleDeleted val="0"/>
    <c:plotArea>
      <c:layout>
        <c:manualLayout>
          <c:layoutTarget val="inner"/>
          <c:xMode val="edge"/>
          <c:yMode val="edge"/>
          <c:x val="0.24477523059818029"/>
          <c:y val="0.17361297746801796"/>
          <c:w val="0.42787536817112132"/>
          <c:h val="0.6117280151662251"/>
        </c:manualLayout>
      </c:layout>
      <c:pieChart>
        <c:varyColors val="1"/>
        <c:ser>
          <c:idx val="0"/>
          <c:order val="0"/>
          <c:spPr>
            <a:ln>
              <a:noFill/>
            </a:ln>
          </c:spPr>
          <c:explosion val="15"/>
          <c:dPt>
            <c:idx val="0"/>
            <c:bubble3D val="0"/>
            <c:spPr>
              <a:solidFill>
                <a:schemeClr val="accent4">
                  <a:shade val="58000"/>
                </a:schemeClr>
              </a:solidFill>
              <a:ln w="19050">
                <a:noFill/>
              </a:ln>
              <a:effectLst/>
            </c:spPr>
            <c:extLst>
              <c:ext xmlns:c16="http://schemas.microsoft.com/office/drawing/2014/chart" uri="{C3380CC4-5D6E-409C-BE32-E72D297353CC}">
                <c16:uniqueId val="{00000001-4DF3-409A-87D3-91392B248616}"/>
              </c:ext>
            </c:extLst>
          </c:dPt>
          <c:dPt>
            <c:idx val="1"/>
            <c:bubble3D val="0"/>
            <c:spPr>
              <a:solidFill>
                <a:schemeClr val="accent4">
                  <a:shade val="86000"/>
                </a:schemeClr>
              </a:solidFill>
              <a:ln w="19050">
                <a:noFill/>
              </a:ln>
              <a:effectLst/>
            </c:spPr>
            <c:extLst>
              <c:ext xmlns:c16="http://schemas.microsoft.com/office/drawing/2014/chart" uri="{C3380CC4-5D6E-409C-BE32-E72D297353CC}">
                <c16:uniqueId val="{00000003-4DF3-409A-87D3-91392B248616}"/>
              </c:ext>
            </c:extLst>
          </c:dPt>
          <c:dPt>
            <c:idx val="2"/>
            <c:bubble3D val="0"/>
            <c:spPr>
              <a:solidFill>
                <a:schemeClr val="accent4">
                  <a:tint val="86000"/>
                </a:schemeClr>
              </a:solidFill>
              <a:ln w="19050">
                <a:noFill/>
              </a:ln>
              <a:effectLst/>
            </c:spPr>
            <c:extLst>
              <c:ext xmlns:c16="http://schemas.microsoft.com/office/drawing/2014/chart" uri="{C3380CC4-5D6E-409C-BE32-E72D297353CC}">
                <c16:uniqueId val="{00000005-4DF3-409A-87D3-91392B248616}"/>
              </c:ext>
            </c:extLst>
          </c:dPt>
          <c:dPt>
            <c:idx val="3"/>
            <c:bubble3D val="0"/>
            <c:spPr>
              <a:solidFill>
                <a:schemeClr val="accent4">
                  <a:tint val="58000"/>
                </a:schemeClr>
              </a:solidFill>
              <a:ln w="19050">
                <a:noFill/>
              </a:ln>
              <a:effectLst/>
            </c:spPr>
            <c:extLst>
              <c:ext xmlns:c16="http://schemas.microsoft.com/office/drawing/2014/chart" uri="{C3380CC4-5D6E-409C-BE32-E72D297353CC}">
                <c16:uniqueId val="{00000007-4DF3-409A-87D3-91392B248616}"/>
              </c:ext>
            </c:extLst>
          </c:dPt>
          <c:dLbls>
            <c:dLbl>
              <c:idx val="0"/>
              <c:layout>
                <c:manualLayout>
                  <c:x val="0.16903582257697239"/>
                  <c:y val="-3.67060267098571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pt-B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F3-409A-87D3-91392B248616}"/>
                </c:ext>
              </c:extLst>
            </c:dLbl>
            <c:dLbl>
              <c:idx val="1"/>
              <c:layout>
                <c:manualLayout>
                  <c:x val="0.15751499380277639"/>
                  <c:y val="-1.10524981771702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572919969418036"/>
                      <c:h val="0.12833329824658293"/>
                    </c:manualLayout>
                  </c15:layout>
                </c:ext>
                <c:ext xmlns:c16="http://schemas.microsoft.com/office/drawing/2014/chart" uri="{C3380CC4-5D6E-409C-BE32-E72D297353CC}">
                  <c16:uniqueId val="{00000003-4DF3-409A-87D3-91392B248616}"/>
                </c:ext>
              </c:extLst>
            </c:dLbl>
            <c:dLbl>
              <c:idx val="2"/>
              <c:layout>
                <c:manualLayout>
                  <c:x val="0.10279016435701957"/>
                  <c:y val="-2.1544176087003476E-4"/>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5486333923987986"/>
                      <c:h val="0.12833329824658293"/>
                    </c:manualLayout>
                  </c15:layout>
                </c:ext>
                <c:ext xmlns:c16="http://schemas.microsoft.com/office/drawing/2014/chart" uri="{C3380CC4-5D6E-409C-BE32-E72D297353CC}">
                  <c16:uniqueId val="{00000005-4DF3-409A-87D3-91392B248616}"/>
                </c:ext>
              </c:extLst>
            </c:dLbl>
            <c:dLbl>
              <c:idx val="3"/>
              <c:layout>
                <c:manualLayout>
                  <c:x val="6.9261842686855174E-2"/>
                  <c:y val="0.10124833189842194"/>
                </c:manualLayout>
              </c:layout>
              <c:tx>
                <c:rich>
                  <a:bodyPr/>
                  <a:lstStyle/>
                  <a:p>
                    <a:fld id="{9D8AE8D2-E6EE-4806-BE9C-2B0899BD2E05}" type="CATEGORYNAME">
                      <a:rPr lang="en-US"/>
                      <a:pPr/>
                      <a:t>[NOME DA CATEGORIA]</a:t>
                    </a:fld>
                    <a:r>
                      <a:rPr lang="en-US" baseline="0"/>
                      <a:t>
 </a:t>
                    </a:r>
                    <a:fld id="{080BC5FE-4533-4651-B117-1E6A62B733B5}" type="PERCENTAGE">
                      <a:rPr lang="en-US" baseline="0"/>
                      <a:pPr/>
                      <a:t>[PORCENTAGEM]</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5343215229175403"/>
                      <c:h val="0.12833329824658293"/>
                    </c:manualLayout>
                  </c15:layout>
                  <c15:dlblFieldTable/>
                  <c15:showDataLabelsRange val="0"/>
                </c:ext>
                <c:ext xmlns:c16="http://schemas.microsoft.com/office/drawing/2014/chart" uri="{C3380CC4-5D6E-409C-BE32-E72D297353CC}">
                  <c16:uniqueId val="{00000007-4DF3-409A-87D3-91392B24861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pt-BR"/>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'ANÁLISE DE DESPESAS'!$B$6:$B$9</c:f>
              <c:strCache>
                <c:ptCount val="4"/>
                <c:pt idx="0">
                  <c:v>Custos com funcionários</c:v>
                </c:pt>
                <c:pt idx="1">
                  <c:v>Custos do escritório</c:v>
                </c:pt>
                <c:pt idx="2">
                  <c:v>Custos de marketing</c:v>
                </c:pt>
                <c:pt idx="3">
                  <c:v>Viagem/Treinamento</c:v>
                </c:pt>
              </c:strCache>
            </c:strRef>
          </c:cat>
          <c:val>
            <c:numRef>
              <c:f>'ANÁLISE DE DESPESAS'!$D$6:$D$9</c:f>
              <c:numCache>
                <c:formatCode>"R$"#,##0.00_);[Red]\("R$"#,##0.00\)</c:formatCode>
                <c:ptCount val="4"/>
                <c:pt idx="0">
                  <c:v>659130</c:v>
                </c:pt>
                <c:pt idx="1">
                  <c:v>69350</c:v>
                </c:pt>
                <c:pt idx="2">
                  <c:v>33159</c:v>
                </c:pt>
                <c:pt idx="3">
                  <c:v>21300</c:v>
                </c:pt>
              </c:numCache>
            </c:numRef>
          </c:val>
          <c:extLst>
            <c:ext xmlns:c16="http://schemas.microsoft.com/office/drawing/2014/chart" uri="{C3380CC4-5D6E-409C-BE32-E72D297353CC}">
              <c16:uniqueId val="{00000008-4DF3-409A-87D3-91392B24861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1294757579802442"/>
          <c:y val="0.85735021397905353"/>
          <c:w val="0.62388200471733291"/>
          <c:h val="0.114872015837703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Despesas mensais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pt-BR"/>
        </a:p>
      </c:txPr>
    </c:title>
    <c:autoTitleDeleted val="0"/>
    <c:plotArea>
      <c:layout/>
      <c:barChart>
        <c:barDir val="col"/>
        <c:grouping val="clustered"/>
        <c:varyColors val="0"/>
        <c:ser>
          <c:idx val="1"/>
          <c:order val="1"/>
          <c:tx>
            <c:v>Planejadas</c:v>
          </c:tx>
          <c:spPr>
            <a:solidFill>
              <a:schemeClr val="accent3"/>
            </a:solidFill>
            <a:ln>
              <a:noFill/>
            </a:ln>
            <a:effectLst/>
          </c:spPr>
          <c:invertIfNegative val="0"/>
          <c:val>
            <c:numRef>
              <c:f>'DESPESAS PLANEJADAS'!$C$36:$N$36</c:f>
              <c:numCache>
                <c:formatCode>"R$"#,##0.00_);[Red]\("R$"#,##0.00\)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Reais</c:v>
          </c:tx>
          <c:spPr>
            <a:solidFill>
              <a:schemeClr val="accent3">
                <a:tint val="65000"/>
              </a:schemeClr>
            </a:solidFill>
            <a:ln>
              <a:noFill/>
            </a:ln>
            <a:effectLst/>
          </c:spPr>
          <c:invertIfNegative val="0"/>
          <c:val>
            <c:numRef>
              <c:f>'DESPESAS REAIS'!$C$36:$N$36</c:f>
              <c:numCache>
                <c:formatCode>"R$"#,##0.00_);[Red]\("R$"#,##0.00\)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Variação</c:v>
          </c:tx>
          <c:spPr>
            <a:ln w="28575" cap="rnd">
              <a:solidFill>
                <a:schemeClr val="accent3">
                  <a:shade val="65000"/>
                </a:schemeClr>
              </a:solidFill>
              <a:round/>
            </a:ln>
            <a:effectLst/>
          </c:spPr>
          <c:marker>
            <c:symbol val="none"/>
          </c:marker>
          <c:val>
            <c:numRef>
              <c:f>'VARIAÇÕES DE DESPESAS'!$C$36:$N$36</c:f>
              <c:numCache>
                <c:formatCode>"R$"#,##0.00_);[Red]\("R$"#,##0.00\)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Mês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pt-BR"/>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t-BR"/>
          </a:p>
        </c:txPr>
        <c:crossAx val="362147008"/>
        <c:crosses val="autoZero"/>
        <c:auto val="1"/>
        <c:lblAlgn val="ctr"/>
        <c:lblOffset val="100"/>
        <c:noMultiLvlLbl val="0"/>
      </c:catAx>
      <c:valAx>
        <c:axId val="362147008"/>
        <c:scaling>
          <c:orientation val="minMax"/>
        </c:scaling>
        <c:delete val="0"/>
        <c:axPos val="l"/>
        <c:majorGridlines>
          <c:spPr>
            <a:ln w="9525" cap="flat" cmpd="sng" algn="ctr">
              <a:solidFill>
                <a:schemeClr val="bg2">
                  <a:lumMod val="5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Despesas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pt-BR"/>
            </a:p>
          </c:txPr>
        </c:title>
        <c:numFmt formatCode="&quot;R$&quot;#,##0.00_);[Red]\(&quot;R$&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t-BR"/>
          </a:p>
        </c:txPr>
        <c:crossAx val="362146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pt-BR"/>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defRPr>
      </a:pPr>
      <a:endParaRPr lang="pt-B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Despesas planejadas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pt-BR"/>
        </a:p>
      </c:txPr>
    </c:title>
    <c:autoTitleDeleted val="0"/>
    <c:plotArea>
      <c:layout>
        <c:manualLayout>
          <c:layoutTarget val="inner"/>
          <c:xMode val="edge"/>
          <c:yMode val="edge"/>
          <c:x val="0.20826229717236763"/>
          <c:y val="0.17361302493438321"/>
          <c:w val="0.47551319242989365"/>
          <c:h val="0.61172790901137353"/>
        </c:manualLayout>
      </c:layout>
      <c:pieChart>
        <c:varyColors val="1"/>
        <c:ser>
          <c:idx val="0"/>
          <c:order val="0"/>
          <c:spPr>
            <a:ln>
              <a:noFill/>
            </a:ln>
          </c:spPr>
          <c:explosion val="14"/>
          <c:dPt>
            <c:idx val="0"/>
            <c:bubble3D val="0"/>
            <c:spPr>
              <a:solidFill>
                <a:schemeClr val="accent3">
                  <a:shade val="58000"/>
                </a:schemeClr>
              </a:solidFill>
              <a:ln w="19050">
                <a:noFill/>
              </a:ln>
              <a:effectLst/>
            </c:spPr>
            <c:extLst>
              <c:ext xmlns:c16="http://schemas.microsoft.com/office/drawing/2014/chart" uri="{C3380CC4-5D6E-409C-BE32-E72D297353CC}">
                <c16:uniqueId val="{00000001-575C-4225-ACC7-D51DAEA0E7C6}"/>
              </c:ext>
            </c:extLst>
          </c:dPt>
          <c:dPt>
            <c:idx val="1"/>
            <c:bubble3D val="0"/>
            <c:spPr>
              <a:solidFill>
                <a:schemeClr val="accent3">
                  <a:shade val="86000"/>
                </a:schemeClr>
              </a:solidFill>
              <a:ln w="19050">
                <a:noFill/>
              </a:ln>
              <a:effectLst/>
            </c:spPr>
            <c:extLst>
              <c:ext xmlns:c16="http://schemas.microsoft.com/office/drawing/2014/chart" uri="{C3380CC4-5D6E-409C-BE32-E72D297353CC}">
                <c16:uniqueId val="{00000003-575C-4225-ACC7-D51DAEA0E7C6}"/>
              </c:ext>
            </c:extLst>
          </c:dPt>
          <c:dPt>
            <c:idx val="2"/>
            <c:bubble3D val="0"/>
            <c:spPr>
              <a:solidFill>
                <a:schemeClr val="accent3">
                  <a:tint val="86000"/>
                </a:schemeClr>
              </a:solidFill>
              <a:ln w="19050">
                <a:noFill/>
              </a:ln>
              <a:effectLst/>
            </c:spPr>
            <c:extLst>
              <c:ext xmlns:c16="http://schemas.microsoft.com/office/drawing/2014/chart" uri="{C3380CC4-5D6E-409C-BE32-E72D297353CC}">
                <c16:uniqueId val="{00000005-575C-4225-ACC7-D51DAEA0E7C6}"/>
              </c:ext>
            </c:extLst>
          </c:dPt>
          <c:dPt>
            <c:idx val="3"/>
            <c:bubble3D val="0"/>
            <c:spPr>
              <a:solidFill>
                <a:schemeClr val="accent3">
                  <a:tint val="58000"/>
                </a:schemeClr>
              </a:solidFill>
              <a:ln w="19050">
                <a:noFill/>
              </a:ln>
              <a:effectLst/>
            </c:spPr>
            <c:extLst>
              <c:ext xmlns:c16="http://schemas.microsoft.com/office/drawing/2014/chart" uri="{C3380CC4-5D6E-409C-BE32-E72D297353CC}">
                <c16:uniqueId val="{00000007-575C-4225-ACC7-D51DAEA0E7C6}"/>
              </c:ext>
            </c:extLst>
          </c:dPt>
          <c:dLbls>
            <c:dLbl>
              <c:idx val="0"/>
              <c:layout>
                <c:manualLayout>
                  <c:x val="0.19045364340543908"/>
                  <c:y val="-8.0111275153105857E-2"/>
                </c:manualLayout>
              </c:layout>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pt-B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5C-4225-ACC7-D51DAEA0E7C6}"/>
                </c:ext>
              </c:extLst>
            </c:dLbl>
            <c:dLbl>
              <c:idx val="1"/>
              <c:layout>
                <c:manualLayout>
                  <c:x val="0.13112973233256658"/>
                  <c:y val="-7.2949475065616802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5493937751708162"/>
                      <c:h val="0.11651055336832895"/>
                    </c:manualLayout>
                  </c15:layout>
                </c:ext>
                <c:ext xmlns:c16="http://schemas.microsoft.com/office/drawing/2014/chart" uri="{C3380CC4-5D6E-409C-BE32-E72D297353CC}">
                  <c16:uniqueId val="{00000003-575C-4225-ACC7-D51DAEA0E7C6}"/>
                </c:ext>
              </c:extLst>
            </c:dLbl>
            <c:dLbl>
              <c:idx val="2"/>
              <c:layout>
                <c:manualLayout>
                  <c:x val="0.10546237350195586"/>
                  <c:y val="-6.7317366579177605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6303654350898448"/>
                      <c:h val="0.11651055336832895"/>
                    </c:manualLayout>
                  </c15:layout>
                </c:ext>
                <c:ext xmlns:c16="http://schemas.microsoft.com/office/drawing/2014/chart" uri="{C3380CC4-5D6E-409C-BE32-E72D297353CC}">
                  <c16:uniqueId val="{00000005-575C-4225-ACC7-D51DAEA0E7C6}"/>
                </c:ext>
              </c:extLst>
            </c:dLbl>
            <c:dLbl>
              <c:idx val="3"/>
              <c:layout>
                <c:manualLayout>
                  <c:x val="3.1759766216014285E-2"/>
                  <c:y val="9.174568022747156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340080971659919"/>
                      <c:h val="0.11651055336832895"/>
                    </c:manualLayout>
                  </c15:layout>
                </c:ext>
                <c:ext xmlns:c16="http://schemas.microsoft.com/office/drawing/2014/chart" uri="{C3380CC4-5D6E-409C-BE32-E72D297353CC}">
                  <c16:uniqueId val="{00000007-575C-4225-ACC7-D51DAEA0E7C6}"/>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pt-BR"/>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'ANÁLISE DE DESPESAS'!$B$6:$B$9</c:f>
              <c:strCache>
                <c:ptCount val="4"/>
                <c:pt idx="0">
                  <c:v>Custos com funcionários</c:v>
                </c:pt>
                <c:pt idx="1">
                  <c:v>Custos do escritório</c:v>
                </c:pt>
                <c:pt idx="2">
                  <c:v>Custos de marketing</c:v>
                </c:pt>
                <c:pt idx="3">
                  <c:v>Viagem/Treinamento</c:v>
                </c:pt>
              </c:strCache>
            </c:strRef>
          </c:cat>
          <c:val>
            <c:numRef>
              <c:f>'ANÁLISE DE DESPESAS'!$C$6:$C$9</c:f>
              <c:numCache>
                <c:formatCode>"R$"#,##0.00_);[Red]\("R$"#,##0.00\)</c:formatCode>
                <c:ptCount val="4"/>
                <c:pt idx="0">
                  <c:v>1355090</c:v>
                </c:pt>
                <c:pt idx="1">
                  <c:v>138740</c:v>
                </c:pt>
                <c:pt idx="2">
                  <c:v>67800</c:v>
                </c:pt>
                <c:pt idx="3">
                  <c:v>48000</c:v>
                </c:pt>
              </c:numCache>
            </c:numRef>
          </c:val>
          <c:extLst>
            <c:ext xmlns:c16="http://schemas.microsoft.com/office/drawing/2014/chart" uri="{C3380CC4-5D6E-409C-BE32-E72D297353CC}">
              <c16:uniqueId val="{00000008-575C-4225-ACC7-D51DAEA0E7C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16427598372065841"/>
          <c:y val="0.86776684164479445"/>
          <c:w val="0.70409385061685104"/>
          <c:h val="0.107927602799650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pt-BR"/>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pt-B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4.sv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Balão de fala: retângulo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a:off x="156294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pPr rtl="0"/>
          <a:r>
            <a:rPr lang="pt-br" sz="1100" b="1">
              <a:solidFill>
                <a:schemeClr val="tx2"/>
              </a:solidFill>
              <a:effectLst/>
              <a:latin typeface="Microsoft Sans Serif" panose="020B0604020202020204" pitchFamily="34" charset="0"/>
              <a:ea typeface="+mn-ea"/>
              <a:cs typeface="+mn-cs"/>
            </a:rPr>
            <a:t>COMO USAR ESTE MODELO</a:t>
          </a:r>
        </a:p>
        <a:p>
          <a:pPr rtl="0"/>
          <a:endParaRPr lang="en-US">
            <a:solidFill>
              <a:schemeClr val="tx2"/>
            </a:solidFill>
            <a:effectLst/>
            <a:latin typeface="Microsoft Sans Serif" panose="020B0604020202020204" pitchFamily="34" charset="0"/>
          </a:endParaRPr>
        </a:p>
        <a:p>
          <a:pPr rtl="0"/>
          <a:r>
            <a:rPr lang="pt-br" sz="1100">
              <a:solidFill>
                <a:schemeClr val="tx2"/>
              </a:solidFill>
              <a:effectLst/>
              <a:latin typeface="Microsoft Sans Serif" panose="020B0604020202020204" pitchFamily="34" charset="0"/>
              <a:ea typeface="+mn-ea"/>
              <a:cs typeface="+mn-cs"/>
            </a:rPr>
            <a:t>Insira os dados nas células em branco das planilhas DESPESAS PLANEJADAS e DESPESAS REAIS e as VARIAÇÕES DE DESPESAS e ANÁLISES DE DESPESAS serão calculadas para você. Caso você adicione uma linha em uma planilha, </a:t>
          </a:r>
          <a:r>
            <a:rPr lang="pt-br" sz="1100" baseline="0">
              <a:solidFill>
                <a:schemeClr val="tx2"/>
              </a:solidFill>
              <a:effectLst/>
              <a:latin typeface="Microsoft Sans Serif" panose="020B0604020202020204" pitchFamily="34" charset="0"/>
              <a:ea typeface="+mn-ea"/>
              <a:cs typeface="+mn-cs"/>
            </a:rPr>
            <a:t>precisa haver correspondência com as outras planilhas.</a:t>
          </a:r>
          <a:endParaRPr lang="en-US" sz="1100">
            <a:solidFill>
              <a:schemeClr val="tx2"/>
            </a:solidFill>
            <a:latin typeface="Microsoft Sans Serif" panose="020B0604020202020204" pitchFamily="34" charset="0"/>
          </a:endParaRPr>
        </a:p>
      </xdr:txBody>
    </xdr:sp>
    <xdr:clientData fPrintsWithSheet="0"/>
  </xdr:twoCellAnchor>
  <xdr:twoCellAnchor editAs="oneCell">
    <xdr:from>
      <xdr:col>13</xdr:col>
      <xdr:colOff>67531</xdr:colOff>
      <xdr:row>1</xdr:row>
      <xdr:rowOff>8342</xdr:rowOff>
    </xdr:from>
    <xdr:to>
      <xdr:col>14</xdr:col>
      <xdr:colOff>1068005</xdr:colOff>
      <xdr:row>2</xdr:row>
      <xdr:rowOff>150079</xdr:rowOff>
    </xdr:to>
    <xdr:pic>
      <xdr:nvPicPr>
        <xdr:cNvPr id="9" name="Imagem 18">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4888431" y="313142"/>
          <a:ext cx="2067274" cy="713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67531</xdr:colOff>
      <xdr:row>1</xdr:row>
      <xdr:rowOff>8342</xdr:rowOff>
    </xdr:from>
    <xdr:to>
      <xdr:col>14</xdr:col>
      <xdr:colOff>1066737</xdr:colOff>
      <xdr:row>2</xdr:row>
      <xdr:rowOff>149642</xdr:rowOff>
    </xdr:to>
    <xdr:pic>
      <xdr:nvPicPr>
        <xdr:cNvPr id="6" name="Imagem 18">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4888431" y="313142"/>
          <a:ext cx="2066006" cy="71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66675</xdr:colOff>
      <xdr:row>1</xdr:row>
      <xdr:rowOff>10518</xdr:rowOff>
    </xdr:from>
    <xdr:to>
      <xdr:col>14</xdr:col>
      <xdr:colOff>1065882</xdr:colOff>
      <xdr:row>2</xdr:row>
      <xdr:rowOff>151818</xdr:rowOff>
    </xdr:to>
    <xdr:pic>
      <xdr:nvPicPr>
        <xdr:cNvPr id="6" name="Imagem 18">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4887575" y="315318"/>
          <a:ext cx="2066007" cy="71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85725</xdr:colOff>
      <xdr:row>11</xdr:row>
      <xdr:rowOff>57150</xdr:rowOff>
    </xdr:from>
    <xdr:to>
      <xdr:col>5</xdr:col>
      <xdr:colOff>1666876</xdr:colOff>
      <xdr:row>11</xdr:row>
      <xdr:rowOff>3714751</xdr:rowOff>
    </xdr:to>
    <xdr:graphicFrame macro="">
      <xdr:nvGraphicFramePr>
        <xdr:cNvPr id="13" name="GráficoDeDespesasReais" descr="Pie chart showing actual expenses incurred on various categories">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12</xdr:row>
      <xdr:rowOff>200025</xdr:rowOff>
    </xdr:from>
    <xdr:to>
      <xdr:col>5</xdr:col>
      <xdr:colOff>1857375</xdr:colOff>
      <xdr:row>16</xdr:row>
      <xdr:rowOff>5778</xdr:rowOff>
    </xdr:to>
    <xdr:graphicFrame macro="">
      <xdr:nvGraphicFramePr>
        <xdr:cNvPr id="8" name="GráficoDeDespesasMensais"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11</xdr:row>
      <xdr:rowOff>76201</xdr:rowOff>
    </xdr:from>
    <xdr:to>
      <xdr:col>3</xdr:col>
      <xdr:colOff>933450</xdr:colOff>
      <xdr:row>11</xdr:row>
      <xdr:rowOff>3733801</xdr:rowOff>
    </xdr:to>
    <xdr:graphicFrame macro="">
      <xdr:nvGraphicFramePr>
        <xdr:cNvPr id="12" name="GráficoDeDespesasPlanejadas" descr="Pie chart showing planned expenses on various categorie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590550</xdr:colOff>
      <xdr:row>1</xdr:row>
      <xdr:rowOff>0</xdr:rowOff>
    </xdr:from>
    <xdr:to>
      <xdr:col>5</xdr:col>
      <xdr:colOff>1850390</xdr:colOff>
      <xdr:row>1</xdr:row>
      <xdr:rowOff>550531</xdr:rowOff>
    </xdr:to>
    <xdr:pic>
      <xdr:nvPicPr>
        <xdr:cNvPr id="9" name="Imagem 18" descr="Logo placeholder">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bwMode="auto">
        <a:xfrm>
          <a:off x="7762875" y="304800"/>
          <a:ext cx="1259840" cy="550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nejamentoDoEscritório" displayName="PlanejamentoDoEscritório" ref="B10:O19" totalsRowCount="1" headerRowDxfId="17" totalsRowDxfId="453" headerRowBorderDxfId="455" tableBorderDxfId="454" totalsRowBorderDxfId="452">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Custos do escritório" totalsRowLabel="Subtotal" dataDxfId="451" totalsRowDxfId="450"/>
    <tableColumn id="2" xr3:uid="{00000000-0010-0000-0000-000002000000}" name="Jan" totalsRowFunction="sum" dataDxfId="212" totalsRowDxfId="449"/>
    <tableColumn id="3" xr3:uid="{00000000-0010-0000-0000-000003000000}" name="Fev" totalsRowFunction="sum" dataDxfId="211" totalsRowDxfId="448"/>
    <tableColumn id="4" xr3:uid="{00000000-0010-0000-0000-000004000000}" name="Mar" totalsRowFunction="sum" dataDxfId="210" totalsRowDxfId="447"/>
    <tableColumn id="5" xr3:uid="{00000000-0010-0000-0000-000005000000}" name="Abr" totalsRowFunction="sum" dataDxfId="209" totalsRowDxfId="446"/>
    <tableColumn id="6" xr3:uid="{00000000-0010-0000-0000-000006000000}" name="Mai" totalsRowFunction="sum" dataDxfId="208" totalsRowDxfId="445"/>
    <tableColumn id="7" xr3:uid="{00000000-0010-0000-0000-000007000000}" name="Jun" totalsRowFunction="sum" dataDxfId="207" totalsRowDxfId="444"/>
    <tableColumn id="8" xr3:uid="{00000000-0010-0000-0000-000008000000}" name="Jul" totalsRowFunction="sum" dataDxfId="206" totalsRowDxfId="443"/>
    <tableColumn id="9" xr3:uid="{00000000-0010-0000-0000-000009000000}" name="Ago" totalsRowFunction="sum" dataDxfId="205" totalsRowDxfId="442"/>
    <tableColumn id="10" xr3:uid="{00000000-0010-0000-0000-00000A000000}" name="Set" totalsRowFunction="sum" dataDxfId="204" totalsRowDxfId="441"/>
    <tableColumn id="11" xr3:uid="{00000000-0010-0000-0000-00000B000000}" name="Out" totalsRowFunction="sum" dataDxfId="203" totalsRowDxfId="440"/>
    <tableColumn id="12" xr3:uid="{00000000-0010-0000-0000-00000C000000}" name="Nov" totalsRowFunction="sum" dataDxfId="202" totalsRowDxfId="439"/>
    <tableColumn id="13" xr3:uid="{00000000-0010-0000-0000-00000D000000}" name="Dez" totalsRowFunction="sum" dataDxfId="201" totalsRowDxfId="438"/>
    <tableColumn id="14" xr3:uid="{00000000-0010-0000-0000-00000E000000}" name="ANO" totalsRowFunction="sum" dataDxfId="200" totalsRowDxfId="437">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Insira os custos mensais planejados para o escritório nesta tabela. O total é calculado automaticamente no final"/>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TotalReal" displayName="TotalReal" ref="B35:O37" totalsRowShown="0" headerRowDxfId="3" dataDxfId="298" tableBorderDxfId="297">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TOTAL Despesas planejadas" dataDxfId="296"/>
    <tableColumn id="2" xr3:uid="{ED08B701-BD0B-43EA-B6B5-8B23D583D505}" name="Jan" dataDxfId="95">
      <calculatedColumnFormula>SUM($C35:C$36)</calculatedColumnFormula>
    </tableColumn>
    <tableColumn id="3" xr3:uid="{953C450B-5235-4234-924F-53796609C439}" name="Fev" dataDxfId="94">
      <calculatedColumnFormula>SUM($C35:D$36)</calculatedColumnFormula>
    </tableColumn>
    <tableColumn id="4" xr3:uid="{A434CE91-3696-411F-8418-02228D13F12E}" name="Mar" dataDxfId="93">
      <calculatedColumnFormula>SUM($C35:E$36)</calculatedColumnFormula>
    </tableColumn>
    <tableColumn id="5" xr3:uid="{1E74C645-B91F-4CDB-9F55-6FEC8EAB0A64}" name="Abr" dataDxfId="92">
      <calculatedColumnFormula>SUM($C35:F$36)</calculatedColumnFormula>
    </tableColumn>
    <tableColumn id="6" xr3:uid="{A3B698F1-9EF3-489A-A70E-8E760D6B713B}" name="Mai" dataDxfId="91">
      <calculatedColumnFormula>SUM($C35:G$36)</calculatedColumnFormula>
    </tableColumn>
    <tableColumn id="7" xr3:uid="{6CEDC80B-5635-47E7-AA54-EBD827095F7C}" name="Jun" dataDxfId="90">
      <calculatedColumnFormula>SUM($C35:H$36)</calculatedColumnFormula>
    </tableColumn>
    <tableColumn id="8" xr3:uid="{A73C88FE-0ABF-4134-B6B0-043ECC9295D4}" name="Jul" dataDxfId="89">
      <calculatedColumnFormula>SUM($C35:I$36)</calculatedColumnFormula>
    </tableColumn>
    <tableColumn id="9" xr3:uid="{62119987-B16F-44A1-B80E-29460A9513CD}" name="Ago" dataDxfId="88">
      <calculatedColumnFormula>SUM($C35:J$36)</calculatedColumnFormula>
    </tableColumn>
    <tableColumn id="10" xr3:uid="{C84A40CE-DC4A-442E-883F-891CA5A9A166}" name="Set" dataDxfId="87">
      <calculatedColumnFormula>SUM($C35:K$36)</calculatedColumnFormula>
    </tableColumn>
    <tableColumn id="11" xr3:uid="{4DB975F1-C294-416D-81FB-A8070CC2C3BC}" name="Out" dataDxfId="86">
      <calculatedColumnFormula>SUM($C35:L$36)</calculatedColumnFormula>
    </tableColumn>
    <tableColumn id="12" xr3:uid="{BC57DA11-9B5C-452D-8026-EF863D07E32E}" name="Nov" dataDxfId="85">
      <calculatedColumnFormula>SUM($C35:M$36)</calculatedColumnFormula>
    </tableColumn>
    <tableColumn id="13" xr3:uid="{904E02FB-FEA8-49B0-ABA0-9B659A7720D8}" name="Dez" dataDxfId="84">
      <calculatedColumnFormula>SUM($C35:N$36)</calculatedColumnFormula>
    </tableColumn>
    <tableColumn id="14" xr3:uid="{8C10E0BB-4735-4718-9538-C4AFB616D92A}" name="Ano" dataDxfId="83"/>
  </tableColumns>
  <tableStyleInfo name="TableStyleMedium1" showFirstColumn="1" showLastColumn="0" showRowStripes="0" showColumnStripes="0"/>
  <extLst>
    <ext xmlns:x14="http://schemas.microsoft.com/office/spreadsheetml/2009/9/main" uri="{504A1905-F514-4f6f-8877-14C23A59335A}">
      <x14:table altTextSummary="As despesas reais mensais e totais são calculadas automaticamente nesta tabel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VariaçõesDeFuncionários" displayName="VariaçõesDeFuncionários" ref="B5:O8" totalsRowCount="1" headerRowDxfId="12" totalsRowDxfId="293" headerRowBorderDxfId="295" tableBorderDxfId="294" totalsRowBorderDxfId="292">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Custos com funcionários" totalsRowLabel="Subtotal" dataDxfId="291" totalsRowDxfId="290"/>
    <tableColumn id="2" xr3:uid="{00000000-0010-0000-0800-000002000000}" name="Jan" totalsRowFunction="sum" dataDxfId="82" totalsRowDxfId="289">
      <calculatedColumnFormula>INDEX(PlanejamentoDeFuncionários[],MATCH(INDEX(VariaçõesDeFuncionários[],ROW()-ROW(VariaçõesDeFuncionários[[#Headers],[Jan]]),1),INDEX(PlanejamentoDeFuncionários[],,1),0),MATCH(VariaçõesDeFuncionários[[#Headers],[Jan]],PlanejamentoDeFuncionários[#Headers],0))-INDEX(RealFuncionários[],MATCH(INDEX(VariaçõesDeFuncionários[],ROW()-ROW(VariaçõesDeFuncionários[[#Headers],[Jan]]),1),INDEX(PlanejamentoDeFuncionários[],,1),0),MATCH(VariaçõesDeFuncionários[[#Headers],[Jan]],RealFuncionários[#Headers],0))</calculatedColumnFormula>
    </tableColumn>
    <tableColumn id="3" xr3:uid="{00000000-0010-0000-0800-000003000000}" name="Fev" totalsRowFunction="sum" dataDxfId="81" totalsRowDxfId="288">
      <calculatedColumnFormula>INDEX(PlanejamentoDeFuncionários[],MATCH(INDEX(VariaçõesDeFuncionários[],ROW()-ROW(VariaçõesDeFuncionários[[#Headers],[Fev]]),1),INDEX(PlanejamentoDeFuncionários[],,1),0),MATCH(VariaçõesDeFuncionários[[#Headers],[Fev]],PlanejamentoDeFuncionários[#Headers],0))-INDEX(RealFuncionários[],MATCH(INDEX(VariaçõesDeFuncionários[],ROW()-ROW(VariaçõesDeFuncionários[[#Headers],[Fev]]),1),INDEX(PlanejamentoDeFuncionários[],,1),0),MATCH(VariaçõesDeFuncionários[[#Headers],[Fev]],RealFuncionários[#Headers],0))</calculatedColumnFormula>
    </tableColumn>
    <tableColumn id="4" xr3:uid="{00000000-0010-0000-0800-000004000000}" name="Mar" totalsRowFunction="sum" dataDxfId="80" totalsRowDxfId="287">
      <calculatedColumnFormula>INDEX(PlanejamentoDeFuncionários[],MATCH(INDEX(VariaçõesDeFuncionários[],ROW()-ROW(VariaçõesDeFuncionários[[#Headers],[Mar]]),1),INDEX(PlanejamentoDeFuncionários[],,1),0),MATCH(VariaçõesDeFuncionários[[#Headers],[Mar]],PlanejamentoDeFuncionários[#Headers],0))-INDEX(RealFuncionários[],MATCH(INDEX(VariaçõesDeFuncionários[],ROW()-ROW(VariaçõesDeFuncionários[[#Headers],[Mar]]),1),INDEX(PlanejamentoDeFuncionários[],,1),0),MATCH(VariaçõesDeFuncionários[[#Headers],[Mar]],RealFuncionários[#Headers],0))</calculatedColumnFormula>
    </tableColumn>
    <tableColumn id="5" xr3:uid="{00000000-0010-0000-0800-000005000000}" name="Abr" totalsRowFunction="sum" dataDxfId="79" totalsRowDxfId="286">
      <calculatedColumnFormula>INDEX(PlanejamentoDeFuncionários[],MATCH(INDEX(VariaçõesDeFuncionários[],ROW()-ROW(VariaçõesDeFuncionários[[#Headers],[Abr]]),1),INDEX(PlanejamentoDeFuncionários[],,1),0),MATCH(VariaçõesDeFuncionários[[#Headers],[Abr]],PlanejamentoDeFuncionários[#Headers],0))-INDEX(RealFuncionários[],MATCH(INDEX(VariaçõesDeFuncionários[],ROW()-ROW(VariaçõesDeFuncionários[[#Headers],[Abr]]),1),INDEX(PlanejamentoDeFuncionários[],,1),0),MATCH(VariaçõesDeFuncionários[[#Headers],[Abr]],RealFuncionários[#Headers],0))</calculatedColumnFormula>
    </tableColumn>
    <tableColumn id="6" xr3:uid="{00000000-0010-0000-0800-000006000000}" name="Mai" totalsRowFunction="sum" dataDxfId="78" totalsRowDxfId="285">
      <calculatedColumnFormula>INDEX(PlanejamentoDeFuncionários[],MATCH(INDEX(VariaçõesDeFuncionários[],ROW()-ROW(VariaçõesDeFuncionários[[#Headers],[Mai]]),1),INDEX(PlanejamentoDeFuncionários[],,1),0),MATCH(VariaçõesDeFuncionários[[#Headers],[Mai]],PlanejamentoDeFuncionários[#Headers],0))-INDEX(RealFuncionários[],MATCH(INDEX(VariaçõesDeFuncionários[],ROW()-ROW(VariaçõesDeFuncionários[[#Headers],[Mai]]),1),INDEX(PlanejamentoDeFuncionários[],,1),0),MATCH(VariaçõesDeFuncionários[[#Headers],[Mai]],RealFuncionários[#Headers],0))</calculatedColumnFormula>
    </tableColumn>
    <tableColumn id="7" xr3:uid="{00000000-0010-0000-0800-000007000000}" name="Jun" totalsRowFunction="sum" dataDxfId="77" totalsRowDxfId="284">
      <calculatedColumnFormula>INDEX(PlanejamentoDeFuncionários[],MATCH(INDEX(VariaçõesDeFuncionários[],ROW()-ROW(VariaçõesDeFuncionários[[#Headers],[Jun]]),1),INDEX(PlanejamentoDeFuncionários[],,1),0),MATCH(VariaçõesDeFuncionários[[#Headers],[Jun]],PlanejamentoDeFuncionários[#Headers],0))-INDEX(RealFuncionários[],MATCH(INDEX(VariaçõesDeFuncionários[],ROW()-ROW(VariaçõesDeFuncionários[[#Headers],[Jun]]),1),INDEX(PlanejamentoDeFuncionários[],,1),0),MATCH(VariaçõesDeFuncionários[[#Headers],[Jun]],RealFuncionários[#Headers],0))</calculatedColumnFormula>
    </tableColumn>
    <tableColumn id="8" xr3:uid="{00000000-0010-0000-0800-000008000000}" name="Jul" totalsRowFunction="sum" dataDxfId="76" totalsRowDxfId="283">
      <calculatedColumnFormula>INDEX(PlanejamentoDeFuncionários[],MATCH(INDEX(VariaçõesDeFuncionários[],ROW()-ROW(VariaçõesDeFuncionários[[#Headers],[Jul]]),1),INDEX(PlanejamentoDeFuncionários[],,1),0),MATCH(VariaçõesDeFuncionários[[#Headers],[Jul]],PlanejamentoDeFuncionários[#Headers],0))-INDEX(RealFuncionários[],MATCH(INDEX(VariaçõesDeFuncionários[],ROW()-ROW(VariaçõesDeFuncionários[[#Headers],[Jul]]),1),INDEX(PlanejamentoDeFuncionários[],,1),0),MATCH(VariaçõesDeFuncionários[[#Headers],[Jul]],RealFuncionários[#Headers],0))</calculatedColumnFormula>
    </tableColumn>
    <tableColumn id="9" xr3:uid="{00000000-0010-0000-0800-000009000000}" name="Ago" totalsRowFunction="sum" dataDxfId="75" totalsRowDxfId="282">
      <calculatedColumnFormula>INDEX(PlanejamentoDeFuncionários[],MATCH(INDEX(VariaçõesDeFuncionários[],ROW()-ROW(VariaçõesDeFuncionários[[#Headers],[Ago]]),1),INDEX(PlanejamentoDeFuncionários[],,1),0),MATCH(VariaçõesDeFuncionários[[#Headers],[Ago]],PlanejamentoDeFuncionários[#Headers],0))-INDEX(RealFuncionários[],MATCH(INDEX(VariaçõesDeFuncionários[],ROW()-ROW(VariaçõesDeFuncionários[[#Headers],[Ago]]),1),INDEX(PlanejamentoDeFuncionários[],,1),0),MATCH(VariaçõesDeFuncionários[[#Headers],[Ago]],RealFuncionários[#Headers],0))</calculatedColumnFormula>
    </tableColumn>
    <tableColumn id="10" xr3:uid="{00000000-0010-0000-0800-00000A000000}" name="Set" totalsRowFunction="sum" dataDxfId="74" totalsRowDxfId="281">
      <calculatedColumnFormula>INDEX(PlanejamentoDeFuncionários[],MATCH(INDEX(VariaçõesDeFuncionários[],ROW()-ROW(VariaçõesDeFuncionários[[#Headers],[Set]]),1),INDEX(PlanejamentoDeFuncionários[],,1),0),MATCH(VariaçõesDeFuncionários[[#Headers],[Set]],PlanejamentoDeFuncionários[#Headers],0))-INDEX(RealFuncionários[],MATCH(INDEX(VariaçõesDeFuncionários[],ROW()-ROW(VariaçõesDeFuncionários[[#Headers],[Set]]),1),INDEX(PlanejamentoDeFuncionários[],,1),0),MATCH(VariaçõesDeFuncionários[[#Headers],[Set]],RealFuncionários[#Headers],0))</calculatedColumnFormula>
    </tableColumn>
    <tableColumn id="11" xr3:uid="{00000000-0010-0000-0800-00000B000000}" name="Out" totalsRowFunction="sum" dataDxfId="73" totalsRowDxfId="280">
      <calculatedColumnFormula>INDEX(PlanejamentoDeFuncionários[],MATCH(INDEX(VariaçõesDeFuncionários[],ROW()-ROW(VariaçõesDeFuncionários[[#Headers],[Out]]),1),INDEX(PlanejamentoDeFuncionários[],,1),0),MATCH(VariaçõesDeFuncionários[[#Headers],[Out]],PlanejamentoDeFuncionários[#Headers],0))-INDEX(RealFuncionários[],MATCH(INDEX(VariaçõesDeFuncionários[],ROW()-ROW(VariaçõesDeFuncionários[[#Headers],[Out]]),1),INDEX(PlanejamentoDeFuncionários[],,1),0),MATCH(VariaçõesDeFuncionários[[#Headers],[Out]],RealFuncionários[#Headers],0))</calculatedColumnFormula>
    </tableColumn>
    <tableColumn id="12" xr3:uid="{00000000-0010-0000-0800-00000C000000}" name="Nov" totalsRowFunction="sum" dataDxfId="72" totalsRowDxfId="279">
      <calculatedColumnFormula>INDEX(PlanejamentoDeFuncionários[],MATCH(INDEX(VariaçõesDeFuncionários[],ROW()-ROW(VariaçõesDeFuncionários[[#Headers],[Nov]]),1),INDEX(PlanejamentoDeFuncionários[],,1),0),MATCH(VariaçõesDeFuncionários[[#Headers],[Nov]],PlanejamentoDeFuncionários[#Headers],0))-INDEX(RealFuncionários[],MATCH(INDEX(VariaçõesDeFuncionários[],ROW()-ROW(VariaçõesDeFuncionários[[#Headers],[Nov]]),1),INDEX(PlanejamentoDeFuncionários[],,1),0),MATCH(VariaçõesDeFuncionários[[#Headers],[Nov]],RealFuncionários[#Headers],0))</calculatedColumnFormula>
    </tableColumn>
    <tableColumn id="13" xr3:uid="{00000000-0010-0000-0800-00000D000000}" name="Dez" totalsRowFunction="sum" dataDxfId="71" totalsRowDxfId="278">
      <calculatedColumnFormula>INDEX(PlanejamentoDeFuncionários[],MATCH(INDEX(VariaçõesDeFuncionários[],ROW()-ROW(VariaçõesDeFuncionários[[#Headers],[Dez]]),1),INDEX(PlanejamentoDeFuncionários[],,1),0),MATCH(VariaçõesDeFuncionários[[#Headers],[Dez]],PlanejamentoDeFuncionários[#Headers],0))-INDEX(RealFuncionários[],MATCH(INDEX(VariaçõesDeFuncionários[],ROW()-ROW(VariaçõesDeFuncionários[[#Headers],[Dez]]),1),INDEX(PlanejamentoDeFuncionários[],,1),0),MATCH(VariaçõesDeFuncionários[[#Headers],[Dez]],RealFuncionários[#Headers],0))</calculatedColumnFormula>
    </tableColumn>
    <tableColumn id="14" xr3:uid="{00000000-0010-0000-0800-00000E000000}" name="ANO" totalsRowFunction="sum" dataDxfId="70" totalsRowDxfId="277">
      <calculatedColumnFormula>SUM(VariaçõesDeFuncionários[[#This Row],[Jan]:[Dez]])</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A variação nos custos mensais com funcionários é calculada automaticamente nesta tabel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VariaçõesDoEscritório" displayName="VariaçõesDoEscritório" ref="B10:O19" totalsRowCount="1" headerRowDxfId="11" totalsRowDxfId="274" headerRowBorderDxfId="276" tableBorderDxfId="275" totalsRowBorderDxfId="273">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Custos do escritório" totalsRowLabel="Subtotal" dataDxfId="272" totalsRowDxfId="271"/>
    <tableColumn id="2" xr3:uid="{00000000-0010-0000-0900-000002000000}" name="Jan" totalsRowFunction="sum" dataDxfId="69" totalsRowDxfId="270">
      <calculatedColumnFormula>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calculatedColumnFormula>
    </tableColumn>
    <tableColumn id="3" xr3:uid="{00000000-0010-0000-0900-000003000000}" name="Fev" totalsRowFunction="sum" dataDxfId="68" totalsRowDxfId="269">
      <calculatedColumnFormula>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calculatedColumnFormula>
    </tableColumn>
    <tableColumn id="4" xr3:uid="{00000000-0010-0000-0900-000004000000}" name="Mar" totalsRowFunction="sum" dataDxfId="67" totalsRowDxfId="268">
      <calculatedColumnFormula>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calculatedColumnFormula>
    </tableColumn>
    <tableColumn id="5" xr3:uid="{00000000-0010-0000-0900-000005000000}" name="Abr" totalsRowFunction="sum" dataDxfId="66" totalsRowDxfId="267">
      <calculatedColumnFormula>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calculatedColumnFormula>
    </tableColumn>
    <tableColumn id="6" xr3:uid="{00000000-0010-0000-0900-000006000000}" name="Mai" totalsRowFunction="sum" dataDxfId="65" totalsRowDxfId="266">
      <calculatedColumnFormula>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calculatedColumnFormula>
    </tableColumn>
    <tableColumn id="7" xr3:uid="{00000000-0010-0000-0900-000007000000}" name="Jun" totalsRowFunction="sum" dataDxfId="64" totalsRowDxfId="265">
      <calculatedColumnFormula>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calculatedColumnFormula>
    </tableColumn>
    <tableColumn id="8" xr3:uid="{00000000-0010-0000-0900-000008000000}" name="Jul" totalsRowFunction="sum" dataDxfId="63" totalsRowDxfId="264">
      <calculatedColumnFormula>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calculatedColumnFormula>
    </tableColumn>
    <tableColumn id="9" xr3:uid="{00000000-0010-0000-0900-000009000000}" name="Ago" totalsRowFunction="sum" dataDxfId="62" totalsRowDxfId="263">
      <calculatedColumnFormula>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calculatedColumnFormula>
    </tableColumn>
    <tableColumn id="10" xr3:uid="{00000000-0010-0000-0900-00000A000000}" name="Set" totalsRowFunction="sum" dataDxfId="61" totalsRowDxfId="262">
      <calculatedColumnFormula>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calculatedColumnFormula>
    </tableColumn>
    <tableColumn id="11" xr3:uid="{00000000-0010-0000-0900-00000B000000}" name="Out" totalsRowFunction="sum" dataDxfId="60" totalsRowDxfId="261">
      <calculatedColumnFormula>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calculatedColumnFormula>
    </tableColumn>
    <tableColumn id="12" xr3:uid="{00000000-0010-0000-0900-00000C000000}" name="Nov" totalsRowFunction="sum" dataDxfId="59" totalsRowDxfId="260">
      <calculatedColumnFormula>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calculatedColumnFormula>
    </tableColumn>
    <tableColumn id="13" xr3:uid="{00000000-0010-0000-0900-00000D000000}" name="Dez" totalsRowFunction="sum" dataDxfId="58" totalsRowDxfId="259">
      <calculatedColumnFormula>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calculatedColumnFormula>
    </tableColumn>
    <tableColumn id="14" xr3:uid="{00000000-0010-0000-0900-00000E000000}" name="ANO" totalsRowFunction="sum" dataDxfId="57" totalsRowDxfId="258">
      <calculatedColumnFormula>SUM(VariaçõesDoEscritório[[#This Row],[Jan]:[Dez]])</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A variação nos custos mensais com o escritório é calculada automaticamente nesta tabela"/>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VariaçõesDeMarketing" displayName="VariaçõesDeMarketing" ref="B21:O28" totalsRowCount="1" headerRowDxfId="10" totalsRowDxfId="255" headerRowBorderDxfId="257" tableBorderDxfId="256" totalsRowBorderDxfId="254">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Custos de marketing" totalsRowLabel="Subtotal" dataDxfId="253" totalsRowDxfId="252"/>
    <tableColumn id="2" xr3:uid="{00000000-0010-0000-0A00-000002000000}" name="Jan" totalsRowFunction="sum" dataDxfId="56" totalsRowDxfId="251">
      <calculatedColumnFormula>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calculatedColumnFormula>
    </tableColumn>
    <tableColumn id="3" xr3:uid="{00000000-0010-0000-0A00-000003000000}" name="Fev" totalsRowFunction="sum" dataDxfId="55" totalsRowDxfId="250">
      <calculatedColumnFormula>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calculatedColumnFormula>
    </tableColumn>
    <tableColumn id="4" xr3:uid="{00000000-0010-0000-0A00-000004000000}" name="Mar" totalsRowFunction="sum" dataDxfId="54" totalsRowDxfId="249">
      <calculatedColumnFormula>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calculatedColumnFormula>
    </tableColumn>
    <tableColumn id="5" xr3:uid="{00000000-0010-0000-0A00-000005000000}" name="Abr" totalsRowFunction="sum" dataDxfId="53" totalsRowDxfId="248">
      <calculatedColumnFormula>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calculatedColumnFormula>
    </tableColumn>
    <tableColumn id="6" xr3:uid="{00000000-0010-0000-0A00-000006000000}" name="Mai" totalsRowFunction="sum" dataDxfId="52" totalsRowDxfId="247">
      <calculatedColumnFormula>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calculatedColumnFormula>
    </tableColumn>
    <tableColumn id="7" xr3:uid="{00000000-0010-0000-0A00-000007000000}" name="Jun" totalsRowFunction="sum" dataDxfId="51" totalsRowDxfId="246">
      <calculatedColumnFormula>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calculatedColumnFormula>
    </tableColumn>
    <tableColumn id="8" xr3:uid="{00000000-0010-0000-0A00-000008000000}" name="Jul" totalsRowFunction="sum" dataDxfId="50" totalsRowDxfId="245">
      <calculatedColumnFormula>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calculatedColumnFormula>
    </tableColumn>
    <tableColumn id="9" xr3:uid="{00000000-0010-0000-0A00-000009000000}" name="Ago" totalsRowFunction="sum" dataDxfId="49" totalsRowDxfId="244">
      <calculatedColumnFormula>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calculatedColumnFormula>
    </tableColumn>
    <tableColumn id="10" xr3:uid="{00000000-0010-0000-0A00-00000A000000}" name="Set" totalsRowFunction="sum" dataDxfId="48" totalsRowDxfId="243">
      <calculatedColumnFormula>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calculatedColumnFormula>
    </tableColumn>
    <tableColumn id="11" xr3:uid="{00000000-0010-0000-0A00-00000B000000}" name="Out" totalsRowFunction="sum" dataDxfId="47" totalsRowDxfId="242">
      <calculatedColumnFormula>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calculatedColumnFormula>
    </tableColumn>
    <tableColumn id="12" xr3:uid="{00000000-0010-0000-0A00-00000C000000}" name="Nov" totalsRowFunction="sum" dataDxfId="46" totalsRowDxfId="241">
      <calculatedColumnFormula>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calculatedColumnFormula>
    </tableColumn>
    <tableColumn id="13" xr3:uid="{00000000-0010-0000-0A00-00000D000000}" name="Dez" totalsRowFunction="sum" dataDxfId="45" totalsRowDxfId="240">
      <calculatedColumnFormula>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calculatedColumnFormula>
    </tableColumn>
    <tableColumn id="14" xr3:uid="{00000000-0010-0000-0A00-00000E000000}" name="ANO" totalsRowFunction="sum" dataDxfId="44" totalsRowDxfId="239">
      <calculatedColumnFormula>SUM(VariaçõesDeMarketing[[#This Row],[Jan]:[Dez]])</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A variação nos custos mensais com marketing é calculada automaticamente nesta tabel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VariaçõesDeViagensETreinamentos" displayName="VariaçõesDeViagensETreinamentos" ref="B30:O33" totalsRowCount="1" headerRowDxfId="9" totalsRowDxfId="236" headerRowBorderDxfId="238" tableBorderDxfId="237" totalsRowBorderDxfId="235">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Viagem/Treinamento" totalsRowLabel="Subtotal" dataDxfId="234" totalsRowDxfId="233"/>
    <tableColumn id="2" xr3:uid="{00000000-0010-0000-0B00-000002000000}" name="Jan" totalsRowFunction="sum" dataDxfId="43" totalsRowDxfId="232">
      <calculatedColumnFormula>INDEX(PlanejamentoViagemETreinamento[],MATCH(INDEX(VariaçõesDeViagensETreinamentos[],ROW()-ROW(VariaçõesDeViagensETreinamentos[[#Headers],[Jan]]),1),INDEX(PlanejamentoViagemETreinamento[],,1),0),MATCH(VariaçõesDeViagensETreinamentos[[#Headers],[Jan]],PlanejamentoViagemETreinamento[#Headers],0))-INDEX(RealViagemETreinamento[],MATCH(INDEX(VariaçõesDeViagensETreinamentos[],ROW()-ROW(VariaçõesDeViagensETreinamentos[[#Headers],[Jan]]),1),INDEX(PlanejamentoViagemETreinamento[],,1),0),MATCH(VariaçõesDeViagensETreinamentos[[#Headers],[Jan]],RealViagemETreinamento[#Headers],0))</calculatedColumnFormula>
    </tableColumn>
    <tableColumn id="3" xr3:uid="{00000000-0010-0000-0B00-000003000000}" name="Fev" totalsRowFunction="sum" dataDxfId="42" totalsRowDxfId="231">
      <calculatedColumnFormula>INDEX(PlanejamentoViagemETreinamento[],MATCH(INDEX(VariaçõesDeViagensETreinamentos[],ROW()-ROW(VariaçõesDeViagensETreinamentos[[#Headers],[Fev]]),1),INDEX(PlanejamentoViagemETreinamento[],,1),0),MATCH(VariaçõesDeViagensETreinamentos[[#Headers],[Fev]],PlanejamentoViagemETreinamento[#Headers],0))-INDEX(RealViagemETreinamento[],MATCH(INDEX(VariaçõesDeViagensETreinamentos[],ROW()-ROW(VariaçõesDeViagensETreinamentos[[#Headers],[Fev]]),1),INDEX(PlanejamentoViagemETreinamento[],,1),0),MATCH(VariaçõesDeViagensETreinamentos[[#Headers],[Fev]],RealViagemETreinamento[#Headers],0))</calculatedColumnFormula>
    </tableColumn>
    <tableColumn id="4" xr3:uid="{00000000-0010-0000-0B00-000004000000}" name="Mar" totalsRowFunction="sum" dataDxfId="41" totalsRowDxfId="230">
      <calculatedColumnFormula>INDEX(PlanejamentoViagemETreinamento[],MATCH(INDEX(VariaçõesDeViagensETreinamentos[],ROW()-ROW(VariaçõesDeViagensETreinamentos[[#Headers],[Mar]]),1),INDEX(PlanejamentoViagemETreinamento[],,1),0),MATCH(VariaçõesDeViagensETreinamentos[[#Headers],[Mar]],PlanejamentoViagemETreinamento[#Headers],0))-INDEX(RealViagemETreinamento[],MATCH(INDEX(VariaçõesDeViagensETreinamentos[],ROW()-ROW(VariaçõesDeViagensETreinamentos[[#Headers],[Mar]]),1),INDEX(PlanejamentoViagemETreinamento[],,1),0),MATCH(VariaçõesDeViagensETreinamentos[[#Headers],[Mar]],RealViagemETreinamento[#Headers],0))</calculatedColumnFormula>
    </tableColumn>
    <tableColumn id="5" xr3:uid="{00000000-0010-0000-0B00-000005000000}" name="Abr" totalsRowFunction="sum" dataDxfId="40" totalsRowDxfId="229">
      <calculatedColumnFormula>INDEX(PlanejamentoViagemETreinamento[],MATCH(INDEX(VariaçõesDeViagensETreinamentos[],ROW()-ROW(VariaçõesDeViagensETreinamentos[[#Headers],[Abr]]),1),INDEX(PlanejamentoViagemETreinamento[],,1),0),MATCH(VariaçõesDeViagensETreinamentos[[#Headers],[Abr]],PlanejamentoViagemETreinamento[#Headers],0))-INDEX(RealViagemETreinamento[],MATCH(INDEX(VariaçõesDeViagensETreinamentos[],ROW()-ROW(VariaçõesDeViagensETreinamentos[[#Headers],[Abr]]),1),INDEX(PlanejamentoViagemETreinamento[],,1),0),MATCH(VariaçõesDeViagensETreinamentos[[#Headers],[Abr]],RealViagemETreinamento[#Headers],0))</calculatedColumnFormula>
    </tableColumn>
    <tableColumn id="6" xr3:uid="{00000000-0010-0000-0B00-000006000000}" name="Mai" totalsRowFunction="sum" dataDxfId="39" totalsRowDxfId="228">
      <calculatedColumnFormula>INDEX(PlanejamentoViagemETreinamento[],MATCH(INDEX(VariaçõesDeViagensETreinamentos[],ROW()-ROW(VariaçõesDeViagensETreinamentos[[#Headers],[Mai]]),1),INDEX(PlanejamentoViagemETreinamento[],,1),0),MATCH(VariaçõesDeViagensETreinamentos[[#Headers],[Mai]],PlanejamentoViagemETreinamento[#Headers],0))-INDEX(RealViagemETreinamento[],MATCH(INDEX(VariaçõesDeViagensETreinamentos[],ROW()-ROW(VariaçõesDeViagensETreinamentos[[#Headers],[Mai]]),1),INDEX(PlanejamentoViagemETreinamento[],,1),0),MATCH(VariaçõesDeViagensETreinamentos[[#Headers],[Mai]],RealViagemETreinamento[#Headers],0))</calculatedColumnFormula>
    </tableColumn>
    <tableColumn id="7" xr3:uid="{00000000-0010-0000-0B00-000007000000}" name="Jun" totalsRowFunction="sum" dataDxfId="38" totalsRowDxfId="227">
      <calculatedColumnFormula>INDEX(PlanejamentoViagemETreinamento[],MATCH(INDEX(VariaçõesDeViagensETreinamentos[],ROW()-ROW(VariaçõesDeViagensETreinamentos[[#Headers],[Jun]]),1),INDEX(PlanejamentoViagemETreinamento[],,1),0),MATCH(VariaçõesDeViagensETreinamentos[[#Headers],[Jun]],PlanejamentoViagemETreinamento[#Headers],0))-INDEX(RealViagemETreinamento[],MATCH(INDEX(VariaçõesDeViagensETreinamentos[],ROW()-ROW(VariaçõesDeViagensETreinamentos[[#Headers],[Jun]]),1),INDEX(PlanejamentoViagemETreinamento[],,1),0),MATCH(VariaçõesDeViagensETreinamentos[[#Headers],[Jun]],RealViagemETreinamento[#Headers],0))</calculatedColumnFormula>
    </tableColumn>
    <tableColumn id="8" xr3:uid="{00000000-0010-0000-0B00-000008000000}" name="Jul" totalsRowFunction="sum" dataDxfId="37" totalsRowDxfId="226">
      <calculatedColumnFormula>INDEX(PlanejamentoViagemETreinamento[],MATCH(INDEX(VariaçõesDeViagensETreinamentos[],ROW()-ROW(VariaçõesDeViagensETreinamentos[[#Headers],[Jul]]),1),INDEX(PlanejamentoViagemETreinamento[],,1),0),MATCH(VariaçõesDeViagensETreinamentos[[#Headers],[Jul]],PlanejamentoViagemETreinamento[#Headers],0))-INDEX(RealViagemETreinamento[],MATCH(INDEX(VariaçõesDeViagensETreinamentos[],ROW()-ROW(VariaçõesDeViagensETreinamentos[[#Headers],[Jul]]),1),INDEX(PlanejamentoViagemETreinamento[],,1),0),MATCH(VariaçõesDeViagensETreinamentos[[#Headers],[Jul]],RealViagemETreinamento[#Headers],0))</calculatedColumnFormula>
    </tableColumn>
    <tableColumn id="9" xr3:uid="{00000000-0010-0000-0B00-000009000000}" name="Ago" totalsRowFunction="sum" dataDxfId="36" totalsRowDxfId="225">
      <calculatedColumnFormula>INDEX(PlanejamentoViagemETreinamento[],MATCH(INDEX(VariaçõesDeViagensETreinamentos[],ROW()-ROW(VariaçõesDeViagensETreinamentos[[#Headers],[Ago]]),1),INDEX(PlanejamentoViagemETreinamento[],,1),0),MATCH(VariaçõesDeViagensETreinamentos[[#Headers],[Ago]],PlanejamentoViagemETreinamento[#Headers],0))-INDEX(RealViagemETreinamento[],MATCH(INDEX(VariaçõesDeViagensETreinamentos[],ROW()-ROW(VariaçõesDeViagensETreinamentos[[#Headers],[Ago]]),1),INDEX(PlanejamentoViagemETreinamento[],,1),0),MATCH(VariaçõesDeViagensETreinamentos[[#Headers],[Ago]],RealViagemETreinamento[#Headers],0))</calculatedColumnFormula>
    </tableColumn>
    <tableColumn id="10" xr3:uid="{00000000-0010-0000-0B00-00000A000000}" name="Set" totalsRowFunction="sum" dataDxfId="35" totalsRowDxfId="224">
      <calculatedColumnFormula>INDEX(PlanejamentoViagemETreinamento[],MATCH(INDEX(VariaçõesDeViagensETreinamentos[],ROW()-ROW(VariaçõesDeViagensETreinamentos[[#Headers],[Set]]),1),INDEX(PlanejamentoViagemETreinamento[],,1),0),MATCH(VariaçõesDeViagensETreinamentos[[#Headers],[Set]],PlanejamentoViagemETreinamento[#Headers],0))-INDEX(RealViagemETreinamento[],MATCH(INDEX(VariaçõesDeViagensETreinamentos[],ROW()-ROW(VariaçõesDeViagensETreinamentos[[#Headers],[Set]]),1),INDEX(PlanejamentoViagemETreinamento[],,1),0),MATCH(VariaçõesDeViagensETreinamentos[[#Headers],[Set]],RealViagemETreinamento[#Headers],0))</calculatedColumnFormula>
    </tableColumn>
    <tableColumn id="11" xr3:uid="{00000000-0010-0000-0B00-00000B000000}" name="Out" totalsRowFunction="sum" dataDxfId="34" totalsRowDxfId="223">
      <calculatedColumnFormula>INDEX(PlanejamentoViagemETreinamento[],MATCH(INDEX(VariaçõesDeViagensETreinamentos[],ROW()-ROW(VariaçõesDeViagensETreinamentos[[#Headers],[Out]]),1),INDEX(PlanejamentoViagemETreinamento[],,1),0),MATCH(VariaçõesDeViagensETreinamentos[[#Headers],[Out]],PlanejamentoViagemETreinamento[#Headers],0))-INDEX(RealViagemETreinamento[],MATCH(INDEX(VariaçõesDeViagensETreinamentos[],ROW()-ROW(VariaçõesDeViagensETreinamentos[[#Headers],[Out]]),1),INDEX(PlanejamentoViagemETreinamento[],,1),0),MATCH(VariaçõesDeViagensETreinamentos[[#Headers],[Out]],RealViagemETreinamento[#Headers],0))</calculatedColumnFormula>
    </tableColumn>
    <tableColumn id="12" xr3:uid="{00000000-0010-0000-0B00-00000C000000}" name="Nov" totalsRowFunction="sum" dataDxfId="33" totalsRowDxfId="222">
      <calculatedColumnFormula>INDEX(PlanejamentoViagemETreinamento[],MATCH(INDEX(VariaçõesDeViagensETreinamentos[],ROW()-ROW(VariaçõesDeViagensETreinamentos[[#Headers],[Nov]]),1),INDEX(PlanejamentoViagemETreinamento[],,1),0),MATCH(VariaçõesDeViagensETreinamentos[[#Headers],[Nov]],PlanejamentoViagemETreinamento[#Headers],0))-INDEX(RealViagemETreinamento[],MATCH(INDEX(VariaçõesDeViagensETreinamentos[],ROW()-ROW(VariaçõesDeViagensETreinamentos[[#Headers],[Nov]]),1),INDEX(PlanejamentoViagemETreinamento[],,1),0),MATCH(VariaçõesDeViagensETreinamentos[[#Headers],[Nov]],RealViagemETreinamento[#Headers],0))</calculatedColumnFormula>
    </tableColumn>
    <tableColumn id="13" xr3:uid="{00000000-0010-0000-0B00-00000D000000}" name="Dez" totalsRowFunction="sum" dataDxfId="32" totalsRowDxfId="221">
      <calculatedColumnFormula>INDEX(PlanejamentoViagemETreinamento[],MATCH(INDEX(VariaçõesDeViagensETreinamentos[],ROW()-ROW(VariaçõesDeViagensETreinamentos[[#Headers],[Dez]]),1),INDEX(PlanejamentoViagemETreinamento[],,1),0),MATCH(VariaçõesDeViagensETreinamentos[[#Headers],[Dez]],PlanejamentoViagemETreinamento[#Headers],0))-INDEX(RealViagemETreinamento[],MATCH(INDEX(VariaçõesDeViagensETreinamentos[],ROW()-ROW(VariaçõesDeViagensETreinamentos[[#Headers],[Dez]]),1),INDEX(PlanejamentoViagemETreinamento[],,1),0),MATCH(VariaçõesDeViagensETreinamentos[[#Headers],[Dez]],RealViagemETreinamento[#Headers],0))</calculatedColumnFormula>
    </tableColumn>
    <tableColumn id="14" xr3:uid="{00000000-0010-0000-0B00-00000E000000}" name="ANO" totalsRowFunction="sum" dataDxfId="31" totalsRowDxfId="220">
      <calculatedColumnFormula>SUM(VariaçõesDeViagensETreinamentos[[#This Row],[Jan]:[Dez]])</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A variação nos custos mensais com viagens e treinamentos é calculada automaticamente nesta tabela"/>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VariaçõesTotais" displayName="VariaçõesTotais" ref="B35:O37" totalsRowShown="0" headerRowDxfId="8" dataDxfId="219" tableBorderDxfId="218">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TOTAIS" dataDxfId="217"/>
    <tableColumn id="2" xr3:uid="{AE0C21A5-398B-42DE-950D-8AE4AD1A8551}" name="Jan" dataDxfId="30">
      <calculatedColumnFormula>SUM($C35:C$36)</calculatedColumnFormula>
    </tableColumn>
    <tableColumn id="3" xr3:uid="{A43B0B0E-F35F-4E04-8A0D-11BB7356D5F1}" name="Fev" dataDxfId="29">
      <calculatedColumnFormula>SUM($C35:D$36)</calculatedColumnFormula>
    </tableColumn>
    <tableColumn id="4" xr3:uid="{F14459A4-8E61-4E04-9A53-A7DA16CE366A}" name="Mar" dataDxfId="28">
      <calculatedColumnFormula>SUM($C35:E$36)</calculatedColumnFormula>
    </tableColumn>
    <tableColumn id="5" xr3:uid="{1C90C974-8801-4A11-B3AF-1DC144BB0C14}" name="Abr" dataDxfId="27">
      <calculatedColumnFormula>SUM($C35:F$36)</calculatedColumnFormula>
    </tableColumn>
    <tableColumn id="6" xr3:uid="{C8E3F4F6-5F27-4CC7-9916-6D86833782C1}" name="Mai" dataDxfId="26">
      <calculatedColumnFormula>SUM($C35:G$36)</calculatedColumnFormula>
    </tableColumn>
    <tableColumn id="7" xr3:uid="{AF75D92B-7578-4087-BB78-DD5AD8165117}" name="Jun" dataDxfId="25">
      <calculatedColumnFormula>SUM($C35:H$36)</calculatedColumnFormula>
    </tableColumn>
    <tableColumn id="8" xr3:uid="{35F61ABA-09FB-4695-B0F5-A2C6B6580A2E}" name="Jul" dataDxfId="24">
      <calculatedColumnFormula>SUM($C35:I$36)</calculatedColumnFormula>
    </tableColumn>
    <tableColumn id="9" xr3:uid="{59F62437-45DC-439F-945A-D0E79C444E8E}" name="Ago" dataDxfId="23">
      <calculatedColumnFormula>SUM($C35:J$36)</calculatedColumnFormula>
    </tableColumn>
    <tableColumn id="10" xr3:uid="{2BF9DCC5-B211-44A6-BD40-E91602CDA85C}" name="Set" dataDxfId="22">
      <calculatedColumnFormula>SUM($C35:K$36)</calculatedColumnFormula>
    </tableColumn>
    <tableColumn id="11" xr3:uid="{4280684A-CD23-4103-8664-029757D0A2A2}" name="Out" dataDxfId="21">
      <calculatedColumnFormula>SUM($C35:L$36)</calculatedColumnFormula>
    </tableColumn>
    <tableColumn id="12" xr3:uid="{07DED434-EC8F-4DAF-83E3-E350A33F2EAE}" name="Nov" dataDxfId="20">
      <calculatedColumnFormula>SUM($C35:M$36)</calculatedColumnFormula>
    </tableColumn>
    <tableColumn id="13" xr3:uid="{32BA0102-0F05-43CF-91BA-724F1FE01DAA}" name="Dez" dataDxfId="19">
      <calculatedColumnFormula>SUM($C35:N$36)</calculatedColumnFormula>
    </tableColumn>
    <tableColumn id="14" xr3:uid="{57A0D710-AEB8-4057-928D-010058E02081}" name="Ano" dataDxfId="18"/>
  </tableColumns>
  <tableStyleInfo showFirstColumn="1" showLastColumn="0" showRowStripes="0" showColumnStripes="0"/>
  <extLst>
    <ext xmlns:x14="http://schemas.microsoft.com/office/spreadsheetml/2009/9/main" uri="{504A1905-F514-4f6f-8877-14C23A59335A}">
      <x14:table altTextSummary="A variação de despesas mensais e totais é calculada automaticamente nesta tabela"/>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álise" displayName="Análise" ref="B5:F10" totalsRowShown="0" dataDxfId="216" tableBorderDxfId="215">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Categoria de despesas" dataDxfId="214"/>
    <tableColumn id="2" xr3:uid="{71038352-BC76-49DD-9F6C-B394E5F033ED}" name="Despesas planejadas" dataDxfId="2"/>
    <tableColumn id="3" xr3:uid="{19ED3EBC-BC10-47F6-9800-62129A32BC8E}" name="Despesas reais" dataDxfId="1"/>
    <tableColumn id="4" xr3:uid="{E8D5E1DD-7CB1-4A1A-8F42-EFBF70790FE7}" name="Variações de despesas" dataDxfId="0">
      <calculatedColumnFormula>C6-D6</calculatedColumnFormula>
    </tableColumn>
    <tableColumn id="5" xr3:uid="{47E1881E-12A2-4F0E-8364-B79F2DC5D0B1}" name="Porcentagem de variação" dataDxfId="213">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lanejamentoDeMarketing" displayName="PlanejamentoDeMarketing" ref="B21:O28" totalsRowCount="1" headerRowDxfId="16" totalsRowDxfId="434" headerRowBorderDxfId="436" tableBorderDxfId="435" totalsRowBorderDxfId="433">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Custos de marketing" totalsRowLabel="Subtotal" dataDxfId="432" totalsRowDxfId="431"/>
    <tableColumn id="2" xr3:uid="{00000000-0010-0000-0100-000002000000}" name="Jan" totalsRowFunction="sum" dataDxfId="199" totalsRowDxfId="430"/>
    <tableColumn id="3" xr3:uid="{00000000-0010-0000-0100-000003000000}" name="Fev" totalsRowFunction="sum" dataDxfId="198" totalsRowDxfId="429"/>
    <tableColumn id="4" xr3:uid="{00000000-0010-0000-0100-000004000000}" name="Mar" totalsRowFunction="sum" dataDxfId="197" totalsRowDxfId="428"/>
    <tableColumn id="5" xr3:uid="{00000000-0010-0000-0100-000005000000}" name="Abr" totalsRowFunction="sum" dataDxfId="196" totalsRowDxfId="427"/>
    <tableColumn id="6" xr3:uid="{00000000-0010-0000-0100-000006000000}" name="Mai" totalsRowFunction="sum" dataDxfId="195" totalsRowDxfId="426"/>
    <tableColumn id="7" xr3:uid="{00000000-0010-0000-0100-000007000000}" name="Jun" totalsRowFunction="sum" dataDxfId="194" totalsRowDxfId="425"/>
    <tableColumn id="8" xr3:uid="{00000000-0010-0000-0100-000008000000}" name="Jul" totalsRowFunction="sum" dataDxfId="193" totalsRowDxfId="424"/>
    <tableColumn id="9" xr3:uid="{00000000-0010-0000-0100-000009000000}" name="Ago" totalsRowFunction="sum" dataDxfId="192" totalsRowDxfId="423"/>
    <tableColumn id="10" xr3:uid="{00000000-0010-0000-0100-00000A000000}" name="Set" totalsRowFunction="sum" dataDxfId="191" totalsRowDxfId="422"/>
    <tableColumn id="11" xr3:uid="{00000000-0010-0000-0100-00000B000000}" name="Out" totalsRowFunction="sum" dataDxfId="190" totalsRowDxfId="421"/>
    <tableColumn id="12" xr3:uid="{00000000-0010-0000-0100-00000C000000}" name="Nov" totalsRowFunction="sum" dataDxfId="189" totalsRowDxfId="420"/>
    <tableColumn id="13" xr3:uid="{00000000-0010-0000-0100-00000D000000}" name="Dez" totalsRowFunction="sum" dataDxfId="188" totalsRowDxfId="419"/>
    <tableColumn id="14" xr3:uid="{00000000-0010-0000-0100-00000E000000}" name="ANO" totalsRowFunction="sum" dataDxfId="187" totalsRowDxfId="418">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planejados para marketing nesta tabela. O total é calculado automaticamente no fin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lanejamentoViagemETreinamento" displayName="PlanejamentoViagemETreinamento" ref="B30:O33" totalsRowCount="1" headerRowDxfId="15" totalsRowDxfId="415" headerRowBorderDxfId="417" tableBorderDxfId="416" totalsRowBorderDxfId="414">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Viagem/Treinamento" totalsRowLabel="Subtotal" dataDxfId="413" totalsRowDxfId="412"/>
    <tableColumn id="2" xr3:uid="{00000000-0010-0000-0200-000002000000}" name="Jan" totalsRowFunction="sum" dataDxfId="186" totalsRowDxfId="411"/>
    <tableColumn id="3" xr3:uid="{00000000-0010-0000-0200-000003000000}" name="Fev" totalsRowFunction="sum" dataDxfId="185" totalsRowDxfId="410"/>
    <tableColumn id="4" xr3:uid="{00000000-0010-0000-0200-000004000000}" name="Mar" totalsRowFunction="sum" dataDxfId="184" totalsRowDxfId="409"/>
    <tableColumn id="5" xr3:uid="{00000000-0010-0000-0200-000005000000}" name="Abr" totalsRowFunction="sum" dataDxfId="183" totalsRowDxfId="408"/>
    <tableColumn id="6" xr3:uid="{00000000-0010-0000-0200-000006000000}" name="Mai" totalsRowFunction="sum" dataDxfId="182" totalsRowDxfId="407"/>
    <tableColumn id="7" xr3:uid="{00000000-0010-0000-0200-000007000000}" name="Jun" totalsRowFunction="sum" dataDxfId="181" totalsRowDxfId="406"/>
    <tableColumn id="8" xr3:uid="{00000000-0010-0000-0200-000008000000}" name="Jul" totalsRowFunction="sum" dataDxfId="180" totalsRowDxfId="405"/>
    <tableColumn id="9" xr3:uid="{00000000-0010-0000-0200-000009000000}" name="Ago" totalsRowFunction="sum" dataDxfId="179" totalsRowDxfId="404"/>
    <tableColumn id="10" xr3:uid="{00000000-0010-0000-0200-00000A000000}" name="Set" totalsRowFunction="sum" dataDxfId="178" totalsRowDxfId="403"/>
    <tableColumn id="11" xr3:uid="{00000000-0010-0000-0200-00000B000000}" name="Out" totalsRowFunction="sum" dataDxfId="177" totalsRowDxfId="402"/>
    <tableColumn id="12" xr3:uid="{00000000-0010-0000-0200-00000C000000}" name="Nov" totalsRowFunction="sum" dataDxfId="176" totalsRowDxfId="401"/>
    <tableColumn id="13" xr3:uid="{00000000-0010-0000-0200-00000D000000}" name="Dez" totalsRowFunction="sum" dataDxfId="175" totalsRowDxfId="400"/>
    <tableColumn id="14" xr3:uid="{00000000-0010-0000-0200-00000E000000}" name="ANO" totalsRowFunction="sum" dataDxfId="174" totalsRowDxfId="399">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planejados para viagens e treinamentos nesta tabela. O total é calculado automaticamente no fina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PlanejamentoDeFuncionários" displayName="PlanejamentoDeFuncionários" ref="B5:O8" totalsRowCount="1" headerRowDxfId="14" totalsRowDxfId="396" headerRowBorderDxfId="398" tableBorderDxfId="397" totalsRowBorderDxfId="395">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Custos com funcionários" totalsRowLabel="Subtotal" dataDxfId="394" totalsRowDxfId="393"/>
    <tableColumn id="2" xr3:uid="{00000000-0010-0000-0300-000002000000}" name="Jan" totalsRowFunction="sum" dataDxfId="173" totalsRowDxfId="392">
      <calculatedColumnFormula>C5*0.27</calculatedColumnFormula>
    </tableColumn>
    <tableColumn id="3" xr3:uid="{00000000-0010-0000-0300-000003000000}" name="Fev" totalsRowFunction="sum" dataDxfId="172" totalsRowDxfId="391">
      <calculatedColumnFormula>D5*0.27</calculatedColumnFormula>
    </tableColumn>
    <tableColumn id="4" xr3:uid="{00000000-0010-0000-0300-000004000000}" name="Mar" totalsRowFunction="sum" dataDxfId="171" totalsRowDxfId="390">
      <calculatedColumnFormula>E5*0.27</calculatedColumnFormula>
    </tableColumn>
    <tableColumn id="5" xr3:uid="{00000000-0010-0000-0300-000005000000}" name="Abr" totalsRowFunction="sum" dataDxfId="170" totalsRowDxfId="389">
      <calculatedColumnFormula>F5*0.27</calculatedColumnFormula>
    </tableColumn>
    <tableColumn id="6" xr3:uid="{00000000-0010-0000-0300-000006000000}" name="Mai" totalsRowFunction="sum" dataDxfId="169" totalsRowDxfId="388">
      <calculatedColumnFormula>G5*0.27</calculatedColumnFormula>
    </tableColumn>
    <tableColumn id="7" xr3:uid="{00000000-0010-0000-0300-000007000000}" name="Jun" totalsRowFunction="sum" dataDxfId="168" totalsRowDxfId="387">
      <calculatedColumnFormula>H5*0.27</calculatedColumnFormula>
    </tableColumn>
    <tableColumn id="8" xr3:uid="{00000000-0010-0000-0300-000008000000}" name="Jul" totalsRowFunction="sum" dataDxfId="167" totalsRowDxfId="386">
      <calculatedColumnFormula>I5*0.27</calculatedColumnFormula>
    </tableColumn>
    <tableColumn id="9" xr3:uid="{00000000-0010-0000-0300-000009000000}" name="Ago" totalsRowFunction="sum" dataDxfId="166" totalsRowDxfId="385">
      <calculatedColumnFormula>J5*0.27</calculatedColumnFormula>
    </tableColumn>
    <tableColumn id="10" xr3:uid="{00000000-0010-0000-0300-00000A000000}" name="Set" totalsRowFunction="sum" dataDxfId="165" totalsRowDxfId="384">
      <calculatedColumnFormula>K5*0.27</calculatedColumnFormula>
    </tableColumn>
    <tableColumn id="11" xr3:uid="{00000000-0010-0000-0300-00000B000000}" name="Out" totalsRowFunction="sum" dataDxfId="164" totalsRowDxfId="383">
      <calculatedColumnFormula>L5*0.27</calculatedColumnFormula>
    </tableColumn>
    <tableColumn id="12" xr3:uid="{00000000-0010-0000-0300-00000C000000}" name="Nov" totalsRowFunction="sum" dataDxfId="163" totalsRowDxfId="382">
      <calculatedColumnFormula>M5*0.27</calculatedColumnFormula>
    </tableColumn>
    <tableColumn id="13" xr3:uid="{00000000-0010-0000-0300-00000D000000}" name="Dez" totalsRowFunction="sum" dataDxfId="162" totalsRowDxfId="381">
      <calculatedColumnFormula>N5*0.27</calculatedColumnFormula>
    </tableColumn>
    <tableColumn id="14" xr3:uid="{00000000-0010-0000-0300-00000E000000}" name="ANO" totalsRowFunction="sum" dataDxfId="161" totalsRowDxfId="380">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Insira os custos mensais planejados para funcionários nesta tabela. O total é calculado automaticamente no fina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TotalPlanejado" displayName="TotalPlanejado" ref="B35:O37" totalsRowShown="0" headerRowDxfId="13" dataDxfId="378" headerRowBorderDxfId="379" tableBorderDxfId="377" totalsRowBorderDxfId="376">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TOTAIS" dataDxfId="375"/>
    <tableColumn id="2" xr3:uid="{3CBCAAC6-5850-43CE-8A4B-7299FADFEA94}" name="Jan" dataDxfId="160">
      <calculatedColumnFormula>SUM($C35:C$36)</calculatedColumnFormula>
    </tableColumn>
    <tableColumn id="3" xr3:uid="{E78EAAAB-F732-4079-94F1-D17531764B41}" name="Fev" dataDxfId="159">
      <calculatedColumnFormula>SUM($C35:D$36)</calculatedColumnFormula>
    </tableColumn>
    <tableColumn id="4" xr3:uid="{7E178853-B334-4E02-A0B5-9E8AC39D6929}" name="Mar" dataDxfId="158">
      <calculatedColumnFormula>SUM($C35:E$36)</calculatedColumnFormula>
    </tableColumn>
    <tableColumn id="5" xr3:uid="{901BCAA1-7C45-46E6-9DAA-C055B5CC4D9E}" name="Abr" dataDxfId="157">
      <calculatedColumnFormula>SUM($C35:F$36)</calculatedColumnFormula>
    </tableColumn>
    <tableColumn id="6" xr3:uid="{FDC62F5A-FCA8-49DA-AFE4-FBDA22CB588C}" name="Mai" dataDxfId="156">
      <calculatedColumnFormula>SUM($C35:G$36)</calculatedColumnFormula>
    </tableColumn>
    <tableColumn id="7" xr3:uid="{6B7E4F62-6387-4545-9593-FCFE8EB0E87B}" name="Jun" dataDxfId="155">
      <calculatedColumnFormula>SUM($C35:H$36)</calculatedColumnFormula>
    </tableColumn>
    <tableColumn id="8" xr3:uid="{29C96D76-82C3-4C86-A866-135D2B5F6766}" name="Jul" dataDxfId="154">
      <calculatedColumnFormula>SUM($C35:I$36)</calculatedColumnFormula>
    </tableColumn>
    <tableColumn id="9" xr3:uid="{8EAF7A8A-BCFD-4A07-ADFE-7B3A8A367BB3}" name="Ago" dataDxfId="153">
      <calculatedColumnFormula>SUM($C35:J$36)</calculatedColumnFormula>
    </tableColumn>
    <tableColumn id="10" xr3:uid="{F40CD844-EFB4-4B82-8FEA-F130D1DDE9B6}" name="Set" dataDxfId="152">
      <calculatedColumnFormula>SUM($C35:K$36)</calculatedColumnFormula>
    </tableColumn>
    <tableColumn id="11" xr3:uid="{42E3BDAF-1274-4A42-93E1-A70D8EFF4D76}" name="Out" dataDxfId="151">
      <calculatedColumnFormula>SUM($C35:L$36)</calculatedColumnFormula>
    </tableColumn>
    <tableColumn id="12" xr3:uid="{4F7ADDB3-3705-4D5F-B56D-EBBC8E7DFAFB}" name="Nov" dataDxfId="150">
      <calculatedColumnFormula>SUM($C35:M$36)</calculatedColumnFormula>
    </tableColumn>
    <tableColumn id="13" xr3:uid="{56789314-1137-4ED4-BA2B-969187ADECB2}" name="Dez" dataDxfId="149">
      <calculatedColumnFormula>SUM($C35:N$36)</calculatedColumnFormula>
    </tableColumn>
    <tableColumn id="14" xr3:uid="{284F34B8-8D32-4E44-96FD-25CE69A931D2}" name="Ano" dataDxfId="148"/>
  </tableColumns>
  <tableStyleInfo showFirstColumn="1" showLastColumn="0" showRowStripes="0" showColumnStripes="0"/>
  <extLst>
    <ext xmlns:x14="http://schemas.microsoft.com/office/spreadsheetml/2009/9/main" uri="{504A1905-F514-4f6f-8877-14C23A59335A}">
      <x14:table altTextSummary="As despesas planejadas mensais e totais são calculadas automaticamente nesta tabel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RealEscritório" displayName="RealEscritório" ref="B10:O19" totalsRowCount="1" headerRowDxfId="7" totalsRowDxfId="372" headerRowBorderDxfId="374" tableBorderDxfId="373" totalsRowBorderDxfId="371">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Custos do escritório" totalsRowLabel="Subtotal" dataDxfId="370" totalsRowDxfId="369"/>
    <tableColumn id="2" xr3:uid="{00000000-0010-0000-0400-000002000000}" name="Jan" totalsRowFunction="sum" dataDxfId="147" totalsRowDxfId="368"/>
    <tableColumn id="3" xr3:uid="{00000000-0010-0000-0400-000003000000}" name="Fev" totalsRowFunction="sum" dataDxfId="146" totalsRowDxfId="367"/>
    <tableColumn id="4" xr3:uid="{00000000-0010-0000-0400-000004000000}" name="Mar" totalsRowFunction="sum" dataDxfId="145" totalsRowDxfId="366"/>
    <tableColumn id="5" xr3:uid="{00000000-0010-0000-0400-000005000000}" name="Abr" totalsRowFunction="sum" dataDxfId="144" totalsRowDxfId="365"/>
    <tableColumn id="6" xr3:uid="{00000000-0010-0000-0400-000006000000}" name="Mai" totalsRowFunction="sum" dataDxfId="143" totalsRowDxfId="364"/>
    <tableColumn id="7" xr3:uid="{00000000-0010-0000-0400-000007000000}" name="Jun" totalsRowFunction="sum" dataDxfId="142" totalsRowDxfId="363"/>
    <tableColumn id="8" xr3:uid="{00000000-0010-0000-0400-000008000000}" name="Jul" totalsRowFunction="sum" dataDxfId="141" totalsRowDxfId="362"/>
    <tableColumn id="9" xr3:uid="{00000000-0010-0000-0400-000009000000}" name="Ago" totalsRowFunction="sum" dataDxfId="140" totalsRowDxfId="361"/>
    <tableColumn id="10" xr3:uid="{00000000-0010-0000-0400-00000A000000}" name="Set" totalsRowFunction="sum" dataDxfId="139" totalsRowDxfId="360"/>
    <tableColumn id="11" xr3:uid="{00000000-0010-0000-0400-00000B000000}" name="Out" totalsRowFunction="sum" dataDxfId="138" totalsRowDxfId="359"/>
    <tableColumn id="12" xr3:uid="{00000000-0010-0000-0400-00000C000000}" name="Nov" totalsRowFunction="sum" dataDxfId="137" totalsRowDxfId="358"/>
    <tableColumn id="13" xr3:uid="{00000000-0010-0000-0400-00000D000000}" name="Dez" totalsRowFunction="sum" dataDxfId="136" totalsRowDxfId="357"/>
    <tableColumn id="14" xr3:uid="{00000000-0010-0000-0400-00000E000000}" name="ANO" totalsRowFunction="sum" dataDxfId="135" totalsRowDxfId="356">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reais com escritório nesta tabela. O total é calculado automaticamente no final"/>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RealMarketing" displayName="RealMarketing" ref="B21:O28" totalsRowCount="1" headerRowDxfId="6" totalsRowDxfId="353" headerRowBorderDxfId="355" tableBorderDxfId="354" totalsRowBorderDxfId="352">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Custos de marketing" totalsRowLabel="Subtotal" dataDxfId="351" totalsRowDxfId="350"/>
    <tableColumn id="2" xr3:uid="{00000000-0010-0000-0500-000002000000}" name="Jan" totalsRowFunction="sum" dataDxfId="134" totalsRowDxfId="349"/>
    <tableColumn id="3" xr3:uid="{00000000-0010-0000-0500-000003000000}" name="Fev" totalsRowFunction="sum" dataDxfId="133" totalsRowDxfId="348"/>
    <tableColumn id="4" xr3:uid="{00000000-0010-0000-0500-000004000000}" name="Mar" totalsRowFunction="sum" dataDxfId="132" totalsRowDxfId="347"/>
    <tableColumn id="5" xr3:uid="{00000000-0010-0000-0500-000005000000}" name="Abr" totalsRowFunction="sum" dataDxfId="131" totalsRowDxfId="346"/>
    <tableColumn id="6" xr3:uid="{00000000-0010-0000-0500-000006000000}" name="Mai" totalsRowFunction="sum" dataDxfId="130" totalsRowDxfId="345"/>
    <tableColumn id="7" xr3:uid="{00000000-0010-0000-0500-000007000000}" name="Jun" totalsRowFunction="sum" dataDxfId="129" totalsRowDxfId="344"/>
    <tableColumn id="8" xr3:uid="{00000000-0010-0000-0500-000008000000}" name="Jul" totalsRowFunction="sum" dataDxfId="128" totalsRowDxfId="343"/>
    <tableColumn id="9" xr3:uid="{00000000-0010-0000-0500-000009000000}" name="Ago" totalsRowFunction="sum" dataDxfId="127" totalsRowDxfId="342"/>
    <tableColumn id="10" xr3:uid="{00000000-0010-0000-0500-00000A000000}" name="Set" totalsRowFunction="sum" dataDxfId="126" totalsRowDxfId="341"/>
    <tableColumn id="11" xr3:uid="{00000000-0010-0000-0500-00000B000000}" name="Out" totalsRowFunction="sum" dataDxfId="125" totalsRowDxfId="340"/>
    <tableColumn id="12" xr3:uid="{00000000-0010-0000-0500-00000C000000}" name="Nov" totalsRowFunction="sum" dataDxfId="124" totalsRowDxfId="339"/>
    <tableColumn id="13" xr3:uid="{00000000-0010-0000-0500-00000D000000}" name="Dez" totalsRowFunction="sum" dataDxfId="123" totalsRowDxfId="338"/>
    <tableColumn id="14" xr3:uid="{00000000-0010-0000-0500-00000E000000}" name="ANO" totalsRowFunction="sum" dataDxfId="122" totalsRowDxfId="337">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reais com marketing nesta tabela. O total é calculado automaticamente no final"/>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RealViagemETreinamento" displayName="RealViagemETreinamento" ref="B30:O33" totalsRowCount="1" headerRowDxfId="5" totalsRowDxfId="334" headerRowBorderDxfId="336" tableBorderDxfId="335" totalsRowBorderDxfId="333">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Viagem/Treinamento" totalsRowLabel="Subtotal" dataDxfId="332" totalsRowDxfId="331"/>
    <tableColumn id="2" xr3:uid="{00000000-0010-0000-0600-000002000000}" name="Jan" totalsRowFunction="sum" dataDxfId="121" totalsRowDxfId="330"/>
    <tableColumn id="3" xr3:uid="{00000000-0010-0000-0600-000003000000}" name="Fev" totalsRowFunction="sum" dataDxfId="120" totalsRowDxfId="329"/>
    <tableColumn id="4" xr3:uid="{00000000-0010-0000-0600-000004000000}" name="Mar" totalsRowFunction="sum" dataDxfId="119" totalsRowDxfId="328"/>
    <tableColumn id="5" xr3:uid="{00000000-0010-0000-0600-000005000000}" name="Abr" totalsRowFunction="sum" dataDxfId="118" totalsRowDxfId="327"/>
    <tableColumn id="6" xr3:uid="{00000000-0010-0000-0600-000006000000}" name="Mai" totalsRowFunction="sum" dataDxfId="117" totalsRowDxfId="326"/>
    <tableColumn id="7" xr3:uid="{00000000-0010-0000-0600-000007000000}" name="Jun" totalsRowFunction="sum" dataDxfId="116" totalsRowDxfId="325"/>
    <tableColumn id="8" xr3:uid="{00000000-0010-0000-0600-000008000000}" name="Jul" totalsRowFunction="sum" dataDxfId="115" totalsRowDxfId="324"/>
    <tableColumn id="9" xr3:uid="{00000000-0010-0000-0600-000009000000}" name="Ago" totalsRowFunction="sum" dataDxfId="114" totalsRowDxfId="323"/>
    <tableColumn id="10" xr3:uid="{00000000-0010-0000-0600-00000A000000}" name="Set" totalsRowFunction="sum" dataDxfId="113" totalsRowDxfId="322"/>
    <tableColumn id="11" xr3:uid="{00000000-0010-0000-0600-00000B000000}" name="Out" totalsRowFunction="sum" dataDxfId="112" totalsRowDxfId="321"/>
    <tableColumn id="12" xr3:uid="{00000000-0010-0000-0600-00000C000000}" name="Nov" totalsRowFunction="sum" dataDxfId="111" totalsRowDxfId="320"/>
    <tableColumn id="13" xr3:uid="{00000000-0010-0000-0600-00000D000000}" name="Dez" totalsRowFunction="sum" dataDxfId="110" totalsRowDxfId="319"/>
    <tableColumn id="14" xr3:uid="{00000000-0010-0000-0600-00000E000000}" name="ANO" totalsRowFunction="sum" dataDxfId="109" totalsRowDxfId="318">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reais com viagens e treinamentos nesta tabela. O total é calculado automaticamente no final"/>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RealFuncionários" displayName="RealFuncionários" ref="B5:O8" totalsRowCount="1" headerRowDxfId="4" totalsRowDxfId="315" headerRowBorderDxfId="317" tableBorderDxfId="316" totalsRowBorderDxfId="314">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Custos com funcionários" totalsRowLabel="Subtotal" dataDxfId="313" totalsRowDxfId="312"/>
    <tableColumn id="2" xr3:uid="{00000000-0010-0000-0700-000002000000}" name="Jan" totalsRowFunction="sum" dataDxfId="108" totalsRowDxfId="311">
      <calculatedColumnFormula>C5*0.27</calculatedColumnFormula>
    </tableColumn>
    <tableColumn id="3" xr3:uid="{00000000-0010-0000-0700-000003000000}" name="Fev" totalsRowFunction="sum" dataDxfId="107" totalsRowDxfId="310">
      <calculatedColumnFormula>D5*0.27</calculatedColumnFormula>
    </tableColumn>
    <tableColumn id="4" xr3:uid="{00000000-0010-0000-0700-000004000000}" name="Mar" totalsRowFunction="sum" dataDxfId="106" totalsRowDxfId="309">
      <calculatedColumnFormula>E5*0.27</calculatedColumnFormula>
    </tableColumn>
    <tableColumn id="5" xr3:uid="{00000000-0010-0000-0700-000005000000}" name="Abr" totalsRowFunction="sum" dataDxfId="105" totalsRowDxfId="308">
      <calculatedColumnFormula>F5*0.27</calculatedColumnFormula>
    </tableColumn>
    <tableColumn id="6" xr3:uid="{00000000-0010-0000-0700-000006000000}" name="Mai" totalsRowFunction="sum" dataDxfId="104" totalsRowDxfId="307">
      <calculatedColumnFormula>G5*0.27</calculatedColumnFormula>
    </tableColumn>
    <tableColumn id="7" xr3:uid="{00000000-0010-0000-0700-000007000000}" name="Jun" totalsRowFunction="sum" dataDxfId="103" totalsRowDxfId="306">
      <calculatedColumnFormula>H5*0.27</calculatedColumnFormula>
    </tableColumn>
    <tableColumn id="8" xr3:uid="{00000000-0010-0000-0700-000008000000}" name="Jul" totalsRowFunction="sum" dataDxfId="102" totalsRowDxfId="305"/>
    <tableColumn id="9" xr3:uid="{00000000-0010-0000-0700-000009000000}" name="Ago" totalsRowFunction="sum" dataDxfId="101" totalsRowDxfId="304"/>
    <tableColumn id="10" xr3:uid="{00000000-0010-0000-0700-00000A000000}" name="Set" totalsRowFunction="sum" dataDxfId="100" totalsRowDxfId="303"/>
    <tableColumn id="11" xr3:uid="{00000000-0010-0000-0700-00000B000000}" name="Out" totalsRowFunction="sum" dataDxfId="99" totalsRowDxfId="302"/>
    <tableColumn id="12" xr3:uid="{00000000-0010-0000-0700-00000C000000}" name="Nov" totalsRowFunction="sum" dataDxfId="98" totalsRowDxfId="301"/>
    <tableColumn id="13" xr3:uid="{00000000-0010-0000-0700-00000D000000}" name="Dez" totalsRowFunction="sum" dataDxfId="97" totalsRowDxfId="300"/>
    <tableColumn id="14" xr3:uid="{00000000-0010-0000-0700-00000E000000}" name="ANO" totalsRowFunction="sum" dataDxfId="96" totalsRowDxfId="299">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reais com funcionários nesta tabela. O total é calculado automaticamente no final"/>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B1:B8"/>
  <sheetViews>
    <sheetView tabSelected="1" workbookViewId="0"/>
  </sheetViews>
  <sheetFormatPr defaultRowHeight="12.75" x14ac:dyDescent="0.2"/>
  <cols>
    <col min="1" max="1" width="2.7109375" customWidth="1"/>
    <col min="2" max="2" width="74.42578125" bestFit="1" customWidth="1"/>
    <col min="3" max="14" width="16" customWidth="1"/>
  </cols>
  <sheetData>
    <row r="1" spans="2:2" s="30" customFormat="1" ht="30" customHeight="1" x14ac:dyDescent="0.2">
      <c r="B1" s="31" t="s">
        <v>0</v>
      </c>
    </row>
    <row r="2" spans="2:2" ht="36.75" customHeight="1" x14ac:dyDescent="0.2">
      <c r="B2" s="39" t="s">
        <v>1</v>
      </c>
    </row>
    <row r="3" spans="2:2" ht="30" customHeight="1" x14ac:dyDescent="0.2">
      <c r="B3" s="39" t="s">
        <v>2</v>
      </c>
    </row>
    <row r="4" spans="2:2" ht="40.5" customHeight="1" x14ac:dyDescent="0.2">
      <c r="B4" s="39" t="s">
        <v>3</v>
      </c>
    </row>
    <row r="5" spans="2:2" ht="36" customHeight="1" x14ac:dyDescent="0.2">
      <c r="B5" s="39" t="s">
        <v>95</v>
      </c>
    </row>
    <row r="6" spans="2:2" ht="36" customHeight="1" x14ac:dyDescent="0.2">
      <c r="B6" s="41" t="s">
        <v>4</v>
      </c>
    </row>
    <row r="7" spans="2:2" ht="53.25" customHeight="1" x14ac:dyDescent="0.2">
      <c r="B7" s="39" t="s">
        <v>5</v>
      </c>
    </row>
    <row r="8" spans="2:2" ht="40.5" customHeight="1" x14ac:dyDescent="0.25">
      <c r="B8" s="40"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T38"/>
  <sheetViews>
    <sheetView showGridLines="0" zoomScaleNormal="100" workbookViewId="0"/>
  </sheetViews>
  <sheetFormatPr defaultColWidth="9.140625" defaultRowHeight="21" customHeight="1" x14ac:dyDescent="0.3"/>
  <cols>
    <col min="1" max="1" width="4.7109375" style="1" customWidth="1"/>
    <col min="2" max="2" width="41.5703125" style="1" bestFit="1" customWidth="1"/>
    <col min="3" max="14" width="16" style="1" customWidth="1"/>
    <col min="15" max="15" width="16.28515625" style="1" customWidth="1"/>
    <col min="16" max="16" width="4.7109375" style="1" customWidth="1"/>
    <col min="17" max="17" width="1.7109375" style="1" customWidth="1"/>
    <col min="18" max="19" width="9.140625" style="1"/>
    <col min="20" max="20" width="11.140625" style="1" customWidth="1"/>
    <col min="21" max="16384" width="9.140625" style="1"/>
  </cols>
  <sheetData>
    <row r="1" spans="1:20" s="134" customFormat="1" ht="24" customHeight="1" x14ac:dyDescent="0.3">
      <c r="A1" s="130" t="s">
        <v>96</v>
      </c>
      <c r="B1" s="131"/>
      <c r="C1" s="131"/>
      <c r="D1" s="131"/>
      <c r="E1" s="131"/>
      <c r="F1" s="132"/>
      <c r="G1" s="132"/>
      <c r="H1" s="132"/>
      <c r="I1" s="132"/>
      <c r="J1" s="132"/>
      <c r="K1" s="132"/>
      <c r="L1" s="132"/>
      <c r="M1" s="132"/>
      <c r="N1" s="132"/>
      <c r="O1" s="132"/>
      <c r="P1" s="133" t="s">
        <v>70</v>
      </c>
    </row>
    <row r="2" spans="1:20" s="134" customFormat="1" ht="45" customHeight="1" x14ac:dyDescent="0.35">
      <c r="A2" s="135" t="s">
        <v>7</v>
      </c>
      <c r="B2" s="89" t="s">
        <v>13</v>
      </c>
      <c r="C2" s="89"/>
      <c r="D2" s="89"/>
      <c r="E2" s="136"/>
      <c r="F2" s="8"/>
      <c r="G2" s="8"/>
      <c r="H2" s="8"/>
      <c r="I2" s="8"/>
      <c r="J2" s="86" t="s">
        <v>57</v>
      </c>
      <c r="K2" s="86"/>
      <c r="L2" s="86"/>
      <c r="M2" s="86"/>
      <c r="N2" s="85" t="s">
        <v>65</v>
      </c>
      <c r="O2" s="85"/>
      <c r="P2" s="132"/>
    </row>
    <row r="3" spans="1:20" s="134" customFormat="1" ht="30" customHeight="1" x14ac:dyDescent="0.3">
      <c r="A3" s="135" t="s">
        <v>8</v>
      </c>
      <c r="B3" s="89"/>
      <c r="C3" s="89"/>
      <c r="D3" s="89"/>
      <c r="E3" s="137"/>
      <c r="F3" s="9"/>
      <c r="G3" s="9"/>
      <c r="H3" s="9"/>
      <c r="I3" s="9"/>
      <c r="J3" s="90" t="s">
        <v>58</v>
      </c>
      <c r="K3" s="90"/>
      <c r="L3" s="90"/>
      <c r="M3" s="90"/>
      <c r="N3" s="85"/>
      <c r="O3" s="85"/>
      <c r="P3" s="132"/>
    </row>
    <row r="4" spans="1:20" s="139" customFormat="1" ht="49.5" customHeight="1" x14ac:dyDescent="0.3">
      <c r="A4" s="138" t="s">
        <v>9</v>
      </c>
      <c r="B4" s="22" t="s">
        <v>14</v>
      </c>
      <c r="C4" s="23" t="s">
        <v>41</v>
      </c>
      <c r="D4" s="23" t="s">
        <v>43</v>
      </c>
      <c r="E4" s="23" t="s">
        <v>45</v>
      </c>
      <c r="F4" s="23" t="s">
        <v>47</v>
      </c>
      <c r="G4" s="23" t="s">
        <v>49</v>
      </c>
      <c r="H4" s="23" t="s">
        <v>51</v>
      </c>
      <c r="I4" s="23" t="s">
        <v>53</v>
      </c>
      <c r="J4" s="23" t="s">
        <v>55</v>
      </c>
      <c r="K4" s="23" t="s">
        <v>59</v>
      </c>
      <c r="L4" s="23" t="s">
        <v>61</v>
      </c>
      <c r="M4" s="23" t="s">
        <v>63</v>
      </c>
      <c r="N4" s="23" t="s">
        <v>66</v>
      </c>
      <c r="O4" s="23" t="s">
        <v>68</v>
      </c>
      <c r="R4" s="83" t="s">
        <v>71</v>
      </c>
      <c r="S4" s="84"/>
      <c r="T4" s="84"/>
    </row>
    <row r="5" spans="1:20" s="141" customFormat="1" ht="24.95" customHeight="1" thickBot="1" x14ac:dyDescent="0.35">
      <c r="A5" s="140" t="s">
        <v>10</v>
      </c>
      <c r="B5" s="42" t="s">
        <v>15</v>
      </c>
      <c r="C5" s="59" t="s">
        <v>42</v>
      </c>
      <c r="D5" s="57" t="s">
        <v>44</v>
      </c>
      <c r="E5" s="57" t="s">
        <v>46</v>
      </c>
      <c r="F5" s="57" t="s">
        <v>48</v>
      </c>
      <c r="G5" s="57" t="s">
        <v>50</v>
      </c>
      <c r="H5" s="57" t="s">
        <v>52</v>
      </c>
      <c r="I5" s="57" t="s">
        <v>54</v>
      </c>
      <c r="J5" s="57" t="s">
        <v>56</v>
      </c>
      <c r="K5" s="57" t="s">
        <v>60</v>
      </c>
      <c r="L5" s="57" t="s">
        <v>62</v>
      </c>
      <c r="M5" s="57" t="s">
        <v>64</v>
      </c>
      <c r="N5" s="57" t="s">
        <v>67</v>
      </c>
      <c r="O5" s="58" t="s">
        <v>68</v>
      </c>
      <c r="R5" s="84"/>
      <c r="S5" s="84"/>
      <c r="T5" s="84"/>
    </row>
    <row r="6" spans="1:20" ht="24.95" customHeight="1" thickBot="1" x14ac:dyDescent="0.35">
      <c r="A6" s="32"/>
      <c r="B6" s="43" t="s">
        <v>16</v>
      </c>
      <c r="C6" s="101">
        <v>85000</v>
      </c>
      <c r="D6" s="102">
        <v>85000</v>
      </c>
      <c r="E6" s="102">
        <v>85000</v>
      </c>
      <c r="F6" s="102">
        <v>87500</v>
      </c>
      <c r="G6" s="102">
        <v>87500</v>
      </c>
      <c r="H6" s="102">
        <v>87500</v>
      </c>
      <c r="I6" s="102">
        <v>87500</v>
      </c>
      <c r="J6" s="102">
        <v>92400</v>
      </c>
      <c r="K6" s="102">
        <v>92400</v>
      </c>
      <c r="L6" s="102">
        <v>92400</v>
      </c>
      <c r="M6" s="102">
        <v>92400</v>
      </c>
      <c r="N6" s="102">
        <v>92400</v>
      </c>
      <c r="O6" s="103">
        <f>SUM(C6:N6)</f>
        <v>1067000</v>
      </c>
      <c r="R6" s="84"/>
      <c r="S6" s="84"/>
      <c r="T6" s="84"/>
    </row>
    <row r="7" spans="1:20" ht="24.95" customHeight="1" thickBot="1" x14ac:dyDescent="0.35">
      <c r="A7" s="32"/>
      <c r="B7" s="43" t="s">
        <v>17</v>
      </c>
      <c r="C7" s="101">
        <f t="shared" ref="C7:N7" si="0">C6*0.27</f>
        <v>22950</v>
      </c>
      <c r="D7" s="102">
        <f t="shared" si="0"/>
        <v>22950</v>
      </c>
      <c r="E7" s="102">
        <f t="shared" si="0"/>
        <v>22950</v>
      </c>
      <c r="F7" s="102">
        <f t="shared" si="0"/>
        <v>23625</v>
      </c>
      <c r="G7" s="102">
        <f t="shared" si="0"/>
        <v>23625</v>
      </c>
      <c r="H7" s="102">
        <f t="shared" si="0"/>
        <v>23625</v>
      </c>
      <c r="I7" s="102">
        <f t="shared" si="0"/>
        <v>23625</v>
      </c>
      <c r="J7" s="102">
        <f t="shared" si="0"/>
        <v>24948</v>
      </c>
      <c r="K7" s="102">
        <f t="shared" si="0"/>
        <v>24948</v>
      </c>
      <c r="L7" s="102">
        <f t="shared" si="0"/>
        <v>24948</v>
      </c>
      <c r="M7" s="102">
        <f t="shared" si="0"/>
        <v>24948</v>
      </c>
      <c r="N7" s="102">
        <f t="shared" si="0"/>
        <v>24948</v>
      </c>
      <c r="O7" s="103">
        <f>SUM(C7:N7)</f>
        <v>288090</v>
      </c>
      <c r="R7" s="84"/>
      <c r="S7" s="84"/>
      <c r="T7" s="84"/>
    </row>
    <row r="8" spans="1:20" ht="24.95" customHeight="1" x14ac:dyDescent="0.3">
      <c r="A8" s="32"/>
      <c r="B8" s="44" t="s">
        <v>18</v>
      </c>
      <c r="C8" s="104">
        <f>SUBTOTAL(109,PlanejamentoDeFuncionários[Jan])</f>
        <v>107950</v>
      </c>
      <c r="D8" s="105">
        <f>SUBTOTAL(109,PlanejamentoDeFuncionários[Fev])</f>
        <v>107950</v>
      </c>
      <c r="E8" s="105">
        <f>SUBTOTAL(109,PlanejamentoDeFuncionários[Mar])</f>
        <v>107950</v>
      </c>
      <c r="F8" s="105">
        <f>SUBTOTAL(109,PlanejamentoDeFuncionários[Abr])</f>
        <v>111125</v>
      </c>
      <c r="G8" s="105">
        <f>SUBTOTAL(109,PlanejamentoDeFuncionários[Mai])</f>
        <v>111125</v>
      </c>
      <c r="H8" s="105">
        <f>SUBTOTAL(109,PlanejamentoDeFuncionários[Jun])</f>
        <v>111125</v>
      </c>
      <c r="I8" s="105">
        <f>SUBTOTAL(109,PlanejamentoDeFuncionários[Jul])</f>
        <v>111125</v>
      </c>
      <c r="J8" s="105">
        <f>SUBTOTAL(109,PlanejamentoDeFuncionários[Ago])</f>
        <v>117348</v>
      </c>
      <c r="K8" s="105">
        <f>SUBTOTAL(109,PlanejamentoDeFuncionários[Set])</f>
        <v>117348</v>
      </c>
      <c r="L8" s="105">
        <f>SUBTOTAL(109,PlanejamentoDeFuncionários[Out])</f>
        <v>117348</v>
      </c>
      <c r="M8" s="105">
        <f>SUBTOTAL(109,PlanejamentoDeFuncionários[Nov])</f>
        <v>117348</v>
      </c>
      <c r="N8" s="105">
        <f>SUBTOTAL(109,PlanejamentoDeFuncionários[Dez])</f>
        <v>117348</v>
      </c>
      <c r="O8" s="106">
        <f>SUBTOTAL(109,PlanejamentoDeFuncionários[ANO])</f>
        <v>1355090</v>
      </c>
      <c r="R8" s="84"/>
      <c r="S8" s="84"/>
      <c r="T8" s="84"/>
    </row>
    <row r="9" spans="1:20" s="134" customFormat="1" ht="21" customHeight="1" thickBot="1" x14ac:dyDescent="0.35">
      <c r="A9" s="142"/>
      <c r="B9" s="87"/>
      <c r="C9" s="87"/>
      <c r="D9" s="143"/>
      <c r="E9" s="143"/>
      <c r="F9" s="143"/>
      <c r="G9" s="143"/>
      <c r="H9" s="143"/>
      <c r="I9" s="143"/>
      <c r="J9" s="143"/>
      <c r="K9" s="143"/>
      <c r="L9" s="143"/>
      <c r="M9" s="143"/>
      <c r="N9" s="143"/>
      <c r="O9" s="144"/>
      <c r="R9" s="84"/>
      <c r="S9" s="84"/>
      <c r="T9" s="84"/>
    </row>
    <row r="10" spans="1:20" s="134" customFormat="1" ht="24.95" customHeight="1" thickBot="1" x14ac:dyDescent="0.35">
      <c r="A10" s="142" t="s">
        <v>11</v>
      </c>
      <c r="B10" s="53" t="s">
        <v>19</v>
      </c>
      <c r="C10" s="50" t="s">
        <v>42</v>
      </c>
      <c r="D10" s="51" t="s">
        <v>44</v>
      </c>
      <c r="E10" s="51" t="s">
        <v>46</v>
      </c>
      <c r="F10" s="51" t="s">
        <v>48</v>
      </c>
      <c r="G10" s="51" t="s">
        <v>50</v>
      </c>
      <c r="H10" s="51" t="s">
        <v>52</v>
      </c>
      <c r="I10" s="51" t="s">
        <v>54</v>
      </c>
      <c r="J10" s="51" t="s">
        <v>56</v>
      </c>
      <c r="K10" s="51" t="s">
        <v>60</v>
      </c>
      <c r="L10" s="51" t="s">
        <v>62</v>
      </c>
      <c r="M10" s="51" t="s">
        <v>64</v>
      </c>
      <c r="N10" s="51" t="s">
        <v>67</v>
      </c>
      <c r="O10" s="52" t="s">
        <v>68</v>
      </c>
      <c r="R10" s="84"/>
      <c r="S10" s="84"/>
      <c r="T10" s="84"/>
    </row>
    <row r="11" spans="1:20" ht="24.95" customHeight="1" thickBot="1" x14ac:dyDescent="0.35">
      <c r="A11" s="32"/>
      <c r="B11" s="79" t="s">
        <v>20</v>
      </c>
      <c r="C11" s="101">
        <v>9800</v>
      </c>
      <c r="D11" s="102">
        <v>9800</v>
      </c>
      <c r="E11" s="102">
        <v>9800</v>
      </c>
      <c r="F11" s="102">
        <v>9800</v>
      </c>
      <c r="G11" s="102">
        <v>9800</v>
      </c>
      <c r="H11" s="102">
        <v>9800</v>
      </c>
      <c r="I11" s="102">
        <v>9800</v>
      </c>
      <c r="J11" s="102">
        <v>9800</v>
      </c>
      <c r="K11" s="102">
        <v>9800</v>
      </c>
      <c r="L11" s="102">
        <v>9800</v>
      </c>
      <c r="M11" s="102">
        <v>9800</v>
      </c>
      <c r="N11" s="102">
        <v>9800</v>
      </c>
      <c r="O11" s="103">
        <f t="shared" ref="O11:O18" si="1">SUM(C11:N11)</f>
        <v>117600</v>
      </c>
      <c r="R11" s="84"/>
      <c r="S11" s="84"/>
      <c r="T11" s="84"/>
    </row>
    <row r="12" spans="1:20" ht="24.95" customHeight="1" thickBot="1" x14ac:dyDescent="0.35">
      <c r="A12" s="32"/>
      <c r="B12" s="79" t="s">
        <v>21</v>
      </c>
      <c r="C12" s="101"/>
      <c r="D12" s="102">
        <v>400</v>
      </c>
      <c r="E12" s="102">
        <v>400</v>
      </c>
      <c r="F12" s="102">
        <v>100</v>
      </c>
      <c r="G12" s="102">
        <v>100</v>
      </c>
      <c r="H12" s="102">
        <v>100</v>
      </c>
      <c r="I12" s="102">
        <v>100</v>
      </c>
      <c r="J12" s="102">
        <v>100</v>
      </c>
      <c r="K12" s="102">
        <v>100</v>
      </c>
      <c r="L12" s="102">
        <v>100</v>
      </c>
      <c r="M12" s="102">
        <v>400</v>
      </c>
      <c r="N12" s="102">
        <v>400</v>
      </c>
      <c r="O12" s="103">
        <f t="shared" si="1"/>
        <v>2300</v>
      </c>
      <c r="R12" s="84"/>
      <c r="S12" s="84"/>
      <c r="T12" s="84"/>
    </row>
    <row r="13" spans="1:20" ht="24.95" customHeight="1" thickBot="1" x14ac:dyDescent="0.35">
      <c r="A13" s="32"/>
      <c r="B13" s="79" t="s">
        <v>22</v>
      </c>
      <c r="C13" s="101">
        <v>300</v>
      </c>
      <c r="D13" s="102">
        <v>300</v>
      </c>
      <c r="E13" s="102">
        <v>300</v>
      </c>
      <c r="F13" s="102">
        <v>300</v>
      </c>
      <c r="G13" s="102">
        <v>300</v>
      </c>
      <c r="H13" s="102">
        <v>300</v>
      </c>
      <c r="I13" s="102">
        <v>300</v>
      </c>
      <c r="J13" s="102">
        <v>300</v>
      </c>
      <c r="K13" s="102">
        <v>300</v>
      </c>
      <c r="L13" s="102">
        <v>300</v>
      </c>
      <c r="M13" s="102">
        <v>300</v>
      </c>
      <c r="N13" s="102">
        <v>300</v>
      </c>
      <c r="O13" s="103">
        <f t="shared" si="1"/>
        <v>3600</v>
      </c>
      <c r="R13" s="84"/>
      <c r="S13" s="84"/>
      <c r="T13" s="84"/>
    </row>
    <row r="14" spans="1:20" ht="24.95" customHeight="1" thickBot="1" x14ac:dyDescent="0.35">
      <c r="A14" s="32"/>
      <c r="B14" s="79" t="s">
        <v>23</v>
      </c>
      <c r="C14" s="101">
        <v>40</v>
      </c>
      <c r="D14" s="102">
        <v>40</v>
      </c>
      <c r="E14" s="102">
        <v>40</v>
      </c>
      <c r="F14" s="102">
        <v>40</v>
      </c>
      <c r="G14" s="102">
        <v>40</v>
      </c>
      <c r="H14" s="102">
        <v>40</v>
      </c>
      <c r="I14" s="102">
        <v>40</v>
      </c>
      <c r="J14" s="102">
        <v>40</v>
      </c>
      <c r="K14" s="102">
        <v>40</v>
      </c>
      <c r="L14" s="102">
        <v>40</v>
      </c>
      <c r="M14" s="102">
        <v>40</v>
      </c>
      <c r="N14" s="102">
        <v>40</v>
      </c>
      <c r="O14" s="103">
        <f t="shared" si="1"/>
        <v>480</v>
      </c>
    </row>
    <row r="15" spans="1:20" ht="24.95" customHeight="1" thickBot="1" x14ac:dyDescent="0.35">
      <c r="A15" s="32"/>
      <c r="B15" s="79" t="s">
        <v>24</v>
      </c>
      <c r="C15" s="101">
        <v>250</v>
      </c>
      <c r="D15" s="102">
        <v>250</v>
      </c>
      <c r="E15" s="102">
        <v>250</v>
      </c>
      <c r="F15" s="102">
        <v>250</v>
      </c>
      <c r="G15" s="102">
        <v>250</v>
      </c>
      <c r="H15" s="102">
        <v>250</v>
      </c>
      <c r="I15" s="102">
        <v>250</v>
      </c>
      <c r="J15" s="102">
        <v>250</v>
      </c>
      <c r="K15" s="102">
        <v>250</v>
      </c>
      <c r="L15" s="102">
        <v>250</v>
      </c>
      <c r="M15" s="102">
        <v>250</v>
      </c>
      <c r="N15" s="102">
        <v>250</v>
      </c>
      <c r="O15" s="103">
        <f t="shared" si="1"/>
        <v>3000</v>
      </c>
    </row>
    <row r="16" spans="1:20" ht="24.95" customHeight="1" thickBot="1" x14ac:dyDescent="0.35">
      <c r="A16" s="32"/>
      <c r="B16" s="79" t="s">
        <v>25</v>
      </c>
      <c r="C16" s="101">
        <v>180</v>
      </c>
      <c r="D16" s="102">
        <v>180</v>
      </c>
      <c r="E16" s="102">
        <v>180</v>
      </c>
      <c r="F16" s="102">
        <v>180</v>
      </c>
      <c r="G16" s="102">
        <v>180</v>
      </c>
      <c r="H16" s="102">
        <v>180</v>
      </c>
      <c r="I16" s="102">
        <v>180</v>
      </c>
      <c r="J16" s="102">
        <v>180</v>
      </c>
      <c r="K16" s="102">
        <v>180</v>
      </c>
      <c r="L16" s="102">
        <v>180</v>
      </c>
      <c r="M16" s="102">
        <v>180</v>
      </c>
      <c r="N16" s="102">
        <v>180</v>
      </c>
      <c r="O16" s="103">
        <f t="shared" si="1"/>
        <v>2160</v>
      </c>
    </row>
    <row r="17" spans="1:15" ht="24.95" customHeight="1" thickBot="1" x14ac:dyDescent="0.35">
      <c r="A17" s="32"/>
      <c r="B17" s="79" t="s">
        <v>26</v>
      </c>
      <c r="C17" s="101">
        <v>200</v>
      </c>
      <c r="D17" s="102">
        <v>200</v>
      </c>
      <c r="E17" s="102">
        <v>200</v>
      </c>
      <c r="F17" s="102">
        <v>200</v>
      </c>
      <c r="G17" s="102">
        <v>200</v>
      </c>
      <c r="H17" s="102">
        <v>200</v>
      </c>
      <c r="I17" s="102">
        <v>200</v>
      </c>
      <c r="J17" s="102">
        <v>200</v>
      </c>
      <c r="K17" s="102">
        <v>200</v>
      </c>
      <c r="L17" s="102">
        <v>200</v>
      </c>
      <c r="M17" s="102">
        <v>200</v>
      </c>
      <c r="N17" s="102">
        <v>200</v>
      </c>
      <c r="O17" s="103">
        <f t="shared" si="1"/>
        <v>2400</v>
      </c>
    </row>
    <row r="18" spans="1:15" ht="24.95" customHeight="1" thickBot="1" x14ac:dyDescent="0.35">
      <c r="A18" s="32"/>
      <c r="B18" s="79" t="s">
        <v>27</v>
      </c>
      <c r="C18" s="101">
        <v>600</v>
      </c>
      <c r="D18" s="102">
        <v>600</v>
      </c>
      <c r="E18" s="102">
        <v>600</v>
      </c>
      <c r="F18" s="102">
        <v>600</v>
      </c>
      <c r="G18" s="102">
        <v>600</v>
      </c>
      <c r="H18" s="102">
        <v>600</v>
      </c>
      <c r="I18" s="102">
        <v>600</v>
      </c>
      <c r="J18" s="102">
        <v>600</v>
      </c>
      <c r="K18" s="102">
        <v>600</v>
      </c>
      <c r="L18" s="102">
        <v>600</v>
      </c>
      <c r="M18" s="102">
        <v>600</v>
      </c>
      <c r="N18" s="102">
        <v>600</v>
      </c>
      <c r="O18" s="103">
        <f t="shared" si="1"/>
        <v>7200</v>
      </c>
    </row>
    <row r="19" spans="1:15" ht="24.95" customHeight="1" thickBot="1" x14ac:dyDescent="0.35">
      <c r="A19" s="32"/>
      <c r="B19" s="60" t="s">
        <v>18</v>
      </c>
      <c r="C19" s="107">
        <f>SUBTOTAL(109,PlanejamentoDoEscritório[Jan])</f>
        <v>11370</v>
      </c>
      <c r="D19" s="108">
        <f>SUBTOTAL(109,PlanejamentoDoEscritório[Fev])</f>
        <v>11770</v>
      </c>
      <c r="E19" s="108">
        <f>SUBTOTAL(109,PlanejamentoDoEscritório[Mar])</f>
        <v>11770</v>
      </c>
      <c r="F19" s="108">
        <f>SUBTOTAL(109,PlanejamentoDoEscritório[Abr])</f>
        <v>11470</v>
      </c>
      <c r="G19" s="108">
        <f>SUBTOTAL(109,PlanejamentoDoEscritório[Mai])</f>
        <v>11470</v>
      </c>
      <c r="H19" s="108">
        <f>SUBTOTAL(109,PlanejamentoDoEscritório[Jun])</f>
        <v>11470</v>
      </c>
      <c r="I19" s="108">
        <f>SUBTOTAL(109,PlanejamentoDoEscritório[Jul])</f>
        <v>11470</v>
      </c>
      <c r="J19" s="108">
        <f>SUBTOTAL(109,PlanejamentoDoEscritório[Ago])</f>
        <v>11470</v>
      </c>
      <c r="K19" s="108">
        <f>SUBTOTAL(109,PlanejamentoDoEscritório[Set])</f>
        <v>11470</v>
      </c>
      <c r="L19" s="108">
        <f>SUBTOTAL(109,PlanejamentoDoEscritório[Out])</f>
        <v>11470</v>
      </c>
      <c r="M19" s="108">
        <f>SUBTOTAL(109,PlanejamentoDoEscritório[Nov])</f>
        <v>11770</v>
      </c>
      <c r="N19" s="108">
        <f>SUBTOTAL(109,PlanejamentoDoEscritório[Dez])</f>
        <v>11770</v>
      </c>
      <c r="O19" s="109">
        <f>SUBTOTAL(109,PlanejamentoDoEscritório[ANO])</f>
        <v>138740</v>
      </c>
    </row>
    <row r="20" spans="1:15" s="134" customFormat="1" ht="21" customHeight="1" x14ac:dyDescent="0.3">
      <c r="A20" s="142"/>
      <c r="B20" s="88"/>
      <c r="C20" s="88"/>
      <c r="D20" s="143"/>
      <c r="E20" s="143"/>
      <c r="F20" s="145"/>
      <c r="G20" s="145"/>
      <c r="H20" s="145"/>
      <c r="I20" s="145"/>
      <c r="J20" s="145"/>
      <c r="K20" s="145"/>
      <c r="L20" s="145"/>
      <c r="M20" s="145"/>
      <c r="N20" s="145"/>
      <c r="O20" s="144"/>
    </row>
    <row r="21" spans="1:15" s="134" customFormat="1" ht="24.95" customHeight="1" thickBot="1" x14ac:dyDescent="0.35">
      <c r="A21" s="142" t="s">
        <v>97</v>
      </c>
      <c r="B21" s="54" t="s">
        <v>28</v>
      </c>
      <c r="C21" s="47" t="s">
        <v>42</v>
      </c>
      <c r="D21" s="47" t="s">
        <v>44</v>
      </c>
      <c r="E21" s="47" t="s">
        <v>46</v>
      </c>
      <c r="F21" s="47" t="s">
        <v>48</v>
      </c>
      <c r="G21" s="47" t="s">
        <v>50</v>
      </c>
      <c r="H21" s="47" t="s">
        <v>52</v>
      </c>
      <c r="I21" s="47" t="s">
        <v>54</v>
      </c>
      <c r="J21" s="47" t="s">
        <v>56</v>
      </c>
      <c r="K21" s="47" t="s">
        <v>60</v>
      </c>
      <c r="L21" s="47" t="s">
        <v>62</v>
      </c>
      <c r="M21" s="47" t="s">
        <v>64</v>
      </c>
      <c r="N21" s="47" t="s">
        <v>67</v>
      </c>
      <c r="O21" s="48" t="s">
        <v>68</v>
      </c>
    </row>
    <row r="22" spans="1:15" ht="24.95" customHeight="1" thickBot="1" x14ac:dyDescent="0.35">
      <c r="A22" s="32"/>
      <c r="B22" s="43" t="s">
        <v>29</v>
      </c>
      <c r="C22" s="110">
        <v>500</v>
      </c>
      <c r="D22" s="111">
        <v>500</v>
      </c>
      <c r="E22" s="111">
        <v>500</v>
      </c>
      <c r="F22" s="111">
        <v>500</v>
      </c>
      <c r="G22" s="111">
        <v>500</v>
      </c>
      <c r="H22" s="111">
        <v>500</v>
      </c>
      <c r="I22" s="111">
        <v>500</v>
      </c>
      <c r="J22" s="111">
        <v>500</v>
      </c>
      <c r="K22" s="111">
        <v>500</v>
      </c>
      <c r="L22" s="111">
        <v>500</v>
      </c>
      <c r="M22" s="111">
        <v>500</v>
      </c>
      <c r="N22" s="111">
        <v>500</v>
      </c>
      <c r="O22" s="103">
        <f t="shared" ref="O22:O27" si="2">SUM(C22:N22)</f>
        <v>6000</v>
      </c>
    </row>
    <row r="23" spans="1:15" ht="24.95" customHeight="1" thickBot="1" x14ac:dyDescent="0.35">
      <c r="A23" s="32"/>
      <c r="B23" s="43" t="s">
        <v>30</v>
      </c>
      <c r="C23" s="110">
        <v>200</v>
      </c>
      <c r="D23" s="111">
        <v>200</v>
      </c>
      <c r="E23" s="111">
        <v>200</v>
      </c>
      <c r="F23" s="111">
        <v>200</v>
      </c>
      <c r="G23" s="111">
        <v>200</v>
      </c>
      <c r="H23" s="111">
        <v>1000</v>
      </c>
      <c r="I23" s="111">
        <v>200</v>
      </c>
      <c r="J23" s="111">
        <v>200</v>
      </c>
      <c r="K23" s="111">
        <v>200</v>
      </c>
      <c r="L23" s="111">
        <v>200</v>
      </c>
      <c r="M23" s="111">
        <v>200</v>
      </c>
      <c r="N23" s="111">
        <v>1000</v>
      </c>
      <c r="O23" s="103">
        <f t="shared" si="2"/>
        <v>4000</v>
      </c>
    </row>
    <row r="24" spans="1:15" ht="24.95" customHeight="1" thickBot="1" x14ac:dyDescent="0.35">
      <c r="A24" s="32"/>
      <c r="B24" s="43" t="s">
        <v>31</v>
      </c>
      <c r="C24" s="110">
        <v>5000</v>
      </c>
      <c r="D24" s="111">
        <v>0</v>
      </c>
      <c r="E24" s="111">
        <v>0</v>
      </c>
      <c r="F24" s="111">
        <v>5000</v>
      </c>
      <c r="G24" s="111">
        <v>0</v>
      </c>
      <c r="H24" s="111">
        <v>0</v>
      </c>
      <c r="I24" s="111">
        <v>5000</v>
      </c>
      <c r="J24" s="111">
        <v>0</v>
      </c>
      <c r="K24" s="111">
        <v>0</v>
      </c>
      <c r="L24" s="111">
        <v>5000</v>
      </c>
      <c r="M24" s="111">
        <v>0</v>
      </c>
      <c r="N24" s="111">
        <v>0</v>
      </c>
      <c r="O24" s="103">
        <f t="shared" si="2"/>
        <v>20000</v>
      </c>
    </row>
    <row r="25" spans="1:15" ht="24.95" customHeight="1" thickBot="1" x14ac:dyDescent="0.35">
      <c r="A25" s="32"/>
      <c r="B25" s="43" t="s">
        <v>32</v>
      </c>
      <c r="C25" s="110">
        <v>200</v>
      </c>
      <c r="D25" s="111">
        <v>200</v>
      </c>
      <c r="E25" s="111">
        <v>200</v>
      </c>
      <c r="F25" s="111">
        <v>200</v>
      </c>
      <c r="G25" s="111">
        <v>200</v>
      </c>
      <c r="H25" s="111">
        <v>200</v>
      </c>
      <c r="I25" s="111">
        <v>200</v>
      </c>
      <c r="J25" s="111">
        <v>200</v>
      </c>
      <c r="K25" s="111">
        <v>200</v>
      </c>
      <c r="L25" s="111">
        <v>200</v>
      </c>
      <c r="M25" s="111">
        <v>200</v>
      </c>
      <c r="N25" s="111">
        <v>200</v>
      </c>
      <c r="O25" s="103">
        <f t="shared" si="2"/>
        <v>2400</v>
      </c>
    </row>
    <row r="26" spans="1:15" ht="24.95" customHeight="1" thickBot="1" x14ac:dyDescent="0.35">
      <c r="A26" s="32"/>
      <c r="B26" s="43" t="s">
        <v>33</v>
      </c>
      <c r="C26" s="110">
        <v>2000</v>
      </c>
      <c r="D26" s="111">
        <v>2000</v>
      </c>
      <c r="E26" s="111">
        <v>2000</v>
      </c>
      <c r="F26" s="111">
        <v>5000</v>
      </c>
      <c r="G26" s="111">
        <v>2000</v>
      </c>
      <c r="H26" s="111">
        <v>2000</v>
      </c>
      <c r="I26" s="111">
        <v>2000</v>
      </c>
      <c r="J26" s="111">
        <v>5000</v>
      </c>
      <c r="K26" s="111">
        <v>2000</v>
      </c>
      <c r="L26" s="111">
        <v>2000</v>
      </c>
      <c r="M26" s="111">
        <v>2000</v>
      </c>
      <c r="N26" s="111">
        <v>5000</v>
      </c>
      <c r="O26" s="103">
        <f t="shared" si="2"/>
        <v>33000</v>
      </c>
    </row>
    <row r="27" spans="1:15" ht="24.95" customHeight="1" thickBot="1" x14ac:dyDescent="0.35">
      <c r="A27" s="32"/>
      <c r="B27" s="43" t="s">
        <v>34</v>
      </c>
      <c r="C27" s="110">
        <v>200</v>
      </c>
      <c r="D27" s="111">
        <v>200</v>
      </c>
      <c r="E27" s="111">
        <v>200</v>
      </c>
      <c r="F27" s="111">
        <v>200</v>
      </c>
      <c r="G27" s="111">
        <v>200</v>
      </c>
      <c r="H27" s="111">
        <v>200</v>
      </c>
      <c r="I27" s="111">
        <v>200</v>
      </c>
      <c r="J27" s="111">
        <v>200</v>
      </c>
      <c r="K27" s="111">
        <v>200</v>
      </c>
      <c r="L27" s="111">
        <v>200</v>
      </c>
      <c r="M27" s="111">
        <v>200</v>
      </c>
      <c r="N27" s="111">
        <v>200</v>
      </c>
      <c r="O27" s="103">
        <f t="shared" si="2"/>
        <v>2400</v>
      </c>
    </row>
    <row r="28" spans="1:15" ht="24.95" customHeight="1" x14ac:dyDescent="0.3">
      <c r="A28" s="32"/>
      <c r="B28" s="45" t="s">
        <v>18</v>
      </c>
      <c r="C28" s="104">
        <f>SUBTOTAL(109,PlanejamentoDeMarketing[Jan])</f>
        <v>8100</v>
      </c>
      <c r="D28" s="105">
        <f>SUBTOTAL(109,PlanejamentoDeMarketing[Fev])</f>
        <v>3100</v>
      </c>
      <c r="E28" s="105">
        <f>SUBTOTAL(109,PlanejamentoDeMarketing[Mar])</f>
        <v>3100</v>
      </c>
      <c r="F28" s="105">
        <f>SUBTOTAL(109,PlanejamentoDeMarketing[Abr])</f>
        <v>11100</v>
      </c>
      <c r="G28" s="105">
        <f>SUBTOTAL(109,PlanejamentoDeMarketing[Mai])</f>
        <v>3100</v>
      </c>
      <c r="H28" s="105">
        <f>SUBTOTAL(109,PlanejamentoDeMarketing[Jun])</f>
        <v>3900</v>
      </c>
      <c r="I28" s="105">
        <f>SUBTOTAL(109,PlanejamentoDeMarketing[Jul])</f>
        <v>8100</v>
      </c>
      <c r="J28" s="105">
        <f>SUBTOTAL(109,PlanejamentoDeMarketing[Ago])</f>
        <v>6100</v>
      </c>
      <c r="K28" s="105">
        <f>SUBTOTAL(109,PlanejamentoDeMarketing[Set])</f>
        <v>3100</v>
      </c>
      <c r="L28" s="105">
        <f>SUBTOTAL(109,PlanejamentoDeMarketing[Out])</f>
        <v>8100</v>
      </c>
      <c r="M28" s="105">
        <f>SUBTOTAL(109,PlanejamentoDeMarketing[Nov])</f>
        <v>3100</v>
      </c>
      <c r="N28" s="105">
        <f>SUBTOTAL(109,PlanejamentoDeMarketing[Dez])</f>
        <v>6900</v>
      </c>
      <c r="O28" s="106">
        <f>SUBTOTAL(109,PlanejamentoDeMarketing[ANO])</f>
        <v>67800</v>
      </c>
    </row>
    <row r="29" spans="1:15" s="134" customFormat="1" ht="21" customHeight="1" x14ac:dyDescent="0.3">
      <c r="A29" s="142"/>
      <c r="B29" s="87"/>
      <c r="C29" s="87"/>
      <c r="D29" s="145"/>
      <c r="E29" s="145"/>
      <c r="F29" s="145"/>
      <c r="G29" s="145"/>
      <c r="H29" s="145"/>
      <c r="I29" s="145"/>
      <c r="J29" s="145"/>
      <c r="K29" s="145"/>
      <c r="L29" s="145"/>
      <c r="M29" s="145"/>
      <c r="N29" s="145"/>
      <c r="O29" s="144"/>
    </row>
    <row r="30" spans="1:15" s="134" customFormat="1" ht="21" customHeight="1" thickBot="1" x14ac:dyDescent="0.35">
      <c r="A30" s="142" t="s">
        <v>98</v>
      </c>
      <c r="B30" s="55" t="s">
        <v>35</v>
      </c>
      <c r="C30" s="47" t="s">
        <v>42</v>
      </c>
      <c r="D30" s="47" t="s">
        <v>44</v>
      </c>
      <c r="E30" s="47" t="s">
        <v>46</v>
      </c>
      <c r="F30" s="47" t="s">
        <v>48</v>
      </c>
      <c r="G30" s="47" t="s">
        <v>50</v>
      </c>
      <c r="H30" s="47" t="s">
        <v>52</v>
      </c>
      <c r="I30" s="47" t="s">
        <v>54</v>
      </c>
      <c r="J30" s="47" t="s">
        <v>56</v>
      </c>
      <c r="K30" s="47" t="s">
        <v>60</v>
      </c>
      <c r="L30" s="47" t="s">
        <v>62</v>
      </c>
      <c r="M30" s="47" t="s">
        <v>64</v>
      </c>
      <c r="N30" s="47" t="s">
        <v>67</v>
      </c>
      <c r="O30" s="48" t="s">
        <v>68</v>
      </c>
    </row>
    <row r="31" spans="1:15" ht="21" customHeight="1" thickBot="1" x14ac:dyDescent="0.35">
      <c r="A31" s="32"/>
      <c r="B31" s="43" t="s">
        <v>36</v>
      </c>
      <c r="C31" s="110">
        <v>2000</v>
      </c>
      <c r="D31" s="111">
        <v>2000</v>
      </c>
      <c r="E31" s="111">
        <v>2000</v>
      </c>
      <c r="F31" s="111">
        <v>2000</v>
      </c>
      <c r="G31" s="111">
        <v>2000</v>
      </c>
      <c r="H31" s="111">
        <v>2000</v>
      </c>
      <c r="I31" s="111">
        <v>2000</v>
      </c>
      <c r="J31" s="111">
        <v>2000</v>
      </c>
      <c r="K31" s="111">
        <v>2000</v>
      </c>
      <c r="L31" s="111">
        <v>2000</v>
      </c>
      <c r="M31" s="111">
        <v>2000</v>
      </c>
      <c r="N31" s="111">
        <v>2000</v>
      </c>
      <c r="O31" s="112">
        <f>SUM(C31:N31)</f>
        <v>24000</v>
      </c>
    </row>
    <row r="32" spans="1:15" ht="21" customHeight="1" thickBot="1" x14ac:dyDescent="0.35">
      <c r="A32" s="32"/>
      <c r="B32" s="43" t="s">
        <v>37</v>
      </c>
      <c r="C32" s="110">
        <v>2000</v>
      </c>
      <c r="D32" s="111">
        <v>2000</v>
      </c>
      <c r="E32" s="111">
        <v>2000</v>
      </c>
      <c r="F32" s="111">
        <v>2000</v>
      </c>
      <c r="G32" s="111">
        <v>2000</v>
      </c>
      <c r="H32" s="111">
        <v>2000</v>
      </c>
      <c r="I32" s="111">
        <v>2000</v>
      </c>
      <c r="J32" s="111">
        <v>2000</v>
      </c>
      <c r="K32" s="111">
        <v>2000</v>
      </c>
      <c r="L32" s="111">
        <v>2000</v>
      </c>
      <c r="M32" s="111">
        <v>2000</v>
      </c>
      <c r="N32" s="111">
        <v>2000</v>
      </c>
      <c r="O32" s="112">
        <f>SUM(C32:N32)</f>
        <v>24000</v>
      </c>
    </row>
    <row r="33" spans="1:15" ht="21" customHeight="1" x14ac:dyDescent="0.3">
      <c r="A33" s="32"/>
      <c r="B33" s="45" t="s">
        <v>18</v>
      </c>
      <c r="C33" s="113">
        <f>SUBTOTAL(109,PlanejamentoViagemETreinamento[Jan])</f>
        <v>4000</v>
      </c>
      <c r="D33" s="114">
        <f>SUBTOTAL(109,PlanejamentoViagemETreinamento[Fev])</f>
        <v>4000</v>
      </c>
      <c r="E33" s="114">
        <f>SUBTOTAL(109,PlanejamentoViagemETreinamento[Mar])</f>
        <v>4000</v>
      </c>
      <c r="F33" s="114">
        <f>SUBTOTAL(109,PlanejamentoViagemETreinamento[Abr])</f>
        <v>4000</v>
      </c>
      <c r="G33" s="114">
        <f>SUBTOTAL(109,PlanejamentoViagemETreinamento[Mai])</f>
        <v>4000</v>
      </c>
      <c r="H33" s="114">
        <f>SUBTOTAL(109,PlanejamentoViagemETreinamento[Jun])</f>
        <v>4000</v>
      </c>
      <c r="I33" s="114">
        <f>SUBTOTAL(109,PlanejamentoViagemETreinamento[Jul])</f>
        <v>4000</v>
      </c>
      <c r="J33" s="114">
        <f>SUBTOTAL(109,PlanejamentoViagemETreinamento[Ago])</f>
        <v>4000</v>
      </c>
      <c r="K33" s="114">
        <f>SUBTOTAL(109,PlanejamentoViagemETreinamento[Set])</f>
        <v>4000</v>
      </c>
      <c r="L33" s="114">
        <f>SUBTOTAL(109,PlanejamentoViagemETreinamento[Out])</f>
        <v>4000</v>
      </c>
      <c r="M33" s="114">
        <f>SUBTOTAL(109,PlanejamentoViagemETreinamento[Nov])</f>
        <v>4000</v>
      </c>
      <c r="N33" s="114">
        <f>SUBTOTAL(109,PlanejamentoViagemETreinamento[Dez])</f>
        <v>4000</v>
      </c>
      <c r="O33" s="115">
        <f>SUBTOTAL(109,PlanejamentoViagemETreinamento[ANO])</f>
        <v>48000</v>
      </c>
    </row>
    <row r="34" spans="1:15" s="134" customFormat="1" ht="21" customHeight="1" x14ac:dyDescent="0.3">
      <c r="A34" s="142"/>
      <c r="B34" s="87"/>
      <c r="C34" s="87"/>
      <c r="D34" s="144"/>
      <c r="E34" s="144"/>
      <c r="F34" s="144"/>
      <c r="G34" s="144"/>
      <c r="H34" s="144"/>
      <c r="I34" s="144"/>
      <c r="J34" s="144"/>
      <c r="K34" s="144"/>
      <c r="L34" s="144"/>
      <c r="M34" s="144"/>
      <c r="N34" s="144"/>
      <c r="O34" s="144"/>
    </row>
    <row r="35" spans="1:15" s="134" customFormat="1" ht="24.95" customHeight="1" thickBot="1" x14ac:dyDescent="0.35">
      <c r="A35" s="142" t="s">
        <v>12</v>
      </c>
      <c r="B35" s="24" t="s">
        <v>38</v>
      </c>
      <c r="C35" s="26" t="s">
        <v>42</v>
      </c>
      <c r="D35" s="26" t="s">
        <v>44</v>
      </c>
      <c r="E35" s="26" t="s">
        <v>46</v>
      </c>
      <c r="F35" s="26" t="s">
        <v>48</v>
      </c>
      <c r="G35" s="26" t="s">
        <v>50</v>
      </c>
      <c r="H35" s="26" t="s">
        <v>52</v>
      </c>
      <c r="I35" s="26" t="s">
        <v>54</v>
      </c>
      <c r="J35" s="26" t="s">
        <v>56</v>
      </c>
      <c r="K35" s="26" t="s">
        <v>60</v>
      </c>
      <c r="L35" s="26" t="s">
        <v>62</v>
      </c>
      <c r="M35" s="26" t="s">
        <v>64</v>
      </c>
      <c r="N35" s="26" t="s">
        <v>67</v>
      </c>
      <c r="O35" s="26" t="s">
        <v>69</v>
      </c>
    </row>
    <row r="36" spans="1:15" ht="24.95" customHeight="1" thickBot="1" x14ac:dyDescent="0.35">
      <c r="A36" s="32"/>
      <c r="B36" s="25" t="s">
        <v>39</v>
      </c>
      <c r="C36" s="116">
        <f>PlanejamentoViagemETreinamento[[#Totals],[Jan]]+PlanejamentoDeMarketing[[#Totals],[Jan]]+PlanejamentoDoEscritório[[#Totals],[Jan]]+PlanejamentoDeFuncionários[[#Totals],[Jan]]</f>
        <v>131420</v>
      </c>
      <c r="D36" s="116">
        <f>PlanejamentoViagemETreinamento[[#Totals],[Fev]]+PlanejamentoDeMarketing[[#Totals],[Fev]]+PlanejamentoDoEscritório[[#Totals],[Fev]]+PlanejamentoDeFuncionários[[#Totals],[Fev]]</f>
        <v>126820</v>
      </c>
      <c r="E36" s="116">
        <f>PlanejamentoViagemETreinamento[[#Totals],[Mar]]+PlanejamentoDeMarketing[[#Totals],[Mar]]+PlanejamentoDoEscritório[[#Totals],[Mar]]+PlanejamentoDeFuncionários[[#Totals],[Mar]]</f>
        <v>126820</v>
      </c>
      <c r="F36" s="116">
        <f>PlanejamentoViagemETreinamento[[#Totals],[Abr]]+PlanejamentoDeMarketing[[#Totals],[Abr]]+PlanejamentoDoEscritório[[#Totals],[Abr]]+PlanejamentoDeFuncionários[[#Totals],[Abr]]</f>
        <v>137695</v>
      </c>
      <c r="G36" s="116">
        <f>PlanejamentoViagemETreinamento[[#Totals],[Mai]]+PlanejamentoDeMarketing[[#Totals],[Mai]]+PlanejamentoDoEscritório[[#Totals],[Mai]]+PlanejamentoDeFuncionários[[#Totals],[Mai]]</f>
        <v>129695</v>
      </c>
      <c r="H36" s="116">
        <f>PlanejamentoViagemETreinamento[[#Totals],[Jun]]+PlanejamentoDeMarketing[[#Totals],[Jun]]+PlanejamentoDoEscritório[[#Totals],[Jun]]+PlanejamentoDeFuncionários[[#Totals],[Jun]]</f>
        <v>130495</v>
      </c>
      <c r="I36" s="117">
        <f>PlanejamentoViagemETreinamento[[#Totals],[Jul]]+PlanejamentoDeMarketing[[#Totals],[Jul]]+PlanejamentoDoEscritório[[#Totals],[Jul]]+PlanejamentoDeFuncionários[[#Totals],[Jul]]</f>
        <v>134695</v>
      </c>
      <c r="J36" s="116">
        <f>PlanejamentoViagemETreinamento[[#Totals],[Ago]]+PlanejamentoDeMarketing[[#Totals],[Ago]]+PlanejamentoDoEscritório[[#Totals],[Ago]]+PlanejamentoDeFuncionários[[#Totals],[Ago]]</f>
        <v>138918</v>
      </c>
      <c r="K36" s="116">
        <f>PlanejamentoViagemETreinamento[[#Totals],[Set]]+PlanejamentoDeMarketing[[#Totals],[Set]]+PlanejamentoDoEscritório[[#Totals],[Set]]+PlanejamentoDeFuncionários[[#Totals],[Set]]</f>
        <v>135918</v>
      </c>
      <c r="L36" s="116">
        <f>PlanejamentoViagemETreinamento[[#Totals],[Out]]+PlanejamentoDeMarketing[[#Totals],[Out]]+PlanejamentoDoEscritório[[#Totals],[Out]]+PlanejamentoDeFuncionários[[#Totals],[Out]]</f>
        <v>140918</v>
      </c>
      <c r="M36" s="116">
        <f>PlanejamentoViagemETreinamento[[#Totals],[Nov]]+PlanejamentoDeMarketing[[#Totals],[Nov]]+PlanejamentoDoEscritório[[#Totals],[Nov]]+PlanejamentoDeFuncionários[[#Totals],[Nov]]</f>
        <v>136218</v>
      </c>
      <c r="N36" s="116">
        <f>PlanejamentoViagemETreinamento[[#Totals],[Dez]]+PlanejamentoDeMarketing[[#Totals],[Dez]]+PlanejamentoDoEscritório[[#Totals],[Dez]]+PlanejamentoDeFuncionários[[#Totals],[Dez]]</f>
        <v>140018</v>
      </c>
      <c r="O36" s="116">
        <f>PlanejamentoViagemETreinamento[[#Totals],[ANO]]+PlanejamentoDeMarketing[[#Totals],[ANO]]+PlanejamentoDoEscritório[[#Totals],[ANO]]+PlanejamentoDeFuncionários[[#Totals],[ANO]]</f>
        <v>1609630</v>
      </c>
    </row>
    <row r="37" spans="1:15" ht="24.95" customHeight="1" x14ac:dyDescent="0.3">
      <c r="A37" s="32"/>
      <c r="B37" s="25" t="s">
        <v>40</v>
      </c>
      <c r="C37" s="116">
        <f>SUM($C$36:C36)</f>
        <v>131420</v>
      </c>
      <c r="D37" s="116">
        <f>SUM($C$36:D36)</f>
        <v>258240</v>
      </c>
      <c r="E37" s="116">
        <f>SUM($C$36:E36)</f>
        <v>385060</v>
      </c>
      <c r="F37" s="116">
        <f>SUM($C$36:F36)</f>
        <v>522755</v>
      </c>
      <c r="G37" s="116">
        <f>SUM($C$36:G36)</f>
        <v>652450</v>
      </c>
      <c r="H37" s="116">
        <f>SUM($C$36:H36)</f>
        <v>782945</v>
      </c>
      <c r="I37" s="116">
        <f>SUM($C$36:I36)</f>
        <v>917640</v>
      </c>
      <c r="J37" s="116">
        <f>SUM($C$36:J36)</f>
        <v>1056558</v>
      </c>
      <c r="K37" s="116">
        <f>SUM($C$36:K36)</f>
        <v>1192476</v>
      </c>
      <c r="L37" s="116">
        <f>SUM($C$36:L36)</f>
        <v>1333394</v>
      </c>
      <c r="M37" s="116">
        <f>SUM($C$36:M36)</f>
        <v>1469612</v>
      </c>
      <c r="N37" s="116">
        <f>SUM($C$36:N36)</f>
        <v>1609630</v>
      </c>
      <c r="O37" s="116"/>
    </row>
    <row r="38" spans="1:15" ht="21" customHeight="1" x14ac:dyDescent="0.3">
      <c r="A38" s="32"/>
      <c r="N38" s="3"/>
      <c r="O38" s="3"/>
    </row>
  </sheetData>
  <mergeCells count="9">
    <mergeCell ref="R4:T13"/>
    <mergeCell ref="N2:O3"/>
    <mergeCell ref="B34:C34"/>
    <mergeCell ref="B29:C29"/>
    <mergeCell ref="B20:C20"/>
    <mergeCell ref="B9:C9"/>
    <mergeCell ref="B2:D3"/>
    <mergeCell ref="J2:M2"/>
    <mergeCell ref="J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B893D"/>
    <pageSetUpPr autoPageBreaks="0" fitToPage="1"/>
  </sheetPr>
  <dimension ref="A1:P41"/>
  <sheetViews>
    <sheetView showGridLines="0" zoomScaleNormal="100" workbookViewId="0"/>
  </sheetViews>
  <sheetFormatPr defaultColWidth="9.140625" defaultRowHeight="21" customHeight="1" x14ac:dyDescent="0.3"/>
  <cols>
    <col min="1" max="1" width="4.7109375" style="1" customWidth="1"/>
    <col min="2" max="2" width="41.5703125" style="4" bestFit="1" customWidth="1"/>
    <col min="3" max="14" width="16" style="4" customWidth="1"/>
    <col min="15" max="15" width="16.28515625" style="4" customWidth="1"/>
    <col min="16" max="16" width="4.7109375" style="1" customWidth="1"/>
    <col min="17" max="16384" width="9.140625" style="4"/>
  </cols>
  <sheetData>
    <row r="1" spans="1:16" s="134" customFormat="1" ht="24" customHeight="1" x14ac:dyDescent="0.3">
      <c r="A1" s="130" t="s">
        <v>96</v>
      </c>
      <c r="B1" s="131"/>
      <c r="C1" s="131"/>
      <c r="D1" s="131"/>
      <c r="E1" s="131"/>
      <c r="F1" s="132"/>
      <c r="G1" s="132"/>
      <c r="H1" s="132"/>
      <c r="I1" s="132"/>
      <c r="J1" s="132"/>
      <c r="K1" s="132"/>
      <c r="L1" s="132"/>
      <c r="M1" s="132"/>
      <c r="N1" s="132"/>
      <c r="O1" s="132"/>
      <c r="P1" s="133" t="s">
        <v>70</v>
      </c>
    </row>
    <row r="2" spans="1:16" s="134" customFormat="1" ht="45" customHeight="1" x14ac:dyDescent="0.35">
      <c r="A2" s="135" t="s">
        <v>72</v>
      </c>
      <c r="B2" s="89" t="str">
        <f>'DESPESAS PLANEJADAS'!B2:D3</f>
        <v>Nome da empresa</v>
      </c>
      <c r="C2" s="89"/>
      <c r="D2" s="89"/>
      <c r="E2" s="136"/>
      <c r="F2" s="8"/>
      <c r="G2" s="8"/>
      <c r="H2" s="8"/>
      <c r="I2" s="8"/>
      <c r="J2" s="86" t="str">
        <f>título_da_planilha</f>
        <v>Estimativas detalhadas de despesas</v>
      </c>
      <c r="K2" s="86"/>
      <c r="L2" s="86"/>
      <c r="M2" s="86"/>
      <c r="N2" s="85" t="s">
        <v>65</v>
      </c>
      <c r="O2" s="85"/>
      <c r="P2" s="132"/>
    </row>
    <row r="3" spans="1:16" s="134" customFormat="1" ht="30" customHeight="1" x14ac:dyDescent="0.3">
      <c r="A3" s="135" t="s">
        <v>8</v>
      </c>
      <c r="B3" s="89"/>
      <c r="C3" s="89"/>
      <c r="D3" s="89"/>
      <c r="E3" s="137"/>
      <c r="F3" s="9"/>
      <c r="G3" s="9"/>
      <c r="H3" s="9"/>
      <c r="I3" s="9"/>
      <c r="J3" s="91" t="s">
        <v>58</v>
      </c>
      <c r="K3" s="91"/>
      <c r="L3" s="91"/>
      <c r="M3" s="91"/>
      <c r="N3" s="85"/>
      <c r="O3" s="85"/>
      <c r="P3" s="132"/>
    </row>
    <row r="4" spans="1:16" s="139" customFormat="1" ht="49.5" customHeight="1" x14ac:dyDescent="0.3">
      <c r="A4" s="138" t="s">
        <v>73</v>
      </c>
      <c r="B4" s="22" t="s">
        <v>76</v>
      </c>
      <c r="C4" s="23" t="s">
        <v>41</v>
      </c>
      <c r="D4" s="23" t="s">
        <v>43</v>
      </c>
      <c r="E4" s="23" t="s">
        <v>45</v>
      </c>
      <c r="F4" s="23" t="s">
        <v>47</v>
      </c>
      <c r="G4" s="23" t="s">
        <v>49</v>
      </c>
      <c r="H4" s="23" t="s">
        <v>51</v>
      </c>
      <c r="I4" s="23" t="s">
        <v>53</v>
      </c>
      <c r="J4" s="23" t="s">
        <v>55</v>
      </c>
      <c r="K4" s="23" t="s">
        <v>59</v>
      </c>
      <c r="L4" s="23" t="s">
        <v>61</v>
      </c>
      <c r="M4" s="23" t="s">
        <v>63</v>
      </c>
      <c r="N4" s="23" t="s">
        <v>66</v>
      </c>
      <c r="O4" s="23" t="s">
        <v>68</v>
      </c>
    </row>
    <row r="5" spans="1:16" s="146" customFormat="1" ht="24.95" customHeight="1" thickBot="1" x14ac:dyDescent="0.35">
      <c r="A5" s="140" t="s">
        <v>74</v>
      </c>
      <c r="B5" s="42" t="s">
        <v>15</v>
      </c>
      <c r="C5" s="66" t="s">
        <v>42</v>
      </c>
      <c r="D5" s="62" t="s">
        <v>44</v>
      </c>
      <c r="E5" s="62" t="s">
        <v>46</v>
      </c>
      <c r="F5" s="62" t="s">
        <v>48</v>
      </c>
      <c r="G5" s="62" t="s">
        <v>50</v>
      </c>
      <c r="H5" s="62" t="s">
        <v>52</v>
      </c>
      <c r="I5" s="62" t="s">
        <v>54</v>
      </c>
      <c r="J5" s="62" t="s">
        <v>56</v>
      </c>
      <c r="K5" s="62" t="s">
        <v>60</v>
      </c>
      <c r="L5" s="62" t="s">
        <v>62</v>
      </c>
      <c r="M5" s="62" t="s">
        <v>64</v>
      </c>
      <c r="N5" s="62" t="s">
        <v>67</v>
      </c>
      <c r="O5" s="63" t="s">
        <v>68</v>
      </c>
      <c r="P5" s="141"/>
    </row>
    <row r="6" spans="1:16" s="5" customFormat="1" ht="24.95" customHeight="1" thickBot="1" x14ac:dyDescent="0.35">
      <c r="A6" s="32"/>
      <c r="B6" s="43" t="s">
        <v>16</v>
      </c>
      <c r="C6" s="110">
        <v>85000</v>
      </c>
      <c r="D6" s="111">
        <v>85000</v>
      </c>
      <c r="E6" s="111">
        <v>85000</v>
      </c>
      <c r="F6" s="111">
        <v>88000</v>
      </c>
      <c r="G6" s="111">
        <v>88000</v>
      </c>
      <c r="H6" s="111">
        <v>88000</v>
      </c>
      <c r="I6" s="111"/>
      <c r="J6" s="111"/>
      <c r="K6" s="111"/>
      <c r="L6" s="111"/>
      <c r="M6" s="111"/>
      <c r="N6" s="111"/>
      <c r="O6" s="112">
        <f>SUM(C6:N6)</f>
        <v>519000</v>
      </c>
      <c r="P6" s="1"/>
    </row>
    <row r="7" spans="1:16" s="5" customFormat="1" ht="24.95" customHeight="1" thickBot="1" x14ac:dyDescent="0.35">
      <c r="A7" s="32"/>
      <c r="B7" s="43" t="s">
        <v>17</v>
      </c>
      <c r="C7" s="110">
        <f t="shared" ref="C7:N7" si="0">C6*0.27</f>
        <v>22950</v>
      </c>
      <c r="D7" s="111">
        <f t="shared" si="0"/>
        <v>22950</v>
      </c>
      <c r="E7" s="111">
        <f t="shared" si="0"/>
        <v>22950</v>
      </c>
      <c r="F7" s="111">
        <f t="shared" si="0"/>
        <v>23760</v>
      </c>
      <c r="G7" s="111">
        <f t="shared" si="0"/>
        <v>23760</v>
      </c>
      <c r="H7" s="111">
        <f t="shared" si="0"/>
        <v>23760</v>
      </c>
      <c r="I7" s="111">
        <f t="shared" si="0"/>
        <v>0</v>
      </c>
      <c r="J7" s="111">
        <f t="shared" si="0"/>
        <v>0</v>
      </c>
      <c r="K7" s="111">
        <f t="shared" si="0"/>
        <v>0</v>
      </c>
      <c r="L7" s="111">
        <f t="shared" si="0"/>
        <v>0</v>
      </c>
      <c r="M7" s="111">
        <f t="shared" si="0"/>
        <v>0</v>
      </c>
      <c r="N7" s="111">
        <f t="shared" si="0"/>
        <v>0</v>
      </c>
      <c r="O7" s="112">
        <f>SUM(C7:N7)</f>
        <v>140130</v>
      </c>
      <c r="P7" s="1"/>
    </row>
    <row r="8" spans="1:16" ht="24.95" customHeight="1" x14ac:dyDescent="0.3">
      <c r="A8" s="32"/>
      <c r="B8" s="67" t="s">
        <v>18</v>
      </c>
      <c r="C8" s="118">
        <f>SUBTOTAL(109,RealFuncionários[Jan])</f>
        <v>107950</v>
      </c>
      <c r="D8" s="119">
        <f>SUBTOTAL(109,RealFuncionários[Fev])</f>
        <v>107950</v>
      </c>
      <c r="E8" s="119">
        <f>SUBTOTAL(109,RealFuncionários[Mar])</f>
        <v>107950</v>
      </c>
      <c r="F8" s="119">
        <f>SUBTOTAL(109,RealFuncionários[Abr])</f>
        <v>111760</v>
      </c>
      <c r="G8" s="119">
        <f>SUBTOTAL(109,RealFuncionários[Mai])</f>
        <v>111760</v>
      </c>
      <c r="H8" s="119">
        <f>SUBTOTAL(109,RealFuncionários[Jun])</f>
        <v>111760</v>
      </c>
      <c r="I8" s="119">
        <f>SUBTOTAL(109,RealFuncionários[Jul])</f>
        <v>0</v>
      </c>
      <c r="J8" s="119">
        <f>SUBTOTAL(109,RealFuncionários[Ago])</f>
        <v>0</v>
      </c>
      <c r="K8" s="119">
        <f>SUBTOTAL(109,RealFuncionários[Set])</f>
        <v>0</v>
      </c>
      <c r="L8" s="119">
        <f>SUBTOTAL(109,RealFuncionários[Out])</f>
        <v>0</v>
      </c>
      <c r="M8" s="119">
        <f>SUBTOTAL(109,RealFuncionários[Nov])</f>
        <v>0</v>
      </c>
      <c r="N8" s="119">
        <f>SUBTOTAL(109,RealFuncionários[Dez])</f>
        <v>0</v>
      </c>
      <c r="O8" s="120">
        <f>SUBTOTAL(109,RealFuncionários[ANO])</f>
        <v>659130</v>
      </c>
    </row>
    <row r="9" spans="1:16" s="134" customFormat="1" ht="21" customHeight="1" x14ac:dyDescent="0.3">
      <c r="A9" s="142"/>
      <c r="B9" s="87"/>
      <c r="C9" s="87"/>
      <c r="D9" s="143"/>
      <c r="E9" s="143"/>
      <c r="F9" s="143"/>
      <c r="G9" s="143"/>
      <c r="H9" s="143"/>
      <c r="I9" s="143"/>
      <c r="J9" s="143"/>
      <c r="K9" s="143"/>
      <c r="L9" s="143"/>
      <c r="M9" s="143"/>
      <c r="N9" s="143"/>
      <c r="O9" s="144"/>
    </row>
    <row r="10" spans="1:16" s="147" customFormat="1" ht="24.95" customHeight="1" thickBot="1" x14ac:dyDescent="0.35">
      <c r="A10" s="142" t="s">
        <v>99</v>
      </c>
      <c r="B10" s="49" t="s">
        <v>19</v>
      </c>
      <c r="C10" s="66" t="s">
        <v>42</v>
      </c>
      <c r="D10" s="62" t="s">
        <v>44</v>
      </c>
      <c r="E10" s="62" t="s">
        <v>46</v>
      </c>
      <c r="F10" s="62" t="s">
        <v>48</v>
      </c>
      <c r="G10" s="62" t="s">
        <v>50</v>
      </c>
      <c r="H10" s="62" t="s">
        <v>52</v>
      </c>
      <c r="I10" s="62" t="s">
        <v>54</v>
      </c>
      <c r="J10" s="62" t="s">
        <v>56</v>
      </c>
      <c r="K10" s="62" t="s">
        <v>60</v>
      </c>
      <c r="L10" s="62" t="s">
        <v>62</v>
      </c>
      <c r="M10" s="62" t="s">
        <v>64</v>
      </c>
      <c r="N10" s="62" t="s">
        <v>67</v>
      </c>
      <c r="O10" s="63" t="s">
        <v>68</v>
      </c>
      <c r="P10" s="134"/>
    </row>
    <row r="11" spans="1:16" ht="24.95" customHeight="1" thickBot="1" x14ac:dyDescent="0.35">
      <c r="A11" s="32"/>
      <c r="B11" s="43" t="s">
        <v>20</v>
      </c>
      <c r="C11" s="110">
        <v>9800</v>
      </c>
      <c r="D11" s="111">
        <v>9800</v>
      </c>
      <c r="E11" s="111">
        <v>9800</v>
      </c>
      <c r="F11" s="111">
        <v>9800</v>
      </c>
      <c r="G11" s="111">
        <v>9800</v>
      </c>
      <c r="H11" s="111">
        <v>9800</v>
      </c>
      <c r="I11" s="111"/>
      <c r="J11" s="111"/>
      <c r="K11" s="111"/>
      <c r="L11" s="111"/>
      <c r="M11" s="111"/>
      <c r="N11" s="111"/>
      <c r="O11" s="112">
        <f t="shared" ref="O11:O18" si="1">SUM(C11:N11)</f>
        <v>58800</v>
      </c>
    </row>
    <row r="12" spans="1:16" ht="24.95" customHeight="1" thickBot="1" x14ac:dyDescent="0.35">
      <c r="A12" s="32"/>
      <c r="B12" s="43" t="s">
        <v>21</v>
      </c>
      <c r="C12" s="110">
        <v>4</v>
      </c>
      <c r="D12" s="111">
        <v>430</v>
      </c>
      <c r="E12" s="111">
        <v>385</v>
      </c>
      <c r="F12" s="111">
        <v>230</v>
      </c>
      <c r="G12" s="111">
        <v>87</v>
      </c>
      <c r="H12" s="111">
        <v>88</v>
      </c>
      <c r="I12" s="111"/>
      <c r="J12" s="111"/>
      <c r="K12" s="111"/>
      <c r="L12" s="111"/>
      <c r="M12" s="111"/>
      <c r="N12" s="111"/>
      <c r="O12" s="112">
        <f t="shared" si="1"/>
        <v>1224</v>
      </c>
    </row>
    <row r="13" spans="1:16" ht="24.95" customHeight="1" thickBot="1" x14ac:dyDescent="0.35">
      <c r="A13" s="32"/>
      <c r="B13" s="43" t="s">
        <v>22</v>
      </c>
      <c r="C13" s="110">
        <v>288</v>
      </c>
      <c r="D13" s="111">
        <v>278</v>
      </c>
      <c r="E13" s="111">
        <v>268</v>
      </c>
      <c r="F13" s="111">
        <v>299</v>
      </c>
      <c r="G13" s="111">
        <v>306</v>
      </c>
      <c r="H13" s="111">
        <v>290</v>
      </c>
      <c r="I13" s="111"/>
      <c r="J13" s="111"/>
      <c r="K13" s="111"/>
      <c r="L13" s="111"/>
      <c r="M13" s="111"/>
      <c r="N13" s="111"/>
      <c r="O13" s="112">
        <f t="shared" si="1"/>
        <v>1729</v>
      </c>
    </row>
    <row r="14" spans="1:16" ht="24.95" customHeight="1" thickBot="1" x14ac:dyDescent="0.35">
      <c r="A14" s="32"/>
      <c r="B14" s="43" t="s">
        <v>23</v>
      </c>
      <c r="C14" s="110">
        <v>35</v>
      </c>
      <c r="D14" s="111">
        <v>33</v>
      </c>
      <c r="E14" s="111">
        <v>34</v>
      </c>
      <c r="F14" s="111">
        <v>36</v>
      </c>
      <c r="G14" s="111">
        <v>34</v>
      </c>
      <c r="H14" s="111">
        <v>36</v>
      </c>
      <c r="I14" s="111"/>
      <c r="J14" s="111"/>
      <c r="K14" s="111"/>
      <c r="L14" s="111"/>
      <c r="M14" s="111"/>
      <c r="N14" s="111"/>
      <c r="O14" s="112">
        <f t="shared" si="1"/>
        <v>208</v>
      </c>
    </row>
    <row r="15" spans="1:16" ht="24.95" customHeight="1" thickBot="1" x14ac:dyDescent="0.35">
      <c r="A15" s="32"/>
      <c r="B15" s="43" t="s">
        <v>24</v>
      </c>
      <c r="C15" s="110">
        <v>224</v>
      </c>
      <c r="D15" s="111">
        <v>235</v>
      </c>
      <c r="E15" s="111">
        <v>265</v>
      </c>
      <c r="F15" s="111">
        <v>245</v>
      </c>
      <c r="G15" s="111">
        <v>245</v>
      </c>
      <c r="H15" s="111">
        <v>220</v>
      </c>
      <c r="I15" s="111"/>
      <c r="J15" s="111"/>
      <c r="K15" s="111"/>
      <c r="L15" s="111"/>
      <c r="M15" s="111"/>
      <c r="N15" s="111"/>
      <c r="O15" s="112">
        <f t="shared" si="1"/>
        <v>1434</v>
      </c>
    </row>
    <row r="16" spans="1:16" ht="24.95" customHeight="1" thickBot="1" x14ac:dyDescent="0.35">
      <c r="A16" s="32"/>
      <c r="B16" s="43" t="s">
        <v>25</v>
      </c>
      <c r="C16" s="110">
        <v>180</v>
      </c>
      <c r="D16" s="111">
        <v>180</v>
      </c>
      <c r="E16" s="111">
        <v>180</v>
      </c>
      <c r="F16" s="111">
        <v>180</v>
      </c>
      <c r="G16" s="111">
        <v>180</v>
      </c>
      <c r="H16" s="111">
        <v>180</v>
      </c>
      <c r="I16" s="111"/>
      <c r="J16" s="111"/>
      <c r="K16" s="111"/>
      <c r="L16" s="111"/>
      <c r="M16" s="111"/>
      <c r="N16" s="111"/>
      <c r="O16" s="112">
        <f t="shared" si="1"/>
        <v>1080</v>
      </c>
    </row>
    <row r="17" spans="1:16" ht="24.95" customHeight="1" thickBot="1" x14ac:dyDescent="0.35">
      <c r="A17" s="32"/>
      <c r="B17" s="43" t="s">
        <v>26</v>
      </c>
      <c r="C17" s="110">
        <v>256</v>
      </c>
      <c r="D17" s="111">
        <v>142</v>
      </c>
      <c r="E17" s="111">
        <v>160</v>
      </c>
      <c r="F17" s="111">
        <v>221</v>
      </c>
      <c r="G17" s="111">
        <v>256</v>
      </c>
      <c r="H17" s="111">
        <v>240</v>
      </c>
      <c r="I17" s="111"/>
      <c r="J17" s="111"/>
      <c r="K17" s="111"/>
      <c r="L17" s="111"/>
      <c r="M17" s="111"/>
      <c r="N17" s="111"/>
      <c r="O17" s="112">
        <f t="shared" si="1"/>
        <v>1275</v>
      </c>
    </row>
    <row r="18" spans="1:16" ht="24.95" customHeight="1" thickBot="1" x14ac:dyDescent="0.35">
      <c r="A18" s="32"/>
      <c r="B18" s="43" t="s">
        <v>27</v>
      </c>
      <c r="C18" s="110">
        <v>600</v>
      </c>
      <c r="D18" s="111">
        <v>600</v>
      </c>
      <c r="E18" s="111">
        <v>600</v>
      </c>
      <c r="F18" s="111">
        <v>600</v>
      </c>
      <c r="G18" s="111">
        <v>600</v>
      </c>
      <c r="H18" s="111">
        <v>600</v>
      </c>
      <c r="I18" s="111"/>
      <c r="J18" s="111"/>
      <c r="K18" s="111"/>
      <c r="L18" s="111"/>
      <c r="M18" s="111"/>
      <c r="N18" s="111"/>
      <c r="O18" s="112">
        <f t="shared" si="1"/>
        <v>3600</v>
      </c>
    </row>
    <row r="19" spans="1:16" ht="24.95" customHeight="1" x14ac:dyDescent="0.3">
      <c r="A19" s="32"/>
      <c r="B19" s="68" t="s">
        <v>18</v>
      </c>
      <c r="C19" s="114">
        <f>SUBTOTAL(109,RealEscritório[Jan])</f>
        <v>11387</v>
      </c>
      <c r="D19" s="114">
        <f>SUBTOTAL(109,RealEscritório[Fev])</f>
        <v>11698</v>
      </c>
      <c r="E19" s="114">
        <f>SUBTOTAL(109,RealEscritório[Mar])</f>
        <v>11692</v>
      </c>
      <c r="F19" s="114">
        <f>SUBTOTAL(109,RealEscritório[Abr])</f>
        <v>11611</v>
      </c>
      <c r="G19" s="114">
        <f>SUBTOTAL(109,RealEscritório[Mai])</f>
        <v>11508</v>
      </c>
      <c r="H19" s="114">
        <f>SUBTOTAL(109,RealEscritório[Jun])</f>
        <v>11454</v>
      </c>
      <c r="I19" s="114">
        <f>SUBTOTAL(109,RealEscritório[Jul])</f>
        <v>0</v>
      </c>
      <c r="J19" s="114">
        <f>SUBTOTAL(109,RealEscritório[Ago])</f>
        <v>0</v>
      </c>
      <c r="K19" s="114">
        <f>SUBTOTAL(109,RealEscritório[Set])</f>
        <v>0</v>
      </c>
      <c r="L19" s="114">
        <f>SUBTOTAL(109,RealEscritório[Out])</f>
        <v>0</v>
      </c>
      <c r="M19" s="114">
        <f>SUBTOTAL(109,RealEscritório[Nov])</f>
        <v>0</v>
      </c>
      <c r="N19" s="114">
        <f>SUBTOTAL(109,RealEscritório[Dez])</f>
        <v>0</v>
      </c>
      <c r="O19" s="115">
        <f>SUBTOTAL(109,RealEscritório[ANO])</f>
        <v>69350</v>
      </c>
    </row>
    <row r="20" spans="1:16" s="147" customFormat="1" ht="21" customHeight="1" x14ac:dyDescent="0.3">
      <c r="A20" s="142"/>
      <c r="B20" s="88"/>
      <c r="C20" s="88"/>
      <c r="D20" s="143"/>
      <c r="E20" s="143"/>
      <c r="F20" s="145"/>
      <c r="G20" s="145"/>
      <c r="H20" s="145"/>
      <c r="I20" s="145"/>
      <c r="J20" s="145"/>
      <c r="K20" s="145"/>
      <c r="L20" s="145"/>
      <c r="M20" s="145"/>
      <c r="N20" s="145"/>
      <c r="O20" s="144"/>
      <c r="P20" s="134"/>
    </row>
    <row r="21" spans="1:16" s="147" customFormat="1" ht="24.95" customHeight="1" thickBot="1" x14ac:dyDescent="0.35">
      <c r="A21" s="142" t="s">
        <v>100</v>
      </c>
      <c r="B21" s="69" t="s">
        <v>28</v>
      </c>
      <c r="C21" s="66" t="s">
        <v>42</v>
      </c>
      <c r="D21" s="62" t="s">
        <v>44</v>
      </c>
      <c r="E21" s="62" t="s">
        <v>46</v>
      </c>
      <c r="F21" s="62" t="s">
        <v>48</v>
      </c>
      <c r="G21" s="62" t="s">
        <v>50</v>
      </c>
      <c r="H21" s="62" t="s">
        <v>52</v>
      </c>
      <c r="I21" s="62" t="s">
        <v>54</v>
      </c>
      <c r="J21" s="62" t="s">
        <v>56</v>
      </c>
      <c r="K21" s="62" t="s">
        <v>60</v>
      </c>
      <c r="L21" s="62" t="s">
        <v>62</v>
      </c>
      <c r="M21" s="62" t="s">
        <v>64</v>
      </c>
      <c r="N21" s="62" t="s">
        <v>67</v>
      </c>
      <c r="O21" s="63" t="s">
        <v>68</v>
      </c>
      <c r="P21" s="134"/>
    </row>
    <row r="22" spans="1:16" ht="24.95" customHeight="1" thickBot="1" x14ac:dyDescent="0.35">
      <c r="A22" s="32"/>
      <c r="B22" s="43" t="s">
        <v>29</v>
      </c>
      <c r="C22" s="110">
        <v>500</v>
      </c>
      <c r="D22" s="111">
        <v>500</v>
      </c>
      <c r="E22" s="111">
        <v>500</v>
      </c>
      <c r="F22" s="111">
        <v>500</v>
      </c>
      <c r="G22" s="111">
        <v>500</v>
      </c>
      <c r="H22" s="111">
        <v>500</v>
      </c>
      <c r="I22" s="111"/>
      <c r="J22" s="111"/>
      <c r="K22" s="111"/>
      <c r="L22" s="111"/>
      <c r="M22" s="111"/>
      <c r="N22" s="111"/>
      <c r="O22" s="112">
        <f t="shared" ref="O22:O27" si="2">SUM(C22:N22)</f>
        <v>3000</v>
      </c>
    </row>
    <row r="23" spans="1:16" ht="24.95" customHeight="1" thickBot="1" x14ac:dyDescent="0.35">
      <c r="A23" s="32"/>
      <c r="B23" s="43" t="s">
        <v>30</v>
      </c>
      <c r="C23" s="110">
        <v>200</v>
      </c>
      <c r="D23" s="111">
        <v>200</v>
      </c>
      <c r="E23" s="111">
        <v>200</v>
      </c>
      <c r="F23" s="111">
        <v>200</v>
      </c>
      <c r="G23" s="111">
        <v>200</v>
      </c>
      <c r="H23" s="111">
        <v>1500</v>
      </c>
      <c r="I23" s="111"/>
      <c r="J23" s="111"/>
      <c r="K23" s="111"/>
      <c r="L23" s="111"/>
      <c r="M23" s="111"/>
      <c r="N23" s="111"/>
      <c r="O23" s="112">
        <f t="shared" si="2"/>
        <v>2500</v>
      </c>
    </row>
    <row r="24" spans="1:16" ht="24.95" customHeight="1" thickBot="1" x14ac:dyDescent="0.35">
      <c r="A24" s="32"/>
      <c r="B24" s="43" t="s">
        <v>31</v>
      </c>
      <c r="C24" s="110">
        <v>4800</v>
      </c>
      <c r="D24" s="111">
        <v>0</v>
      </c>
      <c r="E24" s="111">
        <v>0</v>
      </c>
      <c r="F24" s="111">
        <v>5500</v>
      </c>
      <c r="G24" s="111">
        <v>0</v>
      </c>
      <c r="H24" s="111">
        <v>0</v>
      </c>
      <c r="I24" s="111"/>
      <c r="J24" s="111"/>
      <c r="K24" s="111"/>
      <c r="L24" s="111"/>
      <c r="M24" s="111"/>
      <c r="N24" s="111"/>
      <c r="O24" s="112">
        <f t="shared" si="2"/>
        <v>10300</v>
      </c>
    </row>
    <row r="25" spans="1:16" ht="24.95" customHeight="1" thickBot="1" x14ac:dyDescent="0.35">
      <c r="A25" s="32"/>
      <c r="B25" s="43" t="s">
        <v>32</v>
      </c>
      <c r="C25" s="110">
        <v>100</v>
      </c>
      <c r="D25" s="111">
        <v>500</v>
      </c>
      <c r="E25" s="111">
        <v>100</v>
      </c>
      <c r="F25" s="111">
        <v>100</v>
      </c>
      <c r="G25" s="111">
        <v>600</v>
      </c>
      <c r="H25" s="111">
        <v>180</v>
      </c>
      <c r="I25" s="111"/>
      <c r="J25" s="111"/>
      <c r="K25" s="111"/>
      <c r="L25" s="111"/>
      <c r="M25" s="111"/>
      <c r="N25" s="111"/>
      <c r="O25" s="112">
        <f t="shared" si="2"/>
        <v>1580</v>
      </c>
    </row>
    <row r="26" spans="1:16" ht="24.95" customHeight="1" thickBot="1" x14ac:dyDescent="0.35">
      <c r="A26" s="32"/>
      <c r="B26" s="43" t="s">
        <v>33</v>
      </c>
      <c r="C26" s="110">
        <v>1800</v>
      </c>
      <c r="D26" s="111">
        <v>2200</v>
      </c>
      <c r="E26" s="111">
        <v>2200</v>
      </c>
      <c r="F26" s="111">
        <v>4700</v>
      </c>
      <c r="G26" s="111">
        <v>1500</v>
      </c>
      <c r="H26" s="111">
        <v>2300</v>
      </c>
      <c r="I26" s="111"/>
      <c r="J26" s="111"/>
      <c r="K26" s="111"/>
      <c r="L26" s="111"/>
      <c r="M26" s="111"/>
      <c r="N26" s="111"/>
      <c r="O26" s="112">
        <f t="shared" si="2"/>
        <v>14700</v>
      </c>
    </row>
    <row r="27" spans="1:16" ht="24.95" customHeight="1" thickBot="1" x14ac:dyDescent="0.35">
      <c r="A27" s="32"/>
      <c r="B27" s="43" t="s">
        <v>34</v>
      </c>
      <c r="C27" s="110">
        <v>145</v>
      </c>
      <c r="D27" s="111">
        <v>156</v>
      </c>
      <c r="E27" s="111">
        <v>123</v>
      </c>
      <c r="F27" s="111">
        <v>223</v>
      </c>
      <c r="G27" s="111">
        <v>187</v>
      </c>
      <c r="H27" s="111">
        <v>245</v>
      </c>
      <c r="I27" s="111"/>
      <c r="J27" s="111"/>
      <c r="K27" s="111"/>
      <c r="L27" s="111"/>
      <c r="M27" s="111"/>
      <c r="N27" s="111"/>
      <c r="O27" s="112">
        <f t="shared" si="2"/>
        <v>1079</v>
      </c>
    </row>
    <row r="28" spans="1:16" ht="24.95" customHeight="1" x14ac:dyDescent="0.3">
      <c r="A28" s="32"/>
      <c r="B28" s="65" t="s">
        <v>18</v>
      </c>
      <c r="C28" s="121">
        <f>SUBTOTAL(109,RealMarketing[Jan])</f>
        <v>7545</v>
      </c>
      <c r="D28" s="114">
        <f>SUBTOTAL(109,RealMarketing[Fev])</f>
        <v>3556</v>
      </c>
      <c r="E28" s="114">
        <f>SUBTOTAL(109,RealMarketing[Mar])</f>
        <v>3123</v>
      </c>
      <c r="F28" s="114">
        <f>SUBTOTAL(109,RealMarketing[Abr])</f>
        <v>11223</v>
      </c>
      <c r="G28" s="114">
        <f>SUBTOTAL(109,RealMarketing[Mai])</f>
        <v>2987</v>
      </c>
      <c r="H28" s="114">
        <f>SUBTOTAL(109,RealMarketing[Jun])</f>
        <v>4725</v>
      </c>
      <c r="I28" s="114">
        <f>SUBTOTAL(109,RealMarketing[Jul])</f>
        <v>0</v>
      </c>
      <c r="J28" s="114">
        <f>SUBTOTAL(109,RealMarketing[Ago])</f>
        <v>0</v>
      </c>
      <c r="K28" s="114">
        <f>SUBTOTAL(109,RealMarketing[Set])</f>
        <v>0</v>
      </c>
      <c r="L28" s="114">
        <f>SUBTOTAL(109,RealMarketing[Out])</f>
        <v>0</v>
      </c>
      <c r="M28" s="114">
        <f>SUBTOTAL(109,RealMarketing[Nov])</f>
        <v>0</v>
      </c>
      <c r="N28" s="114">
        <f>SUBTOTAL(109,RealMarketing[Dez])</f>
        <v>0</v>
      </c>
      <c r="O28" s="115">
        <f>SUBTOTAL(109,RealMarketing[ANO])</f>
        <v>33159</v>
      </c>
    </row>
    <row r="29" spans="1:16" s="147" customFormat="1" ht="21" customHeight="1" x14ac:dyDescent="0.3">
      <c r="A29" s="142"/>
      <c r="B29" s="87"/>
      <c r="C29" s="87"/>
      <c r="D29" s="145"/>
      <c r="E29" s="145"/>
      <c r="F29" s="145"/>
      <c r="G29" s="145"/>
      <c r="H29" s="145"/>
      <c r="I29" s="145"/>
      <c r="J29" s="145"/>
      <c r="K29" s="145"/>
      <c r="L29" s="145"/>
      <c r="M29" s="145"/>
      <c r="N29" s="145"/>
      <c r="O29" s="144"/>
      <c r="P29" s="134"/>
    </row>
    <row r="30" spans="1:16" s="147" customFormat="1" ht="24.95" customHeight="1" thickBot="1" x14ac:dyDescent="0.35">
      <c r="A30" s="142" t="s">
        <v>75</v>
      </c>
      <c r="B30" s="56" t="s">
        <v>35</v>
      </c>
      <c r="C30" s="62" t="s">
        <v>42</v>
      </c>
      <c r="D30" s="62" t="s">
        <v>44</v>
      </c>
      <c r="E30" s="62" t="s">
        <v>46</v>
      </c>
      <c r="F30" s="62" t="s">
        <v>48</v>
      </c>
      <c r="G30" s="62" t="s">
        <v>50</v>
      </c>
      <c r="H30" s="62" t="s">
        <v>52</v>
      </c>
      <c r="I30" s="62" t="s">
        <v>54</v>
      </c>
      <c r="J30" s="62" t="s">
        <v>56</v>
      </c>
      <c r="K30" s="62" t="s">
        <v>60</v>
      </c>
      <c r="L30" s="62" t="s">
        <v>62</v>
      </c>
      <c r="M30" s="62" t="s">
        <v>64</v>
      </c>
      <c r="N30" s="62" t="s">
        <v>67</v>
      </c>
      <c r="O30" s="63" t="s">
        <v>68</v>
      </c>
      <c r="P30" s="134"/>
    </row>
    <row r="31" spans="1:16" ht="24.95" customHeight="1" thickBot="1" x14ac:dyDescent="0.35">
      <c r="A31" s="32"/>
      <c r="B31" s="64" t="s">
        <v>36</v>
      </c>
      <c r="C31" s="111">
        <v>1600</v>
      </c>
      <c r="D31" s="111">
        <v>2400</v>
      </c>
      <c r="E31" s="111">
        <v>1400</v>
      </c>
      <c r="F31" s="111">
        <v>1600</v>
      </c>
      <c r="G31" s="111">
        <v>1200</v>
      </c>
      <c r="H31" s="111">
        <v>2800</v>
      </c>
      <c r="I31" s="111"/>
      <c r="J31" s="111"/>
      <c r="K31" s="111"/>
      <c r="L31" s="111"/>
      <c r="M31" s="111"/>
      <c r="N31" s="111"/>
      <c r="O31" s="112">
        <f>SUM(C31:N31)</f>
        <v>11000</v>
      </c>
    </row>
    <row r="32" spans="1:16" ht="24.95" customHeight="1" thickBot="1" x14ac:dyDescent="0.35">
      <c r="A32" s="32"/>
      <c r="B32" s="64" t="s">
        <v>37</v>
      </c>
      <c r="C32" s="111">
        <v>1200</v>
      </c>
      <c r="D32" s="111">
        <v>2200</v>
      </c>
      <c r="E32" s="111">
        <v>1400</v>
      </c>
      <c r="F32" s="111">
        <v>1200</v>
      </c>
      <c r="G32" s="111">
        <v>800</v>
      </c>
      <c r="H32" s="111">
        <v>3500</v>
      </c>
      <c r="I32" s="111"/>
      <c r="J32" s="111"/>
      <c r="K32" s="111"/>
      <c r="L32" s="111"/>
      <c r="M32" s="111"/>
      <c r="N32" s="111"/>
      <c r="O32" s="112">
        <f>SUM(C32:N32)</f>
        <v>10300</v>
      </c>
    </row>
    <row r="33" spans="1:16" ht="24.95" customHeight="1" x14ac:dyDescent="0.3">
      <c r="A33" s="32"/>
      <c r="B33" s="68" t="s">
        <v>18</v>
      </c>
      <c r="C33" s="114">
        <f>SUBTOTAL(109,RealViagemETreinamento[Jan])</f>
        <v>2800</v>
      </c>
      <c r="D33" s="114">
        <f>SUBTOTAL(109,RealViagemETreinamento[Fev])</f>
        <v>4600</v>
      </c>
      <c r="E33" s="114">
        <f>SUBTOTAL(109,RealViagemETreinamento[Mar])</f>
        <v>2800</v>
      </c>
      <c r="F33" s="114">
        <f>SUBTOTAL(109,RealViagemETreinamento[Abr])</f>
        <v>2800</v>
      </c>
      <c r="G33" s="114">
        <f>SUBTOTAL(109,RealViagemETreinamento[Mai])</f>
        <v>2000</v>
      </c>
      <c r="H33" s="114">
        <f>SUBTOTAL(109,RealViagemETreinamento[Jun])</f>
        <v>6300</v>
      </c>
      <c r="I33" s="114">
        <f>SUBTOTAL(109,RealViagemETreinamento[Jul])</f>
        <v>0</v>
      </c>
      <c r="J33" s="114">
        <f>SUBTOTAL(109,RealViagemETreinamento[Ago])</f>
        <v>0</v>
      </c>
      <c r="K33" s="114">
        <f>SUBTOTAL(109,RealViagemETreinamento[Set])</f>
        <v>0</v>
      </c>
      <c r="L33" s="114">
        <f>SUBTOTAL(109,RealViagemETreinamento[Out])</f>
        <v>0</v>
      </c>
      <c r="M33" s="114">
        <f>SUBTOTAL(109,RealViagemETreinamento[Nov])</f>
        <v>0</v>
      </c>
      <c r="N33" s="114">
        <f>SUBTOTAL(109,RealViagemETreinamento[Dez])</f>
        <v>0</v>
      </c>
      <c r="O33" s="115">
        <f>SUBTOTAL(109,RealViagemETreinamento[ANO])</f>
        <v>21300</v>
      </c>
    </row>
    <row r="34" spans="1:16" s="147" customFormat="1" ht="21" customHeight="1" x14ac:dyDescent="0.3">
      <c r="A34" s="142"/>
      <c r="B34" s="87"/>
      <c r="C34" s="87"/>
      <c r="D34" s="144"/>
      <c r="E34" s="144"/>
      <c r="F34" s="144"/>
      <c r="G34" s="144"/>
      <c r="H34" s="144"/>
      <c r="I34" s="144"/>
      <c r="J34" s="144"/>
      <c r="K34" s="144"/>
      <c r="L34" s="144"/>
      <c r="M34" s="144"/>
      <c r="N34" s="144"/>
      <c r="O34" s="144"/>
      <c r="P34" s="134"/>
    </row>
    <row r="35" spans="1:16" s="147" customFormat="1" ht="24.95" customHeight="1" thickBot="1" x14ac:dyDescent="0.35">
      <c r="A35" s="142" t="s">
        <v>101</v>
      </c>
      <c r="B35" s="28" t="s">
        <v>40</v>
      </c>
      <c r="C35" s="29" t="s">
        <v>42</v>
      </c>
      <c r="D35" s="29" t="s">
        <v>44</v>
      </c>
      <c r="E35" s="29" t="s">
        <v>46</v>
      </c>
      <c r="F35" s="29" t="s">
        <v>48</v>
      </c>
      <c r="G35" s="29" t="s">
        <v>50</v>
      </c>
      <c r="H35" s="29" t="s">
        <v>52</v>
      </c>
      <c r="I35" s="29" t="s">
        <v>54</v>
      </c>
      <c r="J35" s="29" t="s">
        <v>56</v>
      </c>
      <c r="K35" s="29" t="s">
        <v>60</v>
      </c>
      <c r="L35" s="29" t="s">
        <v>62</v>
      </c>
      <c r="M35" s="29" t="s">
        <v>64</v>
      </c>
      <c r="N35" s="29" t="s">
        <v>67</v>
      </c>
      <c r="O35" s="71" t="s">
        <v>69</v>
      </c>
      <c r="P35" s="134"/>
    </row>
    <row r="36" spans="1:16" ht="24.95" customHeight="1" thickBot="1" x14ac:dyDescent="0.35">
      <c r="A36" s="32"/>
      <c r="B36" s="70" t="s">
        <v>77</v>
      </c>
      <c r="C36" s="122">
        <f>RealViagemETreinamento[[#Totals],[Jan]]+RealMarketing[[#Totals],[Jan]]+RealEscritório[[#Totals],[Jan]]+RealFuncionários[[#Totals],[Jan]]</f>
        <v>129682</v>
      </c>
      <c r="D36" s="123">
        <f>RealViagemETreinamento[[#Totals],[Fev]]+RealMarketing[[#Totals],[Fev]]+RealEscritório[[#Totals],[Fev]]+RealFuncionários[[#Totals],[Fev]]</f>
        <v>127804</v>
      </c>
      <c r="E36" s="123">
        <f>RealViagemETreinamento[[#Totals],[Mar]]+RealMarketing[[#Totals],[Mar]]+RealEscritório[[#Totals],[Mar]]+RealFuncionários[[#Totals],[Mar]]</f>
        <v>125565</v>
      </c>
      <c r="F36" s="123">
        <f>RealViagemETreinamento[[#Totals],[Abr]]+RealMarketing[[#Totals],[Abr]]+RealEscritório[[#Totals],[Abr]]+RealFuncionários[[#Totals],[Abr]]</f>
        <v>137394</v>
      </c>
      <c r="G36" s="123">
        <f>RealViagemETreinamento[[#Totals],[Mai]]+RealMarketing[[#Totals],[Mai]]+RealEscritório[[#Totals],[Mai]]+RealFuncionários[[#Totals],[Mai]]</f>
        <v>128255</v>
      </c>
      <c r="H36" s="123">
        <f>RealViagemETreinamento[[#Totals],[Jun]]+RealMarketing[[#Totals],[Jun]]+RealEscritório[[#Totals],[Jun]]+RealFuncionários[[#Totals],[Jun]]</f>
        <v>134239</v>
      </c>
      <c r="I36" s="123">
        <f>RealViagemETreinamento[[#Totals],[Jul]]+RealMarketing[[#Totals],[Jul]]+RealEscritório[[#Totals],[Jul]]+RealFuncionários[[#Totals],[Jul]]</f>
        <v>0</v>
      </c>
      <c r="J36" s="123">
        <f>RealViagemETreinamento[[#Totals],[Ago]]+RealMarketing[[#Totals],[Ago]]+RealEscritório[[#Totals],[Ago]]+RealFuncionários[[#Totals],[Ago]]</f>
        <v>0</v>
      </c>
      <c r="K36" s="123">
        <f>RealViagemETreinamento[[#Totals],[Set]]+RealMarketing[[#Totals],[Set]]+RealEscritório[[#Totals],[Set]]+RealFuncionários[[#Totals],[Set]]</f>
        <v>0</v>
      </c>
      <c r="L36" s="123">
        <f>RealViagemETreinamento[[#Totals],[Out]]+RealMarketing[[#Totals],[Out]]+RealEscritório[[#Totals],[Out]]+RealFuncionários[[#Totals],[Out]]</f>
        <v>0</v>
      </c>
      <c r="M36" s="123">
        <f>RealViagemETreinamento[[#Totals],[Nov]]+RealMarketing[[#Totals],[Nov]]+RealEscritório[[#Totals],[Nov]]+RealFuncionários[[#Totals],[Nov]]</f>
        <v>0</v>
      </c>
      <c r="N36" s="123">
        <f>RealViagemETreinamento[[#Totals],[Dez]]+RealMarketing[[#Totals],[Dez]]+RealEscritório[[#Totals],[Dez]]+RealFuncionários[[#Totals],[Dez]]</f>
        <v>0</v>
      </c>
      <c r="O36" s="123">
        <f>RealViagemETreinamento[[#Totals],[ANO]]+RealMarketing[[#Totals],[ANO]]+RealEscritório[[#Totals],[ANO]]+RealFuncionários[[#Totals],[ANO]]</f>
        <v>782939</v>
      </c>
      <c r="P36"/>
    </row>
    <row r="37" spans="1:16" ht="24.95" customHeight="1" thickBot="1" x14ac:dyDescent="0.35">
      <c r="A37" s="32"/>
      <c r="B37" s="70" t="s">
        <v>78</v>
      </c>
      <c r="C37" s="124">
        <f>SUM($C$36:C36)</f>
        <v>129682</v>
      </c>
      <c r="D37" s="125">
        <f>SUM($C$36:D36)</f>
        <v>257486</v>
      </c>
      <c r="E37" s="125">
        <f>SUM($C$36:E36)</f>
        <v>383051</v>
      </c>
      <c r="F37" s="125">
        <f>SUM($C$36:F36)</f>
        <v>520445</v>
      </c>
      <c r="G37" s="125">
        <f>SUM($C$36:G36)</f>
        <v>648700</v>
      </c>
      <c r="H37" s="126">
        <f>SUM($C$36:H36)</f>
        <v>782939</v>
      </c>
      <c r="I37" s="125">
        <f>SUM($C$36:I36)</f>
        <v>782939</v>
      </c>
      <c r="J37" s="125">
        <f>SUM($C$36:J36)</f>
        <v>782939</v>
      </c>
      <c r="K37" s="125">
        <f>SUM($C$36:K36)</f>
        <v>782939</v>
      </c>
      <c r="L37" s="125">
        <f>SUM($C$36:L36)</f>
        <v>782939</v>
      </c>
      <c r="M37" s="126">
        <f>SUM($C$36:M36)</f>
        <v>782939</v>
      </c>
      <c r="N37" s="125">
        <f>SUM($C$36:N36)</f>
        <v>782939</v>
      </c>
      <c r="O37" s="126"/>
      <c r="P37"/>
    </row>
    <row r="38" spans="1:16" ht="21" customHeight="1" x14ac:dyDescent="0.3">
      <c r="B38" s="2"/>
      <c r="C38" s="2"/>
      <c r="D38" s="2"/>
      <c r="E38" s="2"/>
      <c r="F38" s="2"/>
      <c r="G38" s="2"/>
      <c r="H38" s="2"/>
      <c r="I38" s="2"/>
      <c r="J38" s="2"/>
      <c r="K38" s="2"/>
      <c r="L38" s="14"/>
      <c r="M38" s="14"/>
      <c r="N38" s="14"/>
      <c r="O38" s="14"/>
    </row>
    <row r="39" spans="1:16" ht="21" customHeight="1" x14ac:dyDescent="0.3">
      <c r="B39" s="2"/>
      <c r="C39" s="2"/>
      <c r="D39" s="2"/>
      <c r="E39" s="2"/>
      <c r="F39" s="2"/>
      <c r="G39" s="2"/>
      <c r="H39" s="2"/>
      <c r="I39" s="2"/>
      <c r="J39" s="2"/>
      <c r="K39" s="2"/>
      <c r="L39" s="2"/>
      <c r="M39" s="2"/>
      <c r="N39" s="2"/>
      <c r="O39" s="2"/>
    </row>
    <row r="40" spans="1:16" ht="21" customHeight="1" x14ac:dyDescent="0.3">
      <c r="B40" s="2"/>
      <c r="C40" s="2"/>
      <c r="D40" s="2"/>
      <c r="E40" s="2"/>
      <c r="F40" s="2"/>
      <c r="G40" s="2"/>
      <c r="H40" s="2"/>
      <c r="I40" s="2"/>
      <c r="J40" s="2"/>
      <c r="K40" s="2"/>
      <c r="L40" s="2"/>
      <c r="M40" s="2"/>
      <c r="N40" s="2"/>
      <c r="O40" s="2"/>
    </row>
    <row r="41" spans="1:16" ht="21" customHeight="1" x14ac:dyDescent="0.3">
      <c r="B41" s="2"/>
      <c r="C41" s="2"/>
      <c r="D41" s="2"/>
      <c r="E41" s="2"/>
      <c r="F41" s="2"/>
      <c r="G41" s="2"/>
      <c r="H41" s="2"/>
      <c r="I41" s="2"/>
      <c r="J41" s="2"/>
      <c r="K41" s="2"/>
      <c r="L41" s="2"/>
      <c r="M41" s="2"/>
      <c r="N41" s="2"/>
      <c r="O41" s="2"/>
    </row>
  </sheetData>
  <mergeCells count="8">
    <mergeCell ref="N2:O3"/>
    <mergeCell ref="B34:C34"/>
    <mergeCell ref="B29:C29"/>
    <mergeCell ref="B20:C20"/>
    <mergeCell ref="B9:C9"/>
    <mergeCell ref="B2:D3"/>
    <mergeCell ref="J2:M2"/>
    <mergeCell ref="J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fitToPage="1"/>
  </sheetPr>
  <dimension ref="A1:P38"/>
  <sheetViews>
    <sheetView showGridLines="0" zoomScaleNormal="100" workbookViewId="0"/>
  </sheetViews>
  <sheetFormatPr defaultColWidth="9.140625" defaultRowHeight="21" customHeight="1" x14ac:dyDescent="0.3"/>
  <cols>
    <col min="1" max="1" width="4.7109375" style="1" customWidth="1"/>
    <col min="2" max="2" width="41.5703125" style="4" bestFit="1" customWidth="1"/>
    <col min="3" max="14" width="16" style="4" customWidth="1"/>
    <col min="15" max="15" width="16.28515625" style="4" customWidth="1"/>
    <col min="16" max="16" width="4.7109375" style="1" customWidth="1"/>
    <col min="17" max="16384" width="9.140625" style="4"/>
  </cols>
  <sheetData>
    <row r="1" spans="1:16" s="134" customFormat="1" ht="24" customHeight="1" x14ac:dyDescent="0.3">
      <c r="A1" s="130" t="s">
        <v>102</v>
      </c>
      <c r="B1" s="131"/>
      <c r="C1" s="131"/>
      <c r="D1" s="131"/>
      <c r="E1" s="131"/>
      <c r="F1" s="132"/>
      <c r="G1" s="132"/>
      <c r="H1" s="132"/>
      <c r="I1" s="132"/>
      <c r="J1" s="132"/>
      <c r="K1" s="132"/>
      <c r="L1" s="132"/>
      <c r="M1" s="132"/>
      <c r="N1" s="132"/>
      <c r="O1" s="132"/>
      <c r="P1" s="133" t="s">
        <v>70</v>
      </c>
    </row>
    <row r="2" spans="1:16" s="134" customFormat="1" ht="45" customHeight="1" x14ac:dyDescent="0.35">
      <c r="A2" s="135" t="s">
        <v>72</v>
      </c>
      <c r="B2" s="89" t="str">
        <f>'DESPESAS PLANEJADAS'!B2:D3</f>
        <v>Nome da empresa</v>
      </c>
      <c r="C2" s="89"/>
      <c r="D2" s="89"/>
      <c r="E2" s="136"/>
      <c r="F2" s="8"/>
      <c r="G2" s="8"/>
      <c r="H2" s="8"/>
      <c r="I2" s="8"/>
      <c r="J2" s="86" t="str">
        <f>título_da_planilha</f>
        <v>Estimativas detalhadas de despesas</v>
      </c>
      <c r="K2" s="86"/>
      <c r="L2" s="86"/>
      <c r="M2" s="86"/>
      <c r="N2" s="85" t="s">
        <v>65</v>
      </c>
      <c r="O2" s="85"/>
      <c r="P2" s="132"/>
    </row>
    <row r="3" spans="1:16" s="134" customFormat="1" ht="30" customHeight="1" x14ac:dyDescent="0.3">
      <c r="A3" s="135" t="s">
        <v>8</v>
      </c>
      <c r="B3" s="89"/>
      <c r="C3" s="89"/>
      <c r="D3" s="89"/>
      <c r="E3" s="137"/>
      <c r="F3" s="9"/>
      <c r="G3" s="9"/>
      <c r="H3" s="9"/>
      <c r="I3" s="9"/>
      <c r="J3" s="91" t="s">
        <v>58</v>
      </c>
      <c r="K3" s="91"/>
      <c r="L3" s="91"/>
      <c r="M3" s="91"/>
      <c r="N3" s="85"/>
      <c r="O3" s="85"/>
      <c r="P3" s="132"/>
    </row>
    <row r="4" spans="1:16" s="139" customFormat="1" ht="49.5" customHeight="1" x14ac:dyDescent="0.3">
      <c r="A4" s="138" t="s">
        <v>79</v>
      </c>
      <c r="B4" s="22" t="s">
        <v>82</v>
      </c>
      <c r="C4" s="23" t="s">
        <v>41</v>
      </c>
      <c r="D4" s="23" t="s">
        <v>43</v>
      </c>
      <c r="E4" s="23" t="s">
        <v>45</v>
      </c>
      <c r="F4" s="23" t="s">
        <v>47</v>
      </c>
      <c r="G4" s="23" t="s">
        <v>49</v>
      </c>
      <c r="H4" s="23" t="s">
        <v>51</v>
      </c>
      <c r="I4" s="23" t="s">
        <v>53</v>
      </c>
      <c r="J4" s="23" t="s">
        <v>55</v>
      </c>
      <c r="K4" s="23" t="s">
        <v>59</v>
      </c>
      <c r="L4" s="23" t="s">
        <v>61</v>
      </c>
      <c r="M4" s="23" t="s">
        <v>63</v>
      </c>
      <c r="N4" s="23" t="s">
        <v>66</v>
      </c>
      <c r="O4" s="23" t="s">
        <v>68</v>
      </c>
    </row>
    <row r="5" spans="1:16" s="146" customFormat="1" ht="24.95" customHeight="1" thickBot="1" x14ac:dyDescent="0.35">
      <c r="A5" s="140" t="s">
        <v>80</v>
      </c>
      <c r="B5" s="56" t="s">
        <v>15</v>
      </c>
      <c r="C5" s="72" t="s">
        <v>42</v>
      </c>
      <c r="D5" s="72" t="s">
        <v>44</v>
      </c>
      <c r="E5" s="72" t="s">
        <v>46</v>
      </c>
      <c r="F5" s="72" t="s">
        <v>48</v>
      </c>
      <c r="G5" s="72" t="s">
        <v>50</v>
      </c>
      <c r="H5" s="72" t="s">
        <v>52</v>
      </c>
      <c r="I5" s="72" t="s">
        <v>54</v>
      </c>
      <c r="J5" s="72" t="s">
        <v>56</v>
      </c>
      <c r="K5" s="72" t="s">
        <v>60</v>
      </c>
      <c r="L5" s="72" t="s">
        <v>62</v>
      </c>
      <c r="M5" s="72" t="s">
        <v>64</v>
      </c>
      <c r="N5" s="72" t="s">
        <v>67</v>
      </c>
      <c r="O5" s="73" t="s">
        <v>68</v>
      </c>
      <c r="P5" s="141"/>
    </row>
    <row r="6" spans="1:16" ht="24.95" customHeight="1" thickBot="1" x14ac:dyDescent="0.35">
      <c r="A6" s="32"/>
      <c r="B6" s="43" t="s">
        <v>16</v>
      </c>
      <c r="C6" s="110">
        <f>INDEX(PlanejamentoDeFuncionários[],MATCH(INDEX(VariaçõesDeFuncionários[],ROW()-ROW(VariaçõesDeFuncionários[[#Headers],[Jan]]),1),INDEX(PlanejamentoDeFuncionários[],,1),0),MATCH(VariaçõesDeFuncionários[[#Headers],[Jan]],PlanejamentoDeFuncionários[#Headers],0))-INDEX(RealFuncionários[],MATCH(INDEX(VariaçõesDeFuncionários[],ROW()-ROW(VariaçõesDeFuncionários[[#Headers],[Jan]]),1),INDEX(PlanejamentoDeFuncionários[],,1),0),MATCH(VariaçõesDeFuncionários[[#Headers],[Jan]],RealFuncionários[#Headers],0))</f>
        <v>0</v>
      </c>
      <c r="D6" s="111">
        <f>INDEX(PlanejamentoDeFuncionários[],MATCH(INDEX(VariaçõesDeFuncionários[],ROW()-ROW(VariaçõesDeFuncionários[[#Headers],[Fev]]),1),INDEX(PlanejamentoDeFuncionários[],,1),0),MATCH(VariaçõesDeFuncionários[[#Headers],[Fev]],PlanejamentoDeFuncionários[#Headers],0))-INDEX(RealFuncionários[],MATCH(INDEX(VariaçõesDeFuncionários[],ROW()-ROW(VariaçõesDeFuncionários[[#Headers],[Fev]]),1),INDEX(PlanejamentoDeFuncionários[],,1),0),MATCH(VariaçõesDeFuncionários[[#Headers],[Fev]],RealFuncionários[#Headers],0))</f>
        <v>0</v>
      </c>
      <c r="E6" s="111">
        <f>INDEX(PlanejamentoDeFuncionários[],MATCH(INDEX(VariaçõesDeFuncionários[],ROW()-ROW(VariaçõesDeFuncionários[[#Headers],[Mar]]),1),INDEX(PlanejamentoDeFuncionários[],,1),0),MATCH(VariaçõesDeFuncionários[[#Headers],[Mar]],PlanejamentoDeFuncionários[#Headers],0))-INDEX(RealFuncionários[],MATCH(INDEX(VariaçõesDeFuncionários[],ROW()-ROW(VariaçõesDeFuncionários[[#Headers],[Mar]]),1),INDEX(PlanejamentoDeFuncionários[],,1),0),MATCH(VariaçõesDeFuncionários[[#Headers],[Mar]],RealFuncionários[#Headers],0))</f>
        <v>0</v>
      </c>
      <c r="F6" s="111">
        <f>INDEX(PlanejamentoDeFuncionários[],MATCH(INDEX(VariaçõesDeFuncionários[],ROW()-ROW(VariaçõesDeFuncionários[[#Headers],[Abr]]),1),INDEX(PlanejamentoDeFuncionários[],,1),0),MATCH(VariaçõesDeFuncionários[[#Headers],[Abr]],PlanejamentoDeFuncionários[#Headers],0))-INDEX(RealFuncionários[],MATCH(INDEX(VariaçõesDeFuncionários[],ROW()-ROW(VariaçõesDeFuncionários[[#Headers],[Abr]]),1),INDEX(PlanejamentoDeFuncionários[],,1),0),MATCH(VariaçõesDeFuncionários[[#Headers],[Abr]],RealFuncionários[#Headers],0))</f>
        <v>-500</v>
      </c>
      <c r="G6" s="111">
        <f>INDEX(PlanejamentoDeFuncionários[],MATCH(INDEX(VariaçõesDeFuncionários[],ROW()-ROW(VariaçõesDeFuncionários[[#Headers],[Mai]]),1),INDEX(PlanejamentoDeFuncionários[],,1),0),MATCH(VariaçõesDeFuncionários[[#Headers],[Mai]],PlanejamentoDeFuncionários[#Headers],0))-INDEX(RealFuncionários[],MATCH(INDEX(VariaçõesDeFuncionários[],ROW()-ROW(VariaçõesDeFuncionários[[#Headers],[Mai]]),1),INDEX(PlanejamentoDeFuncionários[],,1),0),MATCH(VariaçõesDeFuncionários[[#Headers],[Mai]],RealFuncionários[#Headers],0))</f>
        <v>-500</v>
      </c>
      <c r="H6" s="111">
        <f>INDEX(PlanejamentoDeFuncionários[],MATCH(INDEX(VariaçõesDeFuncionários[],ROW()-ROW(VariaçõesDeFuncionários[[#Headers],[Jun]]),1),INDEX(PlanejamentoDeFuncionários[],,1),0),MATCH(VariaçõesDeFuncionários[[#Headers],[Jun]],PlanejamentoDeFuncionários[#Headers],0))-INDEX(RealFuncionários[],MATCH(INDEX(VariaçõesDeFuncionários[],ROW()-ROW(VariaçõesDeFuncionários[[#Headers],[Jun]]),1),INDEX(PlanejamentoDeFuncionários[],,1),0),MATCH(VariaçõesDeFuncionários[[#Headers],[Jun]],RealFuncionários[#Headers],0))</f>
        <v>-500</v>
      </c>
      <c r="I6" s="111">
        <f>INDEX(PlanejamentoDeFuncionários[],MATCH(INDEX(VariaçõesDeFuncionários[],ROW()-ROW(VariaçõesDeFuncionários[[#Headers],[Jul]]),1),INDEX(PlanejamentoDeFuncionários[],,1),0),MATCH(VariaçõesDeFuncionários[[#Headers],[Jul]],PlanejamentoDeFuncionários[#Headers],0))-INDEX(RealFuncionários[],MATCH(INDEX(VariaçõesDeFuncionários[],ROW()-ROW(VariaçõesDeFuncionários[[#Headers],[Jul]]),1),INDEX(PlanejamentoDeFuncionários[],,1),0),MATCH(VariaçõesDeFuncionários[[#Headers],[Jul]],RealFuncionários[#Headers],0))</f>
        <v>87500</v>
      </c>
      <c r="J6" s="111">
        <f>INDEX(PlanejamentoDeFuncionários[],MATCH(INDEX(VariaçõesDeFuncionários[],ROW()-ROW(VariaçõesDeFuncionários[[#Headers],[Ago]]),1),INDEX(PlanejamentoDeFuncionários[],,1),0),MATCH(VariaçõesDeFuncionários[[#Headers],[Ago]],PlanejamentoDeFuncionários[#Headers],0))-INDEX(RealFuncionários[],MATCH(INDEX(VariaçõesDeFuncionários[],ROW()-ROW(VariaçõesDeFuncionários[[#Headers],[Ago]]),1),INDEX(PlanejamentoDeFuncionários[],,1),0),MATCH(VariaçõesDeFuncionários[[#Headers],[Ago]],RealFuncionários[#Headers],0))</f>
        <v>92400</v>
      </c>
      <c r="K6" s="111">
        <f>INDEX(PlanejamentoDeFuncionários[],MATCH(INDEX(VariaçõesDeFuncionários[],ROW()-ROW(VariaçõesDeFuncionários[[#Headers],[Set]]),1),INDEX(PlanejamentoDeFuncionários[],,1),0),MATCH(VariaçõesDeFuncionários[[#Headers],[Set]],PlanejamentoDeFuncionários[#Headers],0))-INDEX(RealFuncionários[],MATCH(INDEX(VariaçõesDeFuncionários[],ROW()-ROW(VariaçõesDeFuncionários[[#Headers],[Set]]),1),INDEX(PlanejamentoDeFuncionários[],,1),0),MATCH(VariaçõesDeFuncionários[[#Headers],[Set]],RealFuncionários[#Headers],0))</f>
        <v>92400</v>
      </c>
      <c r="L6" s="111">
        <f>INDEX(PlanejamentoDeFuncionários[],MATCH(INDEX(VariaçõesDeFuncionários[],ROW()-ROW(VariaçõesDeFuncionários[[#Headers],[Out]]),1),INDEX(PlanejamentoDeFuncionários[],,1),0),MATCH(VariaçõesDeFuncionários[[#Headers],[Out]],PlanejamentoDeFuncionários[#Headers],0))-INDEX(RealFuncionários[],MATCH(INDEX(VariaçõesDeFuncionários[],ROW()-ROW(VariaçõesDeFuncionários[[#Headers],[Out]]),1),INDEX(PlanejamentoDeFuncionários[],,1),0),MATCH(VariaçõesDeFuncionários[[#Headers],[Out]],RealFuncionários[#Headers],0))</f>
        <v>92400</v>
      </c>
      <c r="M6" s="111">
        <f>INDEX(PlanejamentoDeFuncionários[],MATCH(INDEX(VariaçõesDeFuncionários[],ROW()-ROW(VariaçõesDeFuncionários[[#Headers],[Nov]]),1),INDEX(PlanejamentoDeFuncionários[],,1),0),MATCH(VariaçõesDeFuncionários[[#Headers],[Nov]],PlanejamentoDeFuncionários[#Headers],0))-INDEX(RealFuncionários[],MATCH(INDEX(VariaçõesDeFuncionários[],ROW()-ROW(VariaçõesDeFuncionários[[#Headers],[Nov]]),1),INDEX(PlanejamentoDeFuncionários[],,1),0),MATCH(VariaçõesDeFuncionários[[#Headers],[Nov]],RealFuncionários[#Headers],0))</f>
        <v>92400</v>
      </c>
      <c r="N6" s="111">
        <f>INDEX(PlanejamentoDeFuncionários[],MATCH(INDEX(VariaçõesDeFuncionários[],ROW()-ROW(VariaçõesDeFuncionários[[#Headers],[Dez]]),1),INDEX(PlanejamentoDeFuncionários[],,1),0),MATCH(VariaçõesDeFuncionários[[#Headers],[Dez]],PlanejamentoDeFuncionários[#Headers],0))-INDEX(RealFuncionários[],MATCH(INDEX(VariaçõesDeFuncionários[],ROW()-ROW(VariaçõesDeFuncionários[[#Headers],[Dez]]),1),INDEX(PlanejamentoDeFuncionários[],,1),0),MATCH(VariaçõesDeFuncionários[[#Headers],[Dez]],RealFuncionários[#Headers],0))</f>
        <v>92400</v>
      </c>
      <c r="O6" s="112">
        <f>SUM(VariaçõesDeFuncionários[[#This Row],[Jan]:[Dez]])</f>
        <v>548000</v>
      </c>
    </row>
    <row r="7" spans="1:16" ht="24.95" customHeight="1" thickBot="1" x14ac:dyDescent="0.35">
      <c r="A7" s="32"/>
      <c r="B7" s="43" t="s">
        <v>17</v>
      </c>
      <c r="C7" s="110">
        <f>INDEX(PlanejamentoDeFuncionários[],MATCH(INDEX(VariaçõesDeFuncionários[],ROW()-ROW(VariaçõesDeFuncionários[[#Headers],[Jan]]),1),INDEX(PlanejamentoDeFuncionários[],,1),0),MATCH(VariaçõesDeFuncionários[[#Headers],[Jan]],PlanejamentoDeFuncionários[#Headers],0))-INDEX(RealFuncionários[],MATCH(INDEX(VariaçõesDeFuncionários[],ROW()-ROW(VariaçõesDeFuncionários[[#Headers],[Jan]]),1),INDEX(PlanejamentoDeFuncionários[],,1),0),MATCH(VariaçõesDeFuncionários[[#Headers],[Jan]],RealFuncionários[#Headers],0))</f>
        <v>0</v>
      </c>
      <c r="D7" s="111">
        <f>INDEX(PlanejamentoDeFuncionários[],MATCH(INDEX(VariaçõesDeFuncionários[],ROW()-ROW(VariaçõesDeFuncionários[[#Headers],[Fev]]),1),INDEX(PlanejamentoDeFuncionários[],,1),0),MATCH(VariaçõesDeFuncionários[[#Headers],[Fev]],PlanejamentoDeFuncionários[#Headers],0))-INDEX(RealFuncionários[],MATCH(INDEX(VariaçõesDeFuncionários[],ROW()-ROW(VariaçõesDeFuncionários[[#Headers],[Fev]]),1),INDEX(PlanejamentoDeFuncionários[],,1),0),MATCH(VariaçõesDeFuncionários[[#Headers],[Fev]],RealFuncionários[#Headers],0))</f>
        <v>0</v>
      </c>
      <c r="E7" s="111">
        <f>INDEX(PlanejamentoDeFuncionários[],MATCH(INDEX(VariaçõesDeFuncionários[],ROW()-ROW(VariaçõesDeFuncionários[[#Headers],[Mar]]),1),INDEX(PlanejamentoDeFuncionários[],,1),0),MATCH(VariaçõesDeFuncionários[[#Headers],[Mar]],PlanejamentoDeFuncionários[#Headers],0))-INDEX(RealFuncionários[],MATCH(INDEX(VariaçõesDeFuncionários[],ROW()-ROW(VariaçõesDeFuncionários[[#Headers],[Mar]]),1),INDEX(PlanejamentoDeFuncionários[],,1),0),MATCH(VariaçõesDeFuncionários[[#Headers],[Mar]],RealFuncionários[#Headers],0))</f>
        <v>0</v>
      </c>
      <c r="F7" s="111">
        <f>INDEX(PlanejamentoDeFuncionários[],MATCH(INDEX(VariaçõesDeFuncionários[],ROW()-ROW(VariaçõesDeFuncionários[[#Headers],[Abr]]),1),INDEX(PlanejamentoDeFuncionários[],,1),0),MATCH(VariaçõesDeFuncionários[[#Headers],[Abr]],PlanejamentoDeFuncionários[#Headers],0))-INDEX(RealFuncionários[],MATCH(INDEX(VariaçõesDeFuncionários[],ROW()-ROW(VariaçõesDeFuncionários[[#Headers],[Abr]]),1),INDEX(PlanejamentoDeFuncionários[],,1),0),MATCH(VariaçõesDeFuncionários[[#Headers],[Abr]],RealFuncionários[#Headers],0))</f>
        <v>-135</v>
      </c>
      <c r="G7" s="111">
        <f>INDEX(PlanejamentoDeFuncionários[],MATCH(INDEX(VariaçõesDeFuncionários[],ROW()-ROW(VariaçõesDeFuncionários[[#Headers],[Mai]]),1),INDEX(PlanejamentoDeFuncionários[],,1),0),MATCH(VariaçõesDeFuncionários[[#Headers],[Mai]],PlanejamentoDeFuncionários[#Headers],0))-INDEX(RealFuncionários[],MATCH(INDEX(VariaçõesDeFuncionários[],ROW()-ROW(VariaçõesDeFuncionários[[#Headers],[Mai]]),1),INDEX(PlanejamentoDeFuncionários[],,1),0),MATCH(VariaçõesDeFuncionários[[#Headers],[Mai]],RealFuncionários[#Headers],0))</f>
        <v>-135</v>
      </c>
      <c r="H7" s="111">
        <f>INDEX(PlanejamentoDeFuncionários[],MATCH(INDEX(VariaçõesDeFuncionários[],ROW()-ROW(VariaçõesDeFuncionários[[#Headers],[Jun]]),1),INDEX(PlanejamentoDeFuncionários[],,1),0),MATCH(VariaçõesDeFuncionários[[#Headers],[Jun]],PlanejamentoDeFuncionários[#Headers],0))-INDEX(RealFuncionários[],MATCH(INDEX(VariaçõesDeFuncionários[],ROW()-ROW(VariaçõesDeFuncionários[[#Headers],[Jun]]),1),INDEX(PlanejamentoDeFuncionários[],,1),0),MATCH(VariaçõesDeFuncionários[[#Headers],[Jun]],RealFuncionários[#Headers],0))</f>
        <v>-135</v>
      </c>
      <c r="I7" s="111">
        <f>INDEX(PlanejamentoDeFuncionários[],MATCH(INDEX(VariaçõesDeFuncionários[],ROW()-ROW(VariaçõesDeFuncionários[[#Headers],[Jul]]),1),INDEX(PlanejamentoDeFuncionários[],,1),0),MATCH(VariaçõesDeFuncionários[[#Headers],[Jul]],PlanejamentoDeFuncionários[#Headers],0))-INDEX(RealFuncionários[],MATCH(INDEX(VariaçõesDeFuncionários[],ROW()-ROW(VariaçõesDeFuncionários[[#Headers],[Jul]]),1),INDEX(PlanejamentoDeFuncionários[],,1),0),MATCH(VariaçõesDeFuncionários[[#Headers],[Jul]],RealFuncionários[#Headers],0))</f>
        <v>23625</v>
      </c>
      <c r="J7" s="111">
        <f>INDEX(PlanejamentoDeFuncionários[],MATCH(INDEX(VariaçõesDeFuncionários[],ROW()-ROW(VariaçõesDeFuncionários[[#Headers],[Ago]]),1),INDEX(PlanejamentoDeFuncionários[],,1),0),MATCH(VariaçõesDeFuncionários[[#Headers],[Ago]],PlanejamentoDeFuncionários[#Headers],0))-INDEX(RealFuncionários[],MATCH(INDEX(VariaçõesDeFuncionários[],ROW()-ROW(VariaçõesDeFuncionários[[#Headers],[Ago]]),1),INDEX(PlanejamentoDeFuncionários[],,1),0),MATCH(VariaçõesDeFuncionários[[#Headers],[Ago]],RealFuncionários[#Headers],0))</f>
        <v>24948</v>
      </c>
      <c r="K7" s="111">
        <f>INDEX(PlanejamentoDeFuncionários[],MATCH(INDEX(VariaçõesDeFuncionários[],ROW()-ROW(VariaçõesDeFuncionários[[#Headers],[Set]]),1),INDEX(PlanejamentoDeFuncionários[],,1),0),MATCH(VariaçõesDeFuncionários[[#Headers],[Set]],PlanejamentoDeFuncionários[#Headers],0))-INDEX(RealFuncionários[],MATCH(INDEX(VariaçõesDeFuncionários[],ROW()-ROW(VariaçõesDeFuncionários[[#Headers],[Set]]),1),INDEX(PlanejamentoDeFuncionários[],,1),0),MATCH(VariaçõesDeFuncionários[[#Headers],[Set]],RealFuncionários[#Headers],0))</f>
        <v>24948</v>
      </c>
      <c r="L7" s="111">
        <f>INDEX(PlanejamentoDeFuncionários[],MATCH(INDEX(VariaçõesDeFuncionários[],ROW()-ROW(VariaçõesDeFuncionários[[#Headers],[Out]]),1),INDEX(PlanejamentoDeFuncionários[],,1),0),MATCH(VariaçõesDeFuncionários[[#Headers],[Out]],PlanejamentoDeFuncionários[#Headers],0))-INDEX(RealFuncionários[],MATCH(INDEX(VariaçõesDeFuncionários[],ROW()-ROW(VariaçõesDeFuncionários[[#Headers],[Out]]),1),INDEX(PlanejamentoDeFuncionários[],,1),0),MATCH(VariaçõesDeFuncionários[[#Headers],[Out]],RealFuncionários[#Headers],0))</f>
        <v>24948</v>
      </c>
      <c r="M7" s="111">
        <f>INDEX(PlanejamentoDeFuncionários[],MATCH(INDEX(VariaçõesDeFuncionários[],ROW()-ROW(VariaçõesDeFuncionários[[#Headers],[Nov]]),1),INDEX(PlanejamentoDeFuncionários[],,1),0),MATCH(VariaçõesDeFuncionários[[#Headers],[Nov]],PlanejamentoDeFuncionários[#Headers],0))-INDEX(RealFuncionários[],MATCH(INDEX(VariaçõesDeFuncionários[],ROW()-ROW(VariaçõesDeFuncionários[[#Headers],[Nov]]),1),INDEX(PlanejamentoDeFuncionários[],,1),0),MATCH(VariaçõesDeFuncionários[[#Headers],[Nov]],RealFuncionários[#Headers],0))</f>
        <v>24948</v>
      </c>
      <c r="N7" s="111">
        <f>INDEX(PlanejamentoDeFuncionários[],MATCH(INDEX(VariaçõesDeFuncionários[],ROW()-ROW(VariaçõesDeFuncionários[[#Headers],[Dez]]),1),INDEX(PlanejamentoDeFuncionários[],,1),0),MATCH(VariaçõesDeFuncionários[[#Headers],[Dez]],PlanejamentoDeFuncionários[#Headers],0))-INDEX(RealFuncionários[],MATCH(INDEX(VariaçõesDeFuncionários[],ROW()-ROW(VariaçõesDeFuncionários[[#Headers],[Dez]]),1),INDEX(PlanejamentoDeFuncionários[],,1),0),MATCH(VariaçõesDeFuncionários[[#Headers],[Dez]],RealFuncionários[#Headers],0))</f>
        <v>24948</v>
      </c>
      <c r="O7" s="112">
        <f>SUM(VariaçõesDeFuncionários[[#This Row],[Jan]:[Dez]])</f>
        <v>147960</v>
      </c>
    </row>
    <row r="8" spans="1:16" ht="24.95" customHeight="1" x14ac:dyDescent="0.3">
      <c r="A8" s="32"/>
      <c r="B8" s="74" t="s">
        <v>18</v>
      </c>
      <c r="C8" s="119">
        <f>SUBTOTAL(109,VariaçõesDeFuncionários[Jan])</f>
        <v>0</v>
      </c>
      <c r="D8" s="119">
        <f>SUBTOTAL(109,VariaçõesDeFuncionários[Fev])</f>
        <v>0</v>
      </c>
      <c r="E8" s="119">
        <f>SUBTOTAL(109,VariaçõesDeFuncionários[Mar])</f>
        <v>0</v>
      </c>
      <c r="F8" s="119">
        <f>SUBTOTAL(109,VariaçõesDeFuncionários[Abr])</f>
        <v>-635</v>
      </c>
      <c r="G8" s="119">
        <f>SUBTOTAL(109,VariaçõesDeFuncionários[Mai])</f>
        <v>-635</v>
      </c>
      <c r="H8" s="119">
        <f>SUBTOTAL(109,VariaçõesDeFuncionários[Jun])</f>
        <v>-635</v>
      </c>
      <c r="I8" s="119">
        <f>SUBTOTAL(109,VariaçõesDeFuncionários[Jul])</f>
        <v>111125</v>
      </c>
      <c r="J8" s="119">
        <f>SUBTOTAL(109,VariaçõesDeFuncionários[Ago])</f>
        <v>117348</v>
      </c>
      <c r="K8" s="119">
        <f>SUBTOTAL(109,VariaçõesDeFuncionários[Set])</f>
        <v>117348</v>
      </c>
      <c r="L8" s="119">
        <f>SUBTOTAL(109,VariaçõesDeFuncionários[Out])</f>
        <v>117348</v>
      </c>
      <c r="M8" s="119">
        <f>SUBTOTAL(109,VariaçõesDeFuncionários[Nov])</f>
        <v>117348</v>
      </c>
      <c r="N8" s="119">
        <f>SUBTOTAL(109,VariaçõesDeFuncionários[Dez])</f>
        <v>117348</v>
      </c>
      <c r="O8" s="120">
        <f>SUBTOTAL(109,VariaçõesDeFuncionários[ANO])</f>
        <v>695960</v>
      </c>
    </row>
    <row r="9" spans="1:16" s="147" customFormat="1" ht="21" customHeight="1" x14ac:dyDescent="0.3">
      <c r="A9" s="142"/>
      <c r="B9" s="92"/>
      <c r="C9" s="92"/>
      <c r="D9" s="143"/>
      <c r="E9" s="143"/>
      <c r="F9" s="143"/>
      <c r="G9" s="143"/>
      <c r="H9" s="143"/>
      <c r="I9" s="143"/>
      <c r="J9" s="143"/>
      <c r="K9" s="143"/>
      <c r="L9" s="143"/>
      <c r="M9" s="143"/>
      <c r="N9" s="143"/>
      <c r="O9" s="144"/>
      <c r="P9" s="134"/>
    </row>
    <row r="10" spans="1:16" s="147" customFormat="1" ht="24.95" customHeight="1" thickBot="1" x14ac:dyDescent="0.35">
      <c r="A10" s="142" t="s">
        <v>103</v>
      </c>
      <c r="B10" s="46" t="s">
        <v>19</v>
      </c>
      <c r="C10" s="62" t="s">
        <v>42</v>
      </c>
      <c r="D10" s="62" t="s">
        <v>44</v>
      </c>
      <c r="E10" s="62" t="s">
        <v>46</v>
      </c>
      <c r="F10" s="62" t="s">
        <v>48</v>
      </c>
      <c r="G10" s="62" t="s">
        <v>50</v>
      </c>
      <c r="H10" s="62" t="s">
        <v>52</v>
      </c>
      <c r="I10" s="62" t="s">
        <v>54</v>
      </c>
      <c r="J10" s="62" t="s">
        <v>56</v>
      </c>
      <c r="K10" s="62" t="s">
        <v>60</v>
      </c>
      <c r="L10" s="62" t="s">
        <v>62</v>
      </c>
      <c r="M10" s="62" t="s">
        <v>64</v>
      </c>
      <c r="N10" s="62" t="s">
        <v>67</v>
      </c>
      <c r="O10" s="63" t="s">
        <v>68</v>
      </c>
      <c r="P10" s="134"/>
    </row>
    <row r="11" spans="1:16" ht="24.95" customHeight="1" thickBot="1" x14ac:dyDescent="0.35">
      <c r="A11" s="32"/>
      <c r="B11" s="64" t="s">
        <v>20</v>
      </c>
      <c r="C11" s="111">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0</v>
      </c>
      <c r="D11" s="111">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0</v>
      </c>
      <c r="E11" s="111">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0</v>
      </c>
      <c r="F11" s="111">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0</v>
      </c>
      <c r="G11" s="111">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0</v>
      </c>
      <c r="H11" s="111">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0</v>
      </c>
      <c r="I11" s="111">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9800</v>
      </c>
      <c r="J11" s="111">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9800</v>
      </c>
      <c r="K11" s="111">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9800</v>
      </c>
      <c r="L11" s="111">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9800</v>
      </c>
      <c r="M11" s="111">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9800</v>
      </c>
      <c r="N11" s="111">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9800</v>
      </c>
      <c r="O11" s="112">
        <f>SUM(VariaçõesDoEscritório[[#This Row],[Jan]:[Dez]])</f>
        <v>58800</v>
      </c>
    </row>
    <row r="12" spans="1:16" ht="24.95" customHeight="1" thickBot="1" x14ac:dyDescent="0.35">
      <c r="A12" s="32"/>
      <c r="B12" s="64" t="s">
        <v>21</v>
      </c>
      <c r="C12" s="111">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-4</v>
      </c>
      <c r="D12" s="111">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-30</v>
      </c>
      <c r="E12" s="111">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15</v>
      </c>
      <c r="F12" s="111">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-130</v>
      </c>
      <c r="G12" s="111">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13</v>
      </c>
      <c r="H12" s="111">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12</v>
      </c>
      <c r="I12" s="111">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100</v>
      </c>
      <c r="J12" s="111">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100</v>
      </c>
      <c r="K12" s="111">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100</v>
      </c>
      <c r="L12" s="111">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100</v>
      </c>
      <c r="M12" s="111">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400</v>
      </c>
      <c r="N12" s="111">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400</v>
      </c>
      <c r="O12" s="112">
        <f>SUM(VariaçõesDoEscritório[[#This Row],[Jan]:[Dez]])</f>
        <v>1076</v>
      </c>
    </row>
    <row r="13" spans="1:16" ht="24.95" customHeight="1" thickBot="1" x14ac:dyDescent="0.35">
      <c r="A13" s="32"/>
      <c r="B13" s="64" t="s">
        <v>22</v>
      </c>
      <c r="C13" s="111">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12</v>
      </c>
      <c r="D13" s="111">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22</v>
      </c>
      <c r="E13" s="111">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32</v>
      </c>
      <c r="F13" s="111">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1</v>
      </c>
      <c r="G13" s="111">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-6</v>
      </c>
      <c r="H13" s="111">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10</v>
      </c>
      <c r="I13" s="111">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300</v>
      </c>
      <c r="J13" s="111">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300</v>
      </c>
      <c r="K13" s="111">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300</v>
      </c>
      <c r="L13" s="111">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300</v>
      </c>
      <c r="M13" s="111">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300</v>
      </c>
      <c r="N13" s="111">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300</v>
      </c>
      <c r="O13" s="112">
        <f>SUM(VariaçõesDoEscritório[[#This Row],[Jan]:[Dez]])</f>
        <v>1871</v>
      </c>
    </row>
    <row r="14" spans="1:16" ht="24.95" customHeight="1" thickBot="1" x14ac:dyDescent="0.35">
      <c r="A14" s="32"/>
      <c r="B14" s="64" t="s">
        <v>23</v>
      </c>
      <c r="C14" s="111">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5</v>
      </c>
      <c r="D14" s="111">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7</v>
      </c>
      <c r="E14" s="111">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6</v>
      </c>
      <c r="F14" s="111">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4</v>
      </c>
      <c r="G14" s="111">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6</v>
      </c>
      <c r="H14" s="111">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4</v>
      </c>
      <c r="I14" s="111">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40</v>
      </c>
      <c r="J14" s="111">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40</v>
      </c>
      <c r="K14" s="111">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40</v>
      </c>
      <c r="L14" s="111">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40</v>
      </c>
      <c r="M14" s="111">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40</v>
      </c>
      <c r="N14" s="111">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40</v>
      </c>
      <c r="O14" s="112">
        <f>SUM(VariaçõesDoEscritório[[#This Row],[Jan]:[Dez]])</f>
        <v>272</v>
      </c>
    </row>
    <row r="15" spans="1:16" ht="24.95" customHeight="1" thickBot="1" x14ac:dyDescent="0.35">
      <c r="A15" s="32"/>
      <c r="B15" s="64" t="s">
        <v>24</v>
      </c>
      <c r="C15" s="111">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26</v>
      </c>
      <c r="D15" s="111">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15</v>
      </c>
      <c r="E15" s="111">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-15</v>
      </c>
      <c r="F15" s="111">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5</v>
      </c>
      <c r="G15" s="111">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5</v>
      </c>
      <c r="H15" s="111">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30</v>
      </c>
      <c r="I15" s="111">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250</v>
      </c>
      <c r="J15" s="111">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250</v>
      </c>
      <c r="K15" s="111">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250</v>
      </c>
      <c r="L15" s="111">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250</v>
      </c>
      <c r="M15" s="111">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250</v>
      </c>
      <c r="N15" s="111">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250</v>
      </c>
      <c r="O15" s="112">
        <f>SUM(VariaçõesDoEscritório[[#This Row],[Jan]:[Dez]])</f>
        <v>1566</v>
      </c>
    </row>
    <row r="16" spans="1:16" ht="24.95" customHeight="1" thickBot="1" x14ac:dyDescent="0.35">
      <c r="A16" s="32"/>
      <c r="B16" s="64" t="s">
        <v>25</v>
      </c>
      <c r="C16" s="111">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0</v>
      </c>
      <c r="D16" s="111">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0</v>
      </c>
      <c r="E16" s="111">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0</v>
      </c>
      <c r="F16" s="111">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0</v>
      </c>
      <c r="G16" s="111">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0</v>
      </c>
      <c r="H16" s="111">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0</v>
      </c>
      <c r="I16" s="111">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180</v>
      </c>
      <c r="J16" s="111">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180</v>
      </c>
      <c r="K16" s="111">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180</v>
      </c>
      <c r="L16" s="111">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180</v>
      </c>
      <c r="M16" s="111">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180</v>
      </c>
      <c r="N16" s="111">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180</v>
      </c>
      <c r="O16" s="112">
        <f>SUM(VariaçõesDoEscritório[[#This Row],[Jan]:[Dez]])</f>
        <v>1080</v>
      </c>
    </row>
    <row r="17" spans="1:16" ht="24.95" customHeight="1" thickBot="1" x14ac:dyDescent="0.35">
      <c r="A17" s="32"/>
      <c r="B17" s="64" t="s">
        <v>26</v>
      </c>
      <c r="C17" s="111">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-56</v>
      </c>
      <c r="D17" s="111">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58</v>
      </c>
      <c r="E17" s="111">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40</v>
      </c>
      <c r="F17" s="111">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-21</v>
      </c>
      <c r="G17" s="111">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-56</v>
      </c>
      <c r="H17" s="111">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-40</v>
      </c>
      <c r="I17" s="111">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200</v>
      </c>
      <c r="J17" s="111">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200</v>
      </c>
      <c r="K17" s="111">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200</v>
      </c>
      <c r="L17" s="111">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200</v>
      </c>
      <c r="M17" s="111">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200</v>
      </c>
      <c r="N17" s="111">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200</v>
      </c>
      <c r="O17" s="112">
        <f>SUM(VariaçõesDoEscritório[[#This Row],[Jan]:[Dez]])</f>
        <v>1125</v>
      </c>
    </row>
    <row r="18" spans="1:16" ht="24.95" customHeight="1" thickBot="1" x14ac:dyDescent="0.35">
      <c r="A18" s="32"/>
      <c r="B18" s="64" t="s">
        <v>27</v>
      </c>
      <c r="C18" s="111">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0</v>
      </c>
      <c r="D18" s="111">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0</v>
      </c>
      <c r="E18" s="111">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0</v>
      </c>
      <c r="F18" s="111">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0</v>
      </c>
      <c r="G18" s="111">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0</v>
      </c>
      <c r="H18" s="111">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0</v>
      </c>
      <c r="I18" s="111">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600</v>
      </c>
      <c r="J18" s="111">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600</v>
      </c>
      <c r="K18" s="111">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600</v>
      </c>
      <c r="L18" s="111">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600</v>
      </c>
      <c r="M18" s="111">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600</v>
      </c>
      <c r="N18" s="111">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600</v>
      </c>
      <c r="O18" s="112">
        <f>SUM(VariaçõesDoEscritório[[#This Row],[Jan]:[Dez]])</f>
        <v>3600</v>
      </c>
    </row>
    <row r="19" spans="1:16" ht="24.95" customHeight="1" x14ac:dyDescent="0.3">
      <c r="A19" s="32"/>
      <c r="B19" s="76" t="s">
        <v>18</v>
      </c>
      <c r="C19" s="127">
        <f>SUBTOTAL(109,VariaçõesDoEscritório[Jan])</f>
        <v>-17</v>
      </c>
      <c r="D19" s="119">
        <f>SUBTOTAL(109,VariaçõesDoEscritório[Fev])</f>
        <v>72</v>
      </c>
      <c r="E19" s="119">
        <f>SUBTOTAL(109,VariaçõesDoEscritório[Mar])</f>
        <v>78</v>
      </c>
      <c r="F19" s="119">
        <f>SUBTOTAL(109,VariaçõesDoEscritório[Abr])</f>
        <v>-141</v>
      </c>
      <c r="G19" s="119">
        <f>SUBTOTAL(109,VariaçõesDoEscritório[Mai])</f>
        <v>-38</v>
      </c>
      <c r="H19" s="119">
        <f>SUBTOTAL(109,VariaçõesDoEscritório[Jun])</f>
        <v>16</v>
      </c>
      <c r="I19" s="119">
        <f>SUBTOTAL(109,VariaçõesDoEscritório[Jul])</f>
        <v>11470</v>
      </c>
      <c r="J19" s="119">
        <f>SUBTOTAL(109,VariaçõesDoEscritório[Ago])</f>
        <v>11470</v>
      </c>
      <c r="K19" s="119">
        <f>SUBTOTAL(109,VariaçõesDoEscritório[Set])</f>
        <v>11470</v>
      </c>
      <c r="L19" s="119">
        <f>SUBTOTAL(109,VariaçõesDoEscritório[Out])</f>
        <v>11470</v>
      </c>
      <c r="M19" s="119">
        <f>SUBTOTAL(109,VariaçõesDoEscritório[Nov])</f>
        <v>11770</v>
      </c>
      <c r="N19" s="119">
        <f>SUBTOTAL(109,VariaçõesDoEscritório[Dez])</f>
        <v>11770</v>
      </c>
      <c r="O19" s="120">
        <f>SUBTOTAL(109,VariaçõesDoEscritório[ANO])</f>
        <v>69390</v>
      </c>
    </row>
    <row r="20" spans="1:16" s="147" customFormat="1" ht="21" customHeight="1" x14ac:dyDescent="0.3">
      <c r="A20" s="142"/>
      <c r="B20" s="93"/>
      <c r="C20" s="93"/>
      <c r="D20" s="143"/>
      <c r="E20" s="143"/>
      <c r="F20" s="145"/>
      <c r="G20" s="145"/>
      <c r="H20" s="145"/>
      <c r="I20" s="145"/>
      <c r="J20" s="145"/>
      <c r="K20" s="145"/>
      <c r="L20" s="145"/>
      <c r="M20" s="145"/>
      <c r="N20" s="145"/>
      <c r="O20" s="144"/>
      <c r="P20" s="134"/>
    </row>
    <row r="21" spans="1:16" s="147" customFormat="1" ht="24.95" customHeight="1" thickBot="1" x14ac:dyDescent="0.35">
      <c r="A21" s="142" t="s">
        <v>104</v>
      </c>
      <c r="B21" s="54" t="s">
        <v>28</v>
      </c>
      <c r="C21" s="62" t="s">
        <v>42</v>
      </c>
      <c r="D21" s="62" t="s">
        <v>44</v>
      </c>
      <c r="E21" s="62" t="s">
        <v>46</v>
      </c>
      <c r="F21" s="62" t="s">
        <v>48</v>
      </c>
      <c r="G21" s="62" t="s">
        <v>50</v>
      </c>
      <c r="H21" s="62" t="s">
        <v>52</v>
      </c>
      <c r="I21" s="62" t="s">
        <v>54</v>
      </c>
      <c r="J21" s="62" t="s">
        <v>56</v>
      </c>
      <c r="K21" s="62" t="s">
        <v>60</v>
      </c>
      <c r="L21" s="62" t="s">
        <v>62</v>
      </c>
      <c r="M21" s="62" t="s">
        <v>64</v>
      </c>
      <c r="N21" s="62" t="s">
        <v>67</v>
      </c>
      <c r="O21" s="63" t="s">
        <v>68</v>
      </c>
      <c r="P21" s="134"/>
    </row>
    <row r="22" spans="1:16" ht="24.95" customHeight="1" thickBot="1" x14ac:dyDescent="0.35">
      <c r="A22" s="32"/>
      <c r="B22" s="64" t="s">
        <v>29</v>
      </c>
      <c r="C22" s="111">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0</v>
      </c>
      <c r="D22" s="111">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0</v>
      </c>
      <c r="E22" s="111">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0</v>
      </c>
      <c r="F22" s="111">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0</v>
      </c>
      <c r="G22" s="111">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0</v>
      </c>
      <c r="H22" s="111">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0</v>
      </c>
      <c r="I22" s="111">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500</v>
      </c>
      <c r="J22" s="111">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500</v>
      </c>
      <c r="K22" s="111">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500</v>
      </c>
      <c r="L22" s="111">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500</v>
      </c>
      <c r="M22" s="111">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500</v>
      </c>
      <c r="N22" s="111">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500</v>
      </c>
      <c r="O22" s="112">
        <f>SUM(VariaçõesDeMarketing[[#This Row],[Jan]:[Dez]])</f>
        <v>3000</v>
      </c>
    </row>
    <row r="23" spans="1:16" ht="24.95" customHeight="1" thickBot="1" x14ac:dyDescent="0.35">
      <c r="A23" s="32"/>
      <c r="B23" s="64" t="s">
        <v>30</v>
      </c>
      <c r="C23" s="111">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0</v>
      </c>
      <c r="D23" s="111">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0</v>
      </c>
      <c r="E23" s="111">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0</v>
      </c>
      <c r="F23" s="111">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0</v>
      </c>
      <c r="G23" s="111">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0</v>
      </c>
      <c r="H23" s="111">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-500</v>
      </c>
      <c r="I23" s="111">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200</v>
      </c>
      <c r="J23" s="111">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200</v>
      </c>
      <c r="K23" s="111">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200</v>
      </c>
      <c r="L23" s="111">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200</v>
      </c>
      <c r="M23" s="111">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200</v>
      </c>
      <c r="N23" s="111">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1000</v>
      </c>
      <c r="O23" s="112">
        <f>SUM(VariaçõesDeMarketing[[#This Row],[Jan]:[Dez]])</f>
        <v>1500</v>
      </c>
    </row>
    <row r="24" spans="1:16" ht="24.95" customHeight="1" thickBot="1" x14ac:dyDescent="0.35">
      <c r="A24" s="32"/>
      <c r="B24" s="64" t="s">
        <v>31</v>
      </c>
      <c r="C24" s="111">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200</v>
      </c>
      <c r="D24" s="111">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0</v>
      </c>
      <c r="E24" s="111">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0</v>
      </c>
      <c r="F24" s="111">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-500</v>
      </c>
      <c r="G24" s="111">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0</v>
      </c>
      <c r="H24" s="111">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0</v>
      </c>
      <c r="I24" s="111">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5000</v>
      </c>
      <c r="J24" s="111">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0</v>
      </c>
      <c r="K24" s="111">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0</v>
      </c>
      <c r="L24" s="111">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5000</v>
      </c>
      <c r="M24" s="111">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0</v>
      </c>
      <c r="N24" s="111">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0</v>
      </c>
      <c r="O24" s="112">
        <f>SUM(VariaçõesDeMarketing[[#This Row],[Jan]:[Dez]])</f>
        <v>9700</v>
      </c>
    </row>
    <row r="25" spans="1:16" ht="24.95" customHeight="1" thickBot="1" x14ac:dyDescent="0.35">
      <c r="A25" s="32"/>
      <c r="B25" s="64" t="s">
        <v>32</v>
      </c>
      <c r="C25" s="111">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100</v>
      </c>
      <c r="D25" s="111">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-300</v>
      </c>
      <c r="E25" s="111">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100</v>
      </c>
      <c r="F25" s="111">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100</v>
      </c>
      <c r="G25" s="111">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-400</v>
      </c>
      <c r="H25" s="111">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20</v>
      </c>
      <c r="I25" s="111">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200</v>
      </c>
      <c r="J25" s="111">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200</v>
      </c>
      <c r="K25" s="111">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200</v>
      </c>
      <c r="L25" s="111">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200</v>
      </c>
      <c r="M25" s="111">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200</v>
      </c>
      <c r="N25" s="111">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200</v>
      </c>
      <c r="O25" s="112">
        <f>SUM(VariaçõesDeMarketing[[#This Row],[Jan]:[Dez]])</f>
        <v>820</v>
      </c>
    </row>
    <row r="26" spans="1:16" ht="24.95" customHeight="1" thickBot="1" x14ac:dyDescent="0.35">
      <c r="A26" s="32"/>
      <c r="B26" s="64" t="s">
        <v>33</v>
      </c>
      <c r="C26" s="111">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200</v>
      </c>
      <c r="D26" s="111">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-200</v>
      </c>
      <c r="E26" s="111">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-200</v>
      </c>
      <c r="F26" s="111">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300</v>
      </c>
      <c r="G26" s="111">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500</v>
      </c>
      <c r="H26" s="111">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-300</v>
      </c>
      <c r="I26" s="111">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2000</v>
      </c>
      <c r="J26" s="111">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5000</v>
      </c>
      <c r="K26" s="111">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2000</v>
      </c>
      <c r="L26" s="111">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2000</v>
      </c>
      <c r="M26" s="111">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2000</v>
      </c>
      <c r="N26" s="111">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5000</v>
      </c>
      <c r="O26" s="112">
        <f>SUM(VariaçõesDeMarketing[[#This Row],[Jan]:[Dez]])</f>
        <v>18300</v>
      </c>
    </row>
    <row r="27" spans="1:16" ht="24.95" customHeight="1" thickBot="1" x14ac:dyDescent="0.35">
      <c r="A27" s="32"/>
      <c r="B27" s="64" t="s">
        <v>34</v>
      </c>
      <c r="C27" s="111">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55</v>
      </c>
      <c r="D27" s="111">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44</v>
      </c>
      <c r="E27" s="111">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77</v>
      </c>
      <c r="F27" s="111">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-23</v>
      </c>
      <c r="G27" s="111">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13</v>
      </c>
      <c r="H27" s="111">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-45</v>
      </c>
      <c r="I27" s="111">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200</v>
      </c>
      <c r="J27" s="111">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200</v>
      </c>
      <c r="K27" s="111">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200</v>
      </c>
      <c r="L27" s="111">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200</v>
      </c>
      <c r="M27" s="111">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200</v>
      </c>
      <c r="N27" s="111">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200</v>
      </c>
      <c r="O27" s="112">
        <f>SUM(VariaçõesDeMarketing[[#This Row],[Jan]:[Dez]])</f>
        <v>1321</v>
      </c>
    </row>
    <row r="28" spans="1:16" ht="24.95" customHeight="1" x14ac:dyDescent="0.3">
      <c r="A28" s="32"/>
      <c r="B28" s="75" t="s">
        <v>18</v>
      </c>
      <c r="C28" s="119">
        <f>SUBTOTAL(109,VariaçõesDeMarketing[Jan])</f>
        <v>555</v>
      </c>
      <c r="D28" s="119">
        <f>SUBTOTAL(109,VariaçõesDeMarketing[Fev])</f>
        <v>-456</v>
      </c>
      <c r="E28" s="119">
        <f>SUBTOTAL(109,VariaçõesDeMarketing[Mar])</f>
        <v>-23</v>
      </c>
      <c r="F28" s="119">
        <f>SUBTOTAL(109,VariaçõesDeMarketing[Abr])</f>
        <v>-123</v>
      </c>
      <c r="G28" s="119">
        <f>SUBTOTAL(109,VariaçõesDeMarketing[Mai])</f>
        <v>113</v>
      </c>
      <c r="H28" s="119">
        <f>SUBTOTAL(109,VariaçõesDeMarketing[Jun])</f>
        <v>-825</v>
      </c>
      <c r="I28" s="119">
        <f>SUBTOTAL(109,VariaçõesDeMarketing[Jul])</f>
        <v>8100</v>
      </c>
      <c r="J28" s="119">
        <f>SUBTOTAL(109,VariaçõesDeMarketing[Ago])</f>
        <v>6100</v>
      </c>
      <c r="K28" s="119">
        <f>SUBTOTAL(109,VariaçõesDeMarketing[Set])</f>
        <v>3100</v>
      </c>
      <c r="L28" s="119">
        <f>SUBTOTAL(109,VariaçõesDeMarketing[Out])</f>
        <v>8100</v>
      </c>
      <c r="M28" s="119">
        <f>SUBTOTAL(109,VariaçõesDeMarketing[Nov])</f>
        <v>3100</v>
      </c>
      <c r="N28" s="119">
        <f>SUBTOTAL(109,VariaçõesDeMarketing[Dez])</f>
        <v>6900</v>
      </c>
      <c r="O28" s="120">
        <f>SUBTOTAL(109,VariaçõesDeMarketing[ANO])</f>
        <v>34641</v>
      </c>
    </row>
    <row r="29" spans="1:16" s="147" customFormat="1" ht="21" customHeight="1" x14ac:dyDescent="0.3">
      <c r="A29" s="142"/>
      <c r="B29" s="92"/>
      <c r="C29" s="92"/>
      <c r="D29" s="145"/>
      <c r="E29" s="145"/>
      <c r="F29" s="145"/>
      <c r="G29" s="145"/>
      <c r="H29" s="145"/>
      <c r="I29" s="145"/>
      <c r="J29" s="145"/>
      <c r="K29" s="145"/>
      <c r="L29" s="145"/>
      <c r="M29" s="145"/>
      <c r="N29" s="145"/>
      <c r="O29" s="144"/>
      <c r="P29" s="134"/>
    </row>
    <row r="30" spans="1:16" s="147" customFormat="1" ht="24.95" customHeight="1" thickBot="1" x14ac:dyDescent="0.35">
      <c r="A30" s="142" t="s">
        <v>81</v>
      </c>
      <c r="B30" s="55" t="s">
        <v>35</v>
      </c>
      <c r="C30" s="62" t="s">
        <v>42</v>
      </c>
      <c r="D30" s="62" t="s">
        <v>44</v>
      </c>
      <c r="E30" s="62" t="s">
        <v>46</v>
      </c>
      <c r="F30" s="62" t="s">
        <v>48</v>
      </c>
      <c r="G30" s="62" t="s">
        <v>50</v>
      </c>
      <c r="H30" s="62" t="s">
        <v>52</v>
      </c>
      <c r="I30" s="62" t="s">
        <v>54</v>
      </c>
      <c r="J30" s="62" t="s">
        <v>56</v>
      </c>
      <c r="K30" s="62" t="s">
        <v>60</v>
      </c>
      <c r="L30" s="62" t="s">
        <v>62</v>
      </c>
      <c r="M30" s="62" t="s">
        <v>64</v>
      </c>
      <c r="N30" s="62" t="s">
        <v>67</v>
      </c>
      <c r="O30" s="63" t="s">
        <v>68</v>
      </c>
      <c r="P30" s="134"/>
    </row>
    <row r="31" spans="1:16" ht="24.95" customHeight="1" thickBot="1" x14ac:dyDescent="0.35">
      <c r="A31" s="32"/>
      <c r="B31" s="64" t="s">
        <v>36</v>
      </c>
      <c r="C31" s="111">
        <f>INDEX(PlanejamentoViagemETreinamento[],MATCH(INDEX(VariaçõesDeViagensETreinamentos[],ROW()-ROW(VariaçõesDeViagensETreinamentos[[#Headers],[Jan]]),1),INDEX(PlanejamentoViagemETreinamento[],,1),0),MATCH(VariaçõesDeViagensETreinamentos[[#Headers],[Jan]],PlanejamentoViagemETreinamento[#Headers],0))-INDEX(RealViagemETreinamento[],MATCH(INDEX(VariaçõesDeViagensETreinamentos[],ROW()-ROW(VariaçõesDeViagensETreinamentos[[#Headers],[Jan]]),1),INDEX(PlanejamentoViagemETreinamento[],,1),0),MATCH(VariaçõesDeViagensETreinamentos[[#Headers],[Jan]],RealViagemETreinamento[#Headers],0))</f>
        <v>400</v>
      </c>
      <c r="D31" s="111">
        <f>INDEX(PlanejamentoViagemETreinamento[],MATCH(INDEX(VariaçõesDeViagensETreinamentos[],ROW()-ROW(VariaçõesDeViagensETreinamentos[[#Headers],[Fev]]),1),INDEX(PlanejamentoViagemETreinamento[],,1),0),MATCH(VariaçõesDeViagensETreinamentos[[#Headers],[Fev]],PlanejamentoViagemETreinamento[#Headers],0))-INDEX(RealViagemETreinamento[],MATCH(INDEX(VariaçõesDeViagensETreinamentos[],ROW()-ROW(VariaçõesDeViagensETreinamentos[[#Headers],[Fev]]),1),INDEX(PlanejamentoViagemETreinamento[],,1),0),MATCH(VariaçõesDeViagensETreinamentos[[#Headers],[Fev]],RealViagemETreinamento[#Headers],0))</f>
        <v>-400</v>
      </c>
      <c r="E31" s="111">
        <f>INDEX(PlanejamentoViagemETreinamento[],MATCH(INDEX(VariaçõesDeViagensETreinamentos[],ROW()-ROW(VariaçõesDeViagensETreinamentos[[#Headers],[Mar]]),1),INDEX(PlanejamentoViagemETreinamento[],,1),0),MATCH(VariaçõesDeViagensETreinamentos[[#Headers],[Mar]],PlanejamentoViagemETreinamento[#Headers],0))-INDEX(RealViagemETreinamento[],MATCH(INDEX(VariaçõesDeViagensETreinamentos[],ROW()-ROW(VariaçõesDeViagensETreinamentos[[#Headers],[Mar]]),1),INDEX(PlanejamentoViagemETreinamento[],,1),0),MATCH(VariaçõesDeViagensETreinamentos[[#Headers],[Mar]],RealViagemETreinamento[#Headers],0))</f>
        <v>600</v>
      </c>
      <c r="F31" s="111">
        <f>INDEX(PlanejamentoViagemETreinamento[],MATCH(INDEX(VariaçõesDeViagensETreinamentos[],ROW()-ROW(VariaçõesDeViagensETreinamentos[[#Headers],[Abr]]),1),INDEX(PlanejamentoViagemETreinamento[],,1),0),MATCH(VariaçõesDeViagensETreinamentos[[#Headers],[Abr]],PlanejamentoViagemETreinamento[#Headers],0))-INDEX(RealViagemETreinamento[],MATCH(INDEX(VariaçõesDeViagensETreinamentos[],ROW()-ROW(VariaçõesDeViagensETreinamentos[[#Headers],[Abr]]),1),INDEX(PlanejamentoViagemETreinamento[],,1),0),MATCH(VariaçõesDeViagensETreinamentos[[#Headers],[Abr]],RealViagemETreinamento[#Headers],0))</f>
        <v>400</v>
      </c>
      <c r="G31" s="111">
        <f>INDEX(PlanejamentoViagemETreinamento[],MATCH(INDEX(VariaçõesDeViagensETreinamentos[],ROW()-ROW(VariaçõesDeViagensETreinamentos[[#Headers],[Mai]]),1),INDEX(PlanejamentoViagemETreinamento[],,1),0),MATCH(VariaçõesDeViagensETreinamentos[[#Headers],[Mai]],PlanejamentoViagemETreinamento[#Headers],0))-INDEX(RealViagemETreinamento[],MATCH(INDEX(VariaçõesDeViagensETreinamentos[],ROW()-ROW(VariaçõesDeViagensETreinamentos[[#Headers],[Mai]]),1),INDEX(PlanejamentoViagemETreinamento[],,1),0),MATCH(VariaçõesDeViagensETreinamentos[[#Headers],[Mai]],RealViagemETreinamento[#Headers],0))</f>
        <v>800</v>
      </c>
      <c r="H31" s="111">
        <f>INDEX(PlanejamentoViagemETreinamento[],MATCH(INDEX(VariaçõesDeViagensETreinamentos[],ROW()-ROW(VariaçõesDeViagensETreinamentos[[#Headers],[Jun]]),1),INDEX(PlanejamentoViagemETreinamento[],,1),0),MATCH(VariaçõesDeViagensETreinamentos[[#Headers],[Jun]],PlanejamentoViagemETreinamento[#Headers],0))-INDEX(RealViagemETreinamento[],MATCH(INDEX(VariaçõesDeViagensETreinamentos[],ROW()-ROW(VariaçõesDeViagensETreinamentos[[#Headers],[Jun]]),1),INDEX(PlanejamentoViagemETreinamento[],,1),0),MATCH(VariaçõesDeViagensETreinamentos[[#Headers],[Jun]],RealViagemETreinamento[#Headers],0))</f>
        <v>-800</v>
      </c>
      <c r="I31" s="111">
        <f>INDEX(PlanejamentoViagemETreinamento[],MATCH(INDEX(VariaçõesDeViagensETreinamentos[],ROW()-ROW(VariaçõesDeViagensETreinamentos[[#Headers],[Jul]]),1),INDEX(PlanejamentoViagemETreinamento[],,1),0),MATCH(VariaçõesDeViagensETreinamentos[[#Headers],[Jul]],PlanejamentoViagemETreinamento[#Headers],0))-INDEX(RealViagemETreinamento[],MATCH(INDEX(VariaçõesDeViagensETreinamentos[],ROW()-ROW(VariaçõesDeViagensETreinamentos[[#Headers],[Jul]]),1),INDEX(PlanejamentoViagemETreinamento[],,1),0),MATCH(VariaçõesDeViagensETreinamentos[[#Headers],[Jul]],RealViagemETreinamento[#Headers],0))</f>
        <v>2000</v>
      </c>
      <c r="J31" s="111">
        <f>INDEX(PlanejamentoViagemETreinamento[],MATCH(INDEX(VariaçõesDeViagensETreinamentos[],ROW()-ROW(VariaçõesDeViagensETreinamentos[[#Headers],[Ago]]),1),INDEX(PlanejamentoViagemETreinamento[],,1),0),MATCH(VariaçõesDeViagensETreinamentos[[#Headers],[Ago]],PlanejamentoViagemETreinamento[#Headers],0))-INDEX(RealViagemETreinamento[],MATCH(INDEX(VariaçõesDeViagensETreinamentos[],ROW()-ROW(VariaçõesDeViagensETreinamentos[[#Headers],[Ago]]),1),INDEX(PlanejamentoViagemETreinamento[],,1),0),MATCH(VariaçõesDeViagensETreinamentos[[#Headers],[Ago]],RealViagemETreinamento[#Headers],0))</f>
        <v>2000</v>
      </c>
      <c r="K31" s="111">
        <f>INDEX(PlanejamentoViagemETreinamento[],MATCH(INDEX(VariaçõesDeViagensETreinamentos[],ROW()-ROW(VariaçõesDeViagensETreinamentos[[#Headers],[Set]]),1),INDEX(PlanejamentoViagemETreinamento[],,1),0),MATCH(VariaçõesDeViagensETreinamentos[[#Headers],[Set]],PlanejamentoViagemETreinamento[#Headers],0))-INDEX(RealViagemETreinamento[],MATCH(INDEX(VariaçõesDeViagensETreinamentos[],ROW()-ROW(VariaçõesDeViagensETreinamentos[[#Headers],[Set]]),1),INDEX(PlanejamentoViagemETreinamento[],,1),0),MATCH(VariaçõesDeViagensETreinamentos[[#Headers],[Set]],RealViagemETreinamento[#Headers],0))</f>
        <v>2000</v>
      </c>
      <c r="L31" s="111">
        <f>INDEX(PlanejamentoViagemETreinamento[],MATCH(INDEX(VariaçõesDeViagensETreinamentos[],ROW()-ROW(VariaçõesDeViagensETreinamentos[[#Headers],[Out]]),1),INDEX(PlanejamentoViagemETreinamento[],,1),0),MATCH(VariaçõesDeViagensETreinamentos[[#Headers],[Out]],PlanejamentoViagemETreinamento[#Headers],0))-INDEX(RealViagemETreinamento[],MATCH(INDEX(VariaçõesDeViagensETreinamentos[],ROW()-ROW(VariaçõesDeViagensETreinamentos[[#Headers],[Out]]),1),INDEX(PlanejamentoViagemETreinamento[],,1),0),MATCH(VariaçõesDeViagensETreinamentos[[#Headers],[Out]],RealViagemETreinamento[#Headers],0))</f>
        <v>2000</v>
      </c>
      <c r="M31" s="111">
        <f>INDEX(PlanejamentoViagemETreinamento[],MATCH(INDEX(VariaçõesDeViagensETreinamentos[],ROW()-ROW(VariaçõesDeViagensETreinamentos[[#Headers],[Nov]]),1),INDEX(PlanejamentoViagemETreinamento[],,1),0),MATCH(VariaçõesDeViagensETreinamentos[[#Headers],[Nov]],PlanejamentoViagemETreinamento[#Headers],0))-INDEX(RealViagemETreinamento[],MATCH(INDEX(VariaçõesDeViagensETreinamentos[],ROW()-ROW(VariaçõesDeViagensETreinamentos[[#Headers],[Nov]]),1),INDEX(PlanejamentoViagemETreinamento[],,1),0),MATCH(VariaçõesDeViagensETreinamentos[[#Headers],[Nov]],RealViagemETreinamento[#Headers],0))</f>
        <v>2000</v>
      </c>
      <c r="N31" s="111">
        <f>INDEX(PlanejamentoViagemETreinamento[],MATCH(INDEX(VariaçõesDeViagensETreinamentos[],ROW()-ROW(VariaçõesDeViagensETreinamentos[[#Headers],[Dez]]),1),INDEX(PlanejamentoViagemETreinamento[],,1),0),MATCH(VariaçõesDeViagensETreinamentos[[#Headers],[Dez]],PlanejamentoViagemETreinamento[#Headers],0))-INDEX(RealViagemETreinamento[],MATCH(INDEX(VariaçõesDeViagensETreinamentos[],ROW()-ROW(VariaçõesDeViagensETreinamentos[[#Headers],[Dez]]),1),INDEX(PlanejamentoViagemETreinamento[],,1),0),MATCH(VariaçõesDeViagensETreinamentos[[#Headers],[Dez]],RealViagemETreinamento[#Headers],0))</f>
        <v>2000</v>
      </c>
      <c r="O31" s="112">
        <f>SUM(VariaçõesDeViagensETreinamentos[[#This Row],[Jan]:[Dez]])</f>
        <v>13000</v>
      </c>
    </row>
    <row r="32" spans="1:16" ht="24.95" customHeight="1" thickBot="1" x14ac:dyDescent="0.35">
      <c r="A32" s="32"/>
      <c r="B32" s="64" t="s">
        <v>37</v>
      </c>
      <c r="C32" s="111">
        <f>INDEX(PlanejamentoViagemETreinamento[],MATCH(INDEX(VariaçõesDeViagensETreinamentos[],ROW()-ROW(VariaçõesDeViagensETreinamentos[[#Headers],[Jan]]),1),INDEX(PlanejamentoViagemETreinamento[],,1),0),MATCH(VariaçõesDeViagensETreinamentos[[#Headers],[Jan]],PlanejamentoViagemETreinamento[#Headers],0))-INDEX(RealViagemETreinamento[],MATCH(INDEX(VariaçõesDeViagensETreinamentos[],ROW()-ROW(VariaçõesDeViagensETreinamentos[[#Headers],[Jan]]),1),INDEX(PlanejamentoViagemETreinamento[],,1),0),MATCH(VariaçõesDeViagensETreinamentos[[#Headers],[Jan]],RealViagemETreinamento[#Headers],0))</f>
        <v>800</v>
      </c>
      <c r="D32" s="111">
        <f>INDEX(PlanejamentoViagemETreinamento[],MATCH(INDEX(VariaçõesDeViagensETreinamentos[],ROW()-ROW(VariaçõesDeViagensETreinamentos[[#Headers],[Fev]]),1),INDEX(PlanejamentoViagemETreinamento[],,1),0),MATCH(VariaçõesDeViagensETreinamentos[[#Headers],[Fev]],PlanejamentoViagemETreinamento[#Headers],0))-INDEX(RealViagemETreinamento[],MATCH(INDEX(VariaçõesDeViagensETreinamentos[],ROW()-ROW(VariaçõesDeViagensETreinamentos[[#Headers],[Fev]]),1),INDEX(PlanejamentoViagemETreinamento[],,1),0),MATCH(VariaçõesDeViagensETreinamentos[[#Headers],[Fev]],RealViagemETreinamento[#Headers],0))</f>
        <v>-200</v>
      </c>
      <c r="E32" s="111">
        <f>INDEX(PlanejamentoViagemETreinamento[],MATCH(INDEX(VariaçõesDeViagensETreinamentos[],ROW()-ROW(VariaçõesDeViagensETreinamentos[[#Headers],[Mar]]),1),INDEX(PlanejamentoViagemETreinamento[],,1),0),MATCH(VariaçõesDeViagensETreinamentos[[#Headers],[Mar]],PlanejamentoViagemETreinamento[#Headers],0))-INDEX(RealViagemETreinamento[],MATCH(INDEX(VariaçõesDeViagensETreinamentos[],ROW()-ROW(VariaçõesDeViagensETreinamentos[[#Headers],[Mar]]),1),INDEX(PlanejamentoViagemETreinamento[],,1),0),MATCH(VariaçõesDeViagensETreinamentos[[#Headers],[Mar]],RealViagemETreinamento[#Headers],0))</f>
        <v>600</v>
      </c>
      <c r="F32" s="111">
        <f>INDEX(PlanejamentoViagemETreinamento[],MATCH(INDEX(VariaçõesDeViagensETreinamentos[],ROW()-ROW(VariaçõesDeViagensETreinamentos[[#Headers],[Abr]]),1),INDEX(PlanejamentoViagemETreinamento[],,1),0),MATCH(VariaçõesDeViagensETreinamentos[[#Headers],[Abr]],PlanejamentoViagemETreinamento[#Headers],0))-INDEX(RealViagemETreinamento[],MATCH(INDEX(VariaçõesDeViagensETreinamentos[],ROW()-ROW(VariaçõesDeViagensETreinamentos[[#Headers],[Abr]]),1),INDEX(PlanejamentoViagemETreinamento[],,1),0),MATCH(VariaçõesDeViagensETreinamentos[[#Headers],[Abr]],RealViagemETreinamento[#Headers],0))</f>
        <v>800</v>
      </c>
      <c r="G32" s="111">
        <f>INDEX(PlanejamentoViagemETreinamento[],MATCH(INDEX(VariaçõesDeViagensETreinamentos[],ROW()-ROW(VariaçõesDeViagensETreinamentos[[#Headers],[Mai]]),1),INDEX(PlanejamentoViagemETreinamento[],,1),0),MATCH(VariaçõesDeViagensETreinamentos[[#Headers],[Mai]],PlanejamentoViagemETreinamento[#Headers],0))-INDEX(RealViagemETreinamento[],MATCH(INDEX(VariaçõesDeViagensETreinamentos[],ROW()-ROW(VariaçõesDeViagensETreinamentos[[#Headers],[Mai]]),1),INDEX(PlanejamentoViagemETreinamento[],,1),0),MATCH(VariaçõesDeViagensETreinamentos[[#Headers],[Mai]],RealViagemETreinamento[#Headers],0))</f>
        <v>1200</v>
      </c>
      <c r="H32" s="111">
        <f>INDEX(PlanejamentoViagemETreinamento[],MATCH(INDEX(VariaçõesDeViagensETreinamentos[],ROW()-ROW(VariaçõesDeViagensETreinamentos[[#Headers],[Jun]]),1),INDEX(PlanejamentoViagemETreinamento[],,1),0),MATCH(VariaçõesDeViagensETreinamentos[[#Headers],[Jun]],PlanejamentoViagemETreinamento[#Headers],0))-INDEX(RealViagemETreinamento[],MATCH(INDEX(VariaçõesDeViagensETreinamentos[],ROW()-ROW(VariaçõesDeViagensETreinamentos[[#Headers],[Jun]]),1),INDEX(PlanejamentoViagemETreinamento[],,1),0),MATCH(VariaçõesDeViagensETreinamentos[[#Headers],[Jun]],RealViagemETreinamento[#Headers],0))</f>
        <v>-1500</v>
      </c>
      <c r="I32" s="111">
        <f>INDEX(PlanejamentoViagemETreinamento[],MATCH(INDEX(VariaçõesDeViagensETreinamentos[],ROW()-ROW(VariaçõesDeViagensETreinamentos[[#Headers],[Jul]]),1),INDEX(PlanejamentoViagemETreinamento[],,1),0),MATCH(VariaçõesDeViagensETreinamentos[[#Headers],[Jul]],PlanejamentoViagemETreinamento[#Headers],0))-INDEX(RealViagemETreinamento[],MATCH(INDEX(VariaçõesDeViagensETreinamentos[],ROW()-ROW(VariaçõesDeViagensETreinamentos[[#Headers],[Jul]]),1),INDEX(PlanejamentoViagemETreinamento[],,1),0),MATCH(VariaçõesDeViagensETreinamentos[[#Headers],[Jul]],RealViagemETreinamento[#Headers],0))</f>
        <v>2000</v>
      </c>
      <c r="J32" s="111">
        <f>INDEX(PlanejamentoViagemETreinamento[],MATCH(INDEX(VariaçõesDeViagensETreinamentos[],ROW()-ROW(VariaçõesDeViagensETreinamentos[[#Headers],[Ago]]),1),INDEX(PlanejamentoViagemETreinamento[],,1),0),MATCH(VariaçõesDeViagensETreinamentos[[#Headers],[Ago]],PlanejamentoViagemETreinamento[#Headers],0))-INDEX(RealViagemETreinamento[],MATCH(INDEX(VariaçõesDeViagensETreinamentos[],ROW()-ROW(VariaçõesDeViagensETreinamentos[[#Headers],[Ago]]),1),INDEX(PlanejamentoViagemETreinamento[],,1),0),MATCH(VariaçõesDeViagensETreinamentos[[#Headers],[Ago]],RealViagemETreinamento[#Headers],0))</f>
        <v>2000</v>
      </c>
      <c r="K32" s="111">
        <f>INDEX(PlanejamentoViagemETreinamento[],MATCH(INDEX(VariaçõesDeViagensETreinamentos[],ROW()-ROW(VariaçõesDeViagensETreinamentos[[#Headers],[Set]]),1),INDEX(PlanejamentoViagemETreinamento[],,1),0),MATCH(VariaçõesDeViagensETreinamentos[[#Headers],[Set]],PlanejamentoViagemETreinamento[#Headers],0))-INDEX(RealViagemETreinamento[],MATCH(INDEX(VariaçõesDeViagensETreinamentos[],ROW()-ROW(VariaçõesDeViagensETreinamentos[[#Headers],[Set]]),1),INDEX(PlanejamentoViagemETreinamento[],,1),0),MATCH(VariaçõesDeViagensETreinamentos[[#Headers],[Set]],RealViagemETreinamento[#Headers],0))</f>
        <v>2000</v>
      </c>
      <c r="L32" s="111">
        <f>INDEX(PlanejamentoViagemETreinamento[],MATCH(INDEX(VariaçõesDeViagensETreinamentos[],ROW()-ROW(VariaçõesDeViagensETreinamentos[[#Headers],[Out]]),1),INDEX(PlanejamentoViagemETreinamento[],,1),0),MATCH(VariaçõesDeViagensETreinamentos[[#Headers],[Out]],PlanejamentoViagemETreinamento[#Headers],0))-INDEX(RealViagemETreinamento[],MATCH(INDEX(VariaçõesDeViagensETreinamentos[],ROW()-ROW(VariaçõesDeViagensETreinamentos[[#Headers],[Out]]),1),INDEX(PlanejamentoViagemETreinamento[],,1),0),MATCH(VariaçõesDeViagensETreinamentos[[#Headers],[Out]],RealViagemETreinamento[#Headers],0))</f>
        <v>2000</v>
      </c>
      <c r="M32" s="111">
        <f>INDEX(PlanejamentoViagemETreinamento[],MATCH(INDEX(VariaçõesDeViagensETreinamentos[],ROW()-ROW(VariaçõesDeViagensETreinamentos[[#Headers],[Nov]]),1),INDEX(PlanejamentoViagemETreinamento[],,1),0),MATCH(VariaçõesDeViagensETreinamentos[[#Headers],[Nov]],PlanejamentoViagemETreinamento[#Headers],0))-INDEX(RealViagemETreinamento[],MATCH(INDEX(VariaçõesDeViagensETreinamentos[],ROW()-ROW(VariaçõesDeViagensETreinamentos[[#Headers],[Nov]]),1),INDEX(PlanejamentoViagemETreinamento[],,1),0),MATCH(VariaçõesDeViagensETreinamentos[[#Headers],[Nov]],RealViagemETreinamento[#Headers],0))</f>
        <v>2000</v>
      </c>
      <c r="N32" s="111">
        <f>INDEX(PlanejamentoViagemETreinamento[],MATCH(INDEX(VariaçõesDeViagensETreinamentos[],ROW()-ROW(VariaçõesDeViagensETreinamentos[[#Headers],[Dez]]),1),INDEX(PlanejamentoViagemETreinamento[],,1),0),MATCH(VariaçõesDeViagensETreinamentos[[#Headers],[Dez]],PlanejamentoViagemETreinamento[#Headers],0))-INDEX(RealViagemETreinamento[],MATCH(INDEX(VariaçõesDeViagensETreinamentos[],ROW()-ROW(VariaçõesDeViagensETreinamentos[[#Headers],[Dez]]),1),INDEX(PlanejamentoViagemETreinamento[],,1),0),MATCH(VariaçõesDeViagensETreinamentos[[#Headers],[Dez]],RealViagemETreinamento[#Headers],0))</f>
        <v>2000</v>
      </c>
      <c r="O32" s="112">
        <f>SUM(VariaçõesDeViagensETreinamentos[[#This Row],[Jan]:[Dez]])</f>
        <v>13700</v>
      </c>
    </row>
    <row r="33" spans="1:16" ht="24.95" customHeight="1" x14ac:dyDescent="0.3">
      <c r="A33" s="32"/>
      <c r="B33" s="77" t="s">
        <v>18</v>
      </c>
      <c r="C33" s="119">
        <f>SUBTOTAL(109,VariaçõesDeViagensETreinamentos[Jan])</f>
        <v>1200</v>
      </c>
      <c r="D33" s="119">
        <f>SUBTOTAL(109,VariaçõesDeViagensETreinamentos[Fev])</f>
        <v>-600</v>
      </c>
      <c r="E33" s="119">
        <f>SUBTOTAL(109,VariaçõesDeViagensETreinamentos[Mar])</f>
        <v>1200</v>
      </c>
      <c r="F33" s="119">
        <f>SUBTOTAL(109,VariaçõesDeViagensETreinamentos[Abr])</f>
        <v>1200</v>
      </c>
      <c r="G33" s="119">
        <f>SUBTOTAL(109,VariaçõesDeViagensETreinamentos[Mai])</f>
        <v>2000</v>
      </c>
      <c r="H33" s="119">
        <f>SUBTOTAL(109,VariaçõesDeViagensETreinamentos[Jun])</f>
        <v>-2300</v>
      </c>
      <c r="I33" s="119">
        <f>SUBTOTAL(109,VariaçõesDeViagensETreinamentos[Jul])</f>
        <v>4000</v>
      </c>
      <c r="J33" s="119">
        <f>SUBTOTAL(109,VariaçõesDeViagensETreinamentos[Ago])</f>
        <v>4000</v>
      </c>
      <c r="K33" s="119">
        <f>SUBTOTAL(109,VariaçõesDeViagensETreinamentos[Set])</f>
        <v>4000</v>
      </c>
      <c r="L33" s="119">
        <f>SUBTOTAL(109,VariaçõesDeViagensETreinamentos[Out])</f>
        <v>4000</v>
      </c>
      <c r="M33" s="119">
        <f>SUBTOTAL(109,VariaçõesDeViagensETreinamentos[Nov])</f>
        <v>4000</v>
      </c>
      <c r="N33" s="119">
        <f>SUBTOTAL(109,VariaçõesDeViagensETreinamentos[Dez])</f>
        <v>4000</v>
      </c>
      <c r="O33" s="120">
        <f>SUBTOTAL(109,VariaçõesDeViagensETreinamentos[ANO])</f>
        <v>26700</v>
      </c>
    </row>
    <row r="34" spans="1:16" s="147" customFormat="1" ht="21" customHeight="1" x14ac:dyDescent="0.3">
      <c r="A34" s="142"/>
      <c r="B34" s="92"/>
      <c r="C34" s="92"/>
      <c r="D34" s="144"/>
      <c r="E34" s="144"/>
      <c r="F34" s="144"/>
      <c r="G34" s="144"/>
      <c r="H34" s="144"/>
      <c r="I34" s="144"/>
      <c r="J34" s="144"/>
      <c r="K34" s="144"/>
      <c r="L34" s="144"/>
      <c r="M34" s="144"/>
      <c r="N34" s="144"/>
      <c r="O34" s="144"/>
      <c r="P34" s="134"/>
    </row>
    <row r="35" spans="1:16" s="147" customFormat="1" ht="24.95" customHeight="1" thickBot="1" x14ac:dyDescent="0.35">
      <c r="A35" s="148" t="s">
        <v>105</v>
      </c>
      <c r="B35" s="12" t="s">
        <v>38</v>
      </c>
      <c r="C35" s="29" t="s">
        <v>42</v>
      </c>
      <c r="D35" s="29" t="s">
        <v>44</v>
      </c>
      <c r="E35" s="29" t="s">
        <v>46</v>
      </c>
      <c r="F35" s="29" t="s">
        <v>48</v>
      </c>
      <c r="G35" s="29" t="s">
        <v>50</v>
      </c>
      <c r="H35" s="29" t="s">
        <v>52</v>
      </c>
      <c r="I35" s="29" t="s">
        <v>54</v>
      </c>
      <c r="J35" s="29" t="s">
        <v>56</v>
      </c>
      <c r="K35" s="29" t="s">
        <v>60</v>
      </c>
      <c r="L35" s="29" t="s">
        <v>62</v>
      </c>
      <c r="M35" s="29" t="s">
        <v>64</v>
      </c>
      <c r="N35" s="29" t="s">
        <v>67</v>
      </c>
      <c r="O35" s="29" t="s">
        <v>69</v>
      </c>
      <c r="P35" s="134"/>
    </row>
    <row r="36" spans="1:16" ht="24.95" customHeight="1" thickBot="1" x14ac:dyDescent="0.35">
      <c r="A36" s="32"/>
      <c r="B36" s="13" t="s">
        <v>77</v>
      </c>
      <c r="C36" s="128">
        <f>VariaçõesDeViagensETreinamentos[[#Totals],[Jan]]+VariaçõesDeMarketing[[#Totals],[Jan]]+VariaçõesDoEscritório[[#Totals],[Jan]]+VariaçõesDeFuncionários[[#Totals],[Jan]]</f>
        <v>1738</v>
      </c>
      <c r="D36" s="128">
        <f>VariaçõesDeViagensETreinamentos[[#Totals],[Fev]]+VariaçõesDeMarketing[[#Totals],[Fev]]+VariaçõesDoEscritório[[#Totals],[Fev]]+VariaçõesDeFuncionários[[#Totals],[Fev]]</f>
        <v>-984</v>
      </c>
      <c r="E36" s="128">
        <f>VariaçõesDeViagensETreinamentos[[#Totals],[Mar]]+VariaçõesDeMarketing[[#Totals],[Mar]]+VariaçõesDoEscritório[[#Totals],[Mar]]+VariaçõesDeFuncionários[[#Totals],[Mar]]</f>
        <v>1255</v>
      </c>
      <c r="F36" s="128">
        <f>VariaçõesDeViagensETreinamentos[[#Totals],[Abr]]+VariaçõesDeMarketing[[#Totals],[Abr]]+VariaçõesDoEscritório[[#Totals],[Abr]]+VariaçõesDeFuncionários[[#Totals],[Abr]]</f>
        <v>301</v>
      </c>
      <c r="G36" s="128">
        <f>VariaçõesDeViagensETreinamentos[[#Totals],[Mai]]+VariaçõesDeMarketing[[#Totals],[Mai]]+VariaçõesDoEscritório[[#Totals],[Mai]]+VariaçõesDeFuncionários[[#Totals],[Mai]]</f>
        <v>1440</v>
      </c>
      <c r="H36" s="128">
        <f>VariaçõesDeViagensETreinamentos[[#Totals],[Jun]]+VariaçõesDeMarketing[[#Totals],[Jun]]+VariaçõesDoEscritório[[#Totals],[Jun]]+VariaçõesDeFuncionários[[#Totals],[Jun]]</f>
        <v>-3744</v>
      </c>
      <c r="I36" s="128">
        <f>VariaçõesDeViagensETreinamentos[[#Totals],[Jul]]+VariaçõesDeMarketing[[#Totals],[Jul]]+VariaçõesDoEscritório[[#Totals],[Jul]]+VariaçõesDeFuncionários[[#Totals],[Jul]]</f>
        <v>134695</v>
      </c>
      <c r="J36" s="128">
        <f>VariaçõesDeViagensETreinamentos[[#Totals],[Ago]]+VariaçõesDeMarketing[[#Totals],[Ago]]+VariaçõesDoEscritório[[#Totals],[Ago]]+VariaçõesDeFuncionários[[#Totals],[Ago]]</f>
        <v>138918</v>
      </c>
      <c r="K36" s="128">
        <f>VariaçõesDeViagensETreinamentos[[#Totals],[Set]]+VariaçõesDeMarketing[[#Totals],[Set]]+VariaçõesDoEscritório[[#Totals],[Set]]+VariaçõesDeFuncionários[[#Totals],[Set]]</f>
        <v>135918</v>
      </c>
      <c r="L36" s="128">
        <f>VariaçõesDeViagensETreinamentos[[#Totals],[Out]]+VariaçõesDeMarketing[[#Totals],[Out]]+VariaçõesDoEscritório[[#Totals],[Out]]+VariaçõesDeFuncionários[[#Totals],[Out]]</f>
        <v>140918</v>
      </c>
      <c r="M36" s="128">
        <f>VariaçõesDeViagensETreinamentos[[#Totals],[Nov]]+VariaçõesDeMarketing[[#Totals],[Nov]]+VariaçõesDoEscritório[[#Totals],[Nov]]+VariaçõesDeFuncionários[[#Totals],[Nov]]</f>
        <v>136218</v>
      </c>
      <c r="N36" s="128">
        <f>VariaçõesDeViagensETreinamentos[[#Totals],[Dez]]+VariaçõesDeMarketing[[#Totals],[Dez]]+VariaçõesDoEscritório[[#Totals],[Dez]]+VariaçõesDeFuncionários[[#Totals],[Dez]]</f>
        <v>140018</v>
      </c>
      <c r="O36" s="128">
        <f>VariaçõesDeViagensETreinamentos[[#Totals],[ANO]]+VariaçõesDeMarketing[[#Totals],[ANO]]+VariaçõesDoEscritório[[#Totals],[ANO]]+VariaçõesDeFuncionários[[#Totals],[ANO]]</f>
        <v>826691</v>
      </c>
    </row>
    <row r="37" spans="1:16" ht="24.95" customHeight="1" thickBot="1" x14ac:dyDescent="0.35">
      <c r="A37" s="32"/>
      <c r="B37" s="13" t="s">
        <v>78</v>
      </c>
      <c r="C37" s="129">
        <f>SUM($C$36:C36)</f>
        <v>1738</v>
      </c>
      <c r="D37" s="129">
        <f>SUM($C$36:D36)</f>
        <v>754</v>
      </c>
      <c r="E37" s="129">
        <f>SUM($C$36:E36)</f>
        <v>2009</v>
      </c>
      <c r="F37" s="129">
        <f>SUM($C$36:F36)</f>
        <v>2310</v>
      </c>
      <c r="G37" s="129">
        <f>SUM($C$36:G36)</f>
        <v>3750</v>
      </c>
      <c r="H37" s="129">
        <f>SUM($C$36:H36)</f>
        <v>6</v>
      </c>
      <c r="I37" s="129">
        <f>SUM($C$36:I36)</f>
        <v>134701</v>
      </c>
      <c r="J37" s="129">
        <f>SUM($C$36:J36)</f>
        <v>273619</v>
      </c>
      <c r="K37" s="129">
        <f>SUM($C$36:K36)</f>
        <v>409537</v>
      </c>
      <c r="L37" s="129">
        <f>SUM($C$36:L36)</f>
        <v>550455</v>
      </c>
      <c r="M37" s="129">
        <f>SUM($C$36:M36)</f>
        <v>686673</v>
      </c>
      <c r="N37" s="129">
        <f>SUM($C$36:N36)</f>
        <v>826691</v>
      </c>
      <c r="O37" s="129"/>
    </row>
    <row r="38" spans="1:16" ht="21" customHeight="1" x14ac:dyDescent="0.3">
      <c r="A38" s="32"/>
      <c r="B38" s="2"/>
      <c r="C38" s="2"/>
      <c r="D38" s="14"/>
      <c r="E38" s="2"/>
      <c r="F38" s="2"/>
      <c r="G38" s="2"/>
      <c r="H38" s="2"/>
      <c r="I38" s="2"/>
      <c r="J38" s="2"/>
      <c r="K38" s="2"/>
      <c r="L38" s="2"/>
      <c r="M38" s="2"/>
      <c r="N38" s="2"/>
      <c r="O38" s="2"/>
    </row>
  </sheetData>
  <mergeCells count="8">
    <mergeCell ref="N2:O3"/>
    <mergeCell ref="B34:C34"/>
    <mergeCell ref="B29:C29"/>
    <mergeCell ref="B20:C20"/>
    <mergeCell ref="B9:C9"/>
    <mergeCell ref="B2:D3"/>
    <mergeCell ref="J2:M2"/>
    <mergeCell ref="J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9"/>
  <sheetViews>
    <sheetView showGridLines="0" workbookViewId="0"/>
  </sheetViews>
  <sheetFormatPr defaultColWidth="9.140625" defaultRowHeight="18.75" x14ac:dyDescent="0.3"/>
  <cols>
    <col min="1" max="1" width="4.7109375" style="36" customWidth="1"/>
    <col min="2" max="2" width="25.28515625" style="4" bestFit="1" customWidth="1"/>
    <col min="3" max="3" width="26.5703125" style="4" customWidth="1"/>
    <col min="4" max="4" width="22.85546875" style="4" customWidth="1"/>
    <col min="5" max="6" width="28.140625" style="4" customWidth="1"/>
    <col min="7" max="7" width="4.7109375" style="1" customWidth="1"/>
    <col min="8" max="8" width="16" customWidth="1"/>
    <col min="9" max="14" width="16" style="4" customWidth="1"/>
    <col min="15" max="16384" width="9.140625" style="4"/>
  </cols>
  <sheetData>
    <row r="1" spans="1:16" s="1" customFormat="1" ht="24" customHeight="1" x14ac:dyDescent="0.3">
      <c r="A1" s="33" t="s">
        <v>83</v>
      </c>
      <c r="B1" s="10"/>
      <c r="C1" s="10"/>
      <c r="D1" s="10"/>
      <c r="E1" s="7"/>
      <c r="F1" s="7"/>
      <c r="G1" s="61" t="s">
        <v>70</v>
      </c>
      <c r="I1"/>
      <c r="J1"/>
      <c r="K1"/>
      <c r="L1"/>
      <c r="M1"/>
      <c r="N1"/>
      <c r="O1"/>
      <c r="P1" t="s">
        <v>70</v>
      </c>
    </row>
    <row r="2" spans="1:16" s="1" customFormat="1" ht="45" customHeight="1" x14ac:dyDescent="0.35">
      <c r="A2" s="33" t="s">
        <v>84</v>
      </c>
      <c r="B2" s="89" t="str">
        <f>'DESPESAS PLANEJADAS'!B2:D3</f>
        <v>Nome da empresa</v>
      </c>
      <c r="C2" s="89"/>
      <c r="D2" s="89"/>
      <c r="E2" s="15"/>
      <c r="F2" s="100" t="s">
        <v>65</v>
      </c>
      <c r="G2" s="100"/>
      <c r="I2"/>
      <c r="J2"/>
      <c r="K2"/>
      <c r="L2"/>
      <c r="M2"/>
      <c r="N2"/>
      <c r="O2"/>
      <c r="P2"/>
    </row>
    <row r="3" spans="1:16" s="1" customFormat="1" ht="30" customHeight="1" x14ac:dyDescent="0.3">
      <c r="A3" s="33" t="s">
        <v>85</v>
      </c>
      <c r="B3" s="89"/>
      <c r="C3" s="89"/>
      <c r="D3" s="89"/>
      <c r="E3" s="99" t="str">
        <f>título_da_planilha</f>
        <v>Estimativas detalhadas de despesas</v>
      </c>
      <c r="F3" s="99"/>
      <c r="G3" s="99"/>
      <c r="I3"/>
      <c r="J3"/>
      <c r="K3"/>
      <c r="L3"/>
      <c r="M3"/>
      <c r="N3"/>
      <c r="O3"/>
      <c r="P3"/>
    </row>
    <row r="4" spans="1:16" customFormat="1" ht="18.75" customHeight="1" x14ac:dyDescent="0.2">
      <c r="A4" s="27"/>
    </row>
    <row r="5" spans="1:16" ht="24.95" customHeight="1" thickBot="1" x14ac:dyDescent="0.35">
      <c r="A5" s="34" t="s">
        <v>86</v>
      </c>
      <c r="B5" s="16" t="s">
        <v>88</v>
      </c>
      <c r="C5" s="17" t="s">
        <v>90</v>
      </c>
      <c r="D5" s="18" t="s">
        <v>91</v>
      </c>
      <c r="E5" s="16" t="s">
        <v>93</v>
      </c>
      <c r="F5" s="19" t="s">
        <v>94</v>
      </c>
      <c r="G5" s="11"/>
      <c r="I5"/>
      <c r="J5"/>
      <c r="K5"/>
      <c r="L5"/>
      <c r="M5"/>
      <c r="N5"/>
      <c r="O5"/>
      <c r="P5"/>
    </row>
    <row r="6" spans="1:16" ht="24.95" customHeight="1" thickBot="1" x14ac:dyDescent="0.35">
      <c r="A6" s="35"/>
      <c r="B6" s="78" t="s">
        <v>15</v>
      </c>
      <c r="C6" s="149">
        <f>PlanejamentoDeFuncionários[[#Totals],[ANO]]</f>
        <v>1355090</v>
      </c>
      <c r="D6" s="149">
        <f>RealFuncionários[[#Totals],[ANO]]</f>
        <v>659130</v>
      </c>
      <c r="E6" s="149">
        <f>C6-D6</f>
        <v>695960</v>
      </c>
      <c r="F6" s="21">
        <f>E6/C6</f>
        <v>0.5135895032802249</v>
      </c>
      <c r="G6" s="3"/>
    </row>
    <row r="7" spans="1:16" ht="24.95" customHeight="1" thickBot="1" x14ac:dyDescent="0.35">
      <c r="A7" s="34"/>
      <c r="B7" s="78" t="str">
        <f>'DESPESAS PLANEJADAS'!B10</f>
        <v>Custos do escritório</v>
      </c>
      <c r="C7" s="149">
        <f>PlanejamentoDoEscritório[[#Totals],[ANO]]</f>
        <v>138740</v>
      </c>
      <c r="D7" s="149">
        <f>RealEscritório[[#Totals],[ANO]]</f>
        <v>69350</v>
      </c>
      <c r="E7" s="149">
        <f>C7-D7</f>
        <v>69390</v>
      </c>
      <c r="F7" s="21">
        <f>E7/C7</f>
        <v>0.50014415453366012</v>
      </c>
    </row>
    <row r="8" spans="1:16" ht="24.95" customHeight="1" thickBot="1" x14ac:dyDescent="0.35">
      <c r="A8" s="34"/>
      <c r="B8" s="20" t="str">
        <f>'DESPESAS PLANEJADAS'!B21</f>
        <v>Custos de marketing</v>
      </c>
      <c r="C8" s="149">
        <f>PlanejamentoDeMarketing[[#Totals],[ANO]]</f>
        <v>67800</v>
      </c>
      <c r="D8" s="149">
        <f>RealMarketing[[#Totals],[ANO]]</f>
        <v>33159</v>
      </c>
      <c r="E8" s="149">
        <f>C8-D8</f>
        <v>34641</v>
      </c>
      <c r="F8" s="21">
        <f>E8/C8</f>
        <v>0.51092920353982296</v>
      </c>
    </row>
    <row r="9" spans="1:16" ht="24.95" customHeight="1" thickBot="1" x14ac:dyDescent="0.35">
      <c r="A9" s="34"/>
      <c r="B9" s="20" t="str">
        <f>'DESPESAS PLANEJADAS'!B30</f>
        <v>Viagem/Treinamento</v>
      </c>
      <c r="C9" s="149">
        <f>PlanejamentoViagemETreinamento[[#Totals],[ANO]]</f>
        <v>48000</v>
      </c>
      <c r="D9" s="149">
        <f>RealViagemETreinamento[[#Totals],[ANO]]</f>
        <v>21300</v>
      </c>
      <c r="E9" s="149">
        <f>C9-D9</f>
        <v>26700</v>
      </c>
      <c r="F9" s="21">
        <f>E9/C9</f>
        <v>0.55625000000000002</v>
      </c>
    </row>
    <row r="10" spans="1:16" ht="24.95" customHeight="1" x14ac:dyDescent="0.3">
      <c r="A10" s="34"/>
      <c r="B10" s="37" t="str">
        <f>'DESPESAS PLANEJADAS'!B35</f>
        <v>TOTAIS</v>
      </c>
      <c r="C10" s="150">
        <f>'DESPESAS PLANEJADAS'!O36</f>
        <v>1609630</v>
      </c>
      <c r="D10" s="150">
        <f>'DESPESAS REAIS'!O36</f>
        <v>782939</v>
      </c>
      <c r="E10" s="150">
        <f>C10-D10</f>
        <v>826691</v>
      </c>
      <c r="F10" s="38">
        <f>E10/C10</f>
        <v>0.51359070096854553</v>
      </c>
    </row>
    <row r="11" spans="1:16" x14ac:dyDescent="0.3">
      <c r="A11" s="34"/>
      <c r="B11" s="80"/>
      <c r="C11" s="82"/>
      <c r="D11" s="82"/>
      <c r="E11" s="82"/>
      <c r="F11" s="6"/>
    </row>
    <row r="12" spans="1:16" ht="300" customHeight="1" x14ac:dyDescent="0.3">
      <c r="A12" s="34" t="s">
        <v>87</v>
      </c>
      <c r="B12" s="95" t="s">
        <v>89</v>
      </c>
      <c r="C12" s="94"/>
      <c r="D12" s="94" t="s">
        <v>92</v>
      </c>
      <c r="E12" s="94"/>
      <c r="F12" s="94"/>
      <c r="G12"/>
    </row>
    <row r="13" spans="1:16" ht="18.75" customHeight="1" x14ac:dyDescent="0.3">
      <c r="A13" s="34"/>
      <c r="B13" s="81"/>
    </row>
    <row r="14" spans="1:16" ht="409.5" x14ac:dyDescent="0.3">
      <c r="A14" s="34" t="s">
        <v>106</v>
      </c>
      <c r="B14" s="96"/>
      <c r="C14" s="97"/>
      <c r="D14" s="97"/>
      <c r="E14" s="97"/>
      <c r="F14" s="97"/>
    </row>
    <row r="15" spans="1:16" x14ac:dyDescent="0.3">
      <c r="A15" s="34"/>
      <c r="B15" s="96"/>
      <c r="C15" s="97"/>
      <c r="D15" s="97"/>
      <c r="E15" s="97"/>
      <c r="F15" s="97"/>
    </row>
    <row r="16" spans="1:16" x14ac:dyDescent="0.3">
      <c r="A16" s="34"/>
      <c r="B16" s="96"/>
      <c r="C16" s="97"/>
      <c r="D16" s="97"/>
      <c r="E16" s="97"/>
      <c r="F16" s="97"/>
    </row>
    <row r="17" spans="1:6" x14ac:dyDescent="0.3">
      <c r="A17" s="34"/>
      <c r="B17" s="96"/>
      <c r="C17" s="97"/>
      <c r="D17" s="97"/>
      <c r="E17" s="97"/>
      <c r="F17" s="97"/>
    </row>
    <row r="18" spans="1:6" x14ac:dyDescent="0.3">
      <c r="A18" s="34"/>
      <c r="B18" s="96"/>
      <c r="C18" s="97"/>
      <c r="D18" s="97"/>
      <c r="E18" s="97"/>
      <c r="F18" s="97"/>
    </row>
    <row r="19" spans="1:6" x14ac:dyDescent="0.3">
      <c r="A19" s="34"/>
      <c r="B19" s="97"/>
      <c r="C19" s="97"/>
      <c r="D19" s="97"/>
      <c r="E19" s="97"/>
      <c r="F19" s="97"/>
    </row>
    <row r="20" spans="1:6" x14ac:dyDescent="0.3">
      <c r="A20" s="34"/>
      <c r="B20" s="97"/>
      <c r="C20" s="97"/>
      <c r="D20" s="97"/>
      <c r="E20" s="97"/>
      <c r="F20" s="97"/>
    </row>
    <row r="21" spans="1:6" x14ac:dyDescent="0.3">
      <c r="A21" s="34"/>
      <c r="B21" s="97"/>
      <c r="C21" s="97"/>
      <c r="D21" s="97"/>
      <c r="E21" s="97"/>
      <c r="F21" s="97"/>
    </row>
    <row r="22" spans="1:6" x14ac:dyDescent="0.3">
      <c r="A22" s="34"/>
      <c r="B22" s="96"/>
      <c r="C22" s="97"/>
      <c r="D22" s="97"/>
      <c r="E22" s="97"/>
      <c r="F22" s="97"/>
    </row>
    <row r="23" spans="1:6" x14ac:dyDescent="0.3">
      <c r="A23" s="34"/>
      <c r="B23" s="96"/>
      <c r="C23" s="97"/>
      <c r="D23" s="97"/>
      <c r="E23" s="97"/>
      <c r="F23" s="97"/>
    </row>
    <row r="24" spans="1:6" x14ac:dyDescent="0.3">
      <c r="A24" s="34"/>
      <c r="B24" s="96"/>
      <c r="C24" s="97"/>
      <c r="D24" s="97"/>
      <c r="E24" s="97"/>
      <c r="F24" s="97"/>
    </row>
    <row r="25" spans="1:6" x14ac:dyDescent="0.3">
      <c r="A25" s="34"/>
      <c r="B25" s="96"/>
      <c r="C25" s="97"/>
      <c r="D25" s="97"/>
      <c r="E25" s="97"/>
      <c r="F25" s="97"/>
    </row>
    <row r="26" spans="1:6" x14ac:dyDescent="0.3">
      <c r="A26" s="34"/>
      <c r="B26" s="96"/>
      <c r="C26" s="97"/>
      <c r="D26" s="97"/>
      <c r="E26" s="97"/>
      <c r="F26" s="97"/>
    </row>
    <row r="27" spans="1:6" x14ac:dyDescent="0.3">
      <c r="A27" s="34"/>
      <c r="B27" s="96"/>
      <c r="C27" s="97"/>
      <c r="D27" s="97"/>
      <c r="E27" s="97"/>
      <c r="F27" s="97"/>
    </row>
    <row r="28" spans="1:6" x14ac:dyDescent="0.3">
      <c r="A28" s="34"/>
      <c r="B28" s="97"/>
      <c r="C28" s="97"/>
      <c r="D28" s="97"/>
      <c r="E28" s="97"/>
      <c r="F28" s="97"/>
    </row>
    <row r="29" spans="1:6" x14ac:dyDescent="0.3">
      <c r="A29" s="34"/>
      <c r="B29" s="97"/>
      <c r="C29" s="97"/>
      <c r="D29" s="97"/>
      <c r="E29" s="97"/>
      <c r="F29" s="97"/>
    </row>
    <row r="30" spans="1:6" x14ac:dyDescent="0.3">
      <c r="A30" s="34"/>
      <c r="B30" s="97"/>
      <c r="C30" s="97"/>
      <c r="D30" s="97"/>
      <c r="E30" s="97"/>
      <c r="F30" s="97"/>
    </row>
    <row r="31" spans="1:6" x14ac:dyDescent="0.3">
      <c r="A31" s="34"/>
      <c r="B31" s="96"/>
      <c r="C31" s="97"/>
      <c r="D31" s="97"/>
      <c r="E31" s="97"/>
      <c r="F31" s="97"/>
    </row>
    <row r="32" spans="1:6" x14ac:dyDescent="0.3">
      <c r="A32" s="34"/>
      <c r="B32" s="96"/>
      <c r="C32" s="97"/>
      <c r="D32" s="97"/>
      <c r="E32" s="97"/>
      <c r="F32" s="97"/>
    </row>
    <row r="33" spans="1:6" x14ac:dyDescent="0.3">
      <c r="A33" s="34"/>
      <c r="B33" s="97"/>
      <c r="C33" s="97"/>
      <c r="D33" s="97"/>
      <c r="E33" s="97"/>
      <c r="F33" s="97"/>
    </row>
    <row r="34" spans="1:6" x14ac:dyDescent="0.3">
      <c r="A34" s="34"/>
      <c r="B34" s="97"/>
      <c r="C34" s="97"/>
      <c r="D34" s="97"/>
      <c r="E34" s="97"/>
      <c r="F34" s="97"/>
    </row>
    <row r="35" spans="1:6" x14ac:dyDescent="0.3">
      <c r="A35" s="34"/>
      <c r="B35" s="97"/>
      <c r="C35" s="97"/>
      <c r="D35" s="97"/>
      <c r="E35" s="97"/>
      <c r="F35" s="97"/>
    </row>
    <row r="36" spans="1:6" x14ac:dyDescent="0.3">
      <c r="A36" s="34"/>
      <c r="B36" s="98"/>
      <c r="C36" s="97"/>
      <c r="D36" s="97"/>
      <c r="E36" s="97"/>
      <c r="F36" s="97"/>
    </row>
    <row r="37" spans="1:6" x14ac:dyDescent="0.3">
      <c r="A37" s="34"/>
      <c r="B37" s="98"/>
      <c r="C37" s="97"/>
      <c r="D37" s="97"/>
      <c r="E37" s="97"/>
      <c r="F37" s="97"/>
    </row>
    <row r="38" spans="1:6" x14ac:dyDescent="0.3">
      <c r="A38" s="34"/>
    </row>
    <row r="39" spans="1:6" x14ac:dyDescent="0.3">
      <c r="A39" s="34"/>
    </row>
  </sheetData>
  <mergeCells count="6">
    <mergeCell ref="D12:F12"/>
    <mergeCell ref="B12:C12"/>
    <mergeCell ref="B14:F37"/>
    <mergeCell ref="B2:D3"/>
    <mergeCell ref="E3:G3"/>
    <mergeCell ref="F2:G2"/>
  </mergeCells>
  <printOptions horizontalCentered="1"/>
  <pageMargins left="0.4" right="0.4" top="0.4" bottom="0.4" header="0.3" footer="0.3"/>
  <pageSetup paperSize="9" orientation="portrait" r:id="rId1"/>
  <ignoredErrors>
    <ignoredError sqref="B2"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INÍCIO</vt:lpstr>
      <vt:lpstr>DESPESAS PLANEJADAS</vt:lpstr>
      <vt:lpstr>DESPESAS REAIS</vt:lpstr>
      <vt:lpstr>VARIAÇÕES DE DESPESAS</vt:lpstr>
      <vt:lpstr>ANÁLISE DE DESPESAS</vt:lpstr>
      <vt:lpstr>título_da_planilha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2018-05-30T05:56:59Z</dcterms:created>
  <dcterms:modified xsi:type="dcterms:W3CDTF">2018-09-19T09:49:21Z</dcterms:modified>
</cp:coreProperties>
</file>

<file path=docProps/custom.xml><?xml version="1.0" encoding="utf-8"?>
<Properties xmlns="http://schemas.openxmlformats.org/officeDocument/2006/custom-properties" xmlns:vt="http://schemas.openxmlformats.org/officeDocument/2006/docPropsVTypes"/>
</file>