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bookViews>
    <workbookView xWindow="0" yWindow="0" windowWidth="20490" windowHeight="7545" xr2:uid="{00000000-000D-0000-FFFF-FFFF00000000}"/>
  </bookViews>
  <sheets>
    <sheet name="Mesečni družinski proračun" sheetId="1" r:id="rId1"/>
  </sheets>
  <calcPr calcId="162913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<sst xmlns="http://schemas.openxmlformats.org/spreadsheetml/2006/main" count="162" uniqueCount="89">
  <si>
    <t>Mesečni družinski proračun</t>
  </si>
  <si>
    <t>Tabela s povzetkom</t>
  </si>
  <si>
    <t>Stanovanje</t>
  </si>
  <si>
    <t>Hipoteka ali najemnina</t>
  </si>
  <si>
    <t>Druga hipoteka ali najemnina</t>
  </si>
  <si>
    <t>Telefon</t>
  </si>
  <si>
    <t>Elektrika</t>
  </si>
  <si>
    <t>Plin</t>
  </si>
  <si>
    <t>Voda in kanalščina</t>
  </si>
  <si>
    <t>Kabelska</t>
  </si>
  <si>
    <t>Odvoz odpadkov</t>
  </si>
  <si>
    <t>Vzdrževanje ali popravila</t>
  </si>
  <si>
    <t>Zaloge</t>
  </si>
  <si>
    <t>Drugo</t>
  </si>
  <si>
    <t>Prevoz</t>
  </si>
  <si>
    <t>Plačilo vozila 1</t>
  </si>
  <si>
    <t>Plačilo vozila 2</t>
  </si>
  <si>
    <t>Avtobus/taksi</t>
  </si>
  <si>
    <t>Zavarovanje</t>
  </si>
  <si>
    <t>Registracija</t>
  </si>
  <si>
    <t>Gorivo</t>
  </si>
  <si>
    <t>Vzdrževanje</t>
  </si>
  <si>
    <t>Dom</t>
  </si>
  <si>
    <t>Zdravje</t>
  </si>
  <si>
    <t>Zabava</t>
  </si>
  <si>
    <t>Hrana</t>
  </si>
  <si>
    <t>Živila</t>
  </si>
  <si>
    <t>Kosila v restavracijah</t>
  </si>
  <si>
    <t>Otroci</t>
  </si>
  <si>
    <t>Zdravstvene potrebščine</t>
  </si>
  <si>
    <t>Oblačila</t>
  </si>
  <si>
    <t>Šolnina</t>
  </si>
  <si>
    <t>Šolske potrebščine</t>
  </si>
  <si>
    <t>Pristojbine za organizacijo</t>
  </si>
  <si>
    <t>Denar za malico</t>
  </si>
  <si>
    <t>Varstva otroka</t>
  </si>
  <si>
    <t>Igrače/igre</t>
  </si>
  <si>
    <t>Pravne_informacije</t>
  </si>
  <si>
    <t>Odvetnik</t>
  </si>
  <si>
    <t>Preživnina</t>
  </si>
  <si>
    <t>Obroki</t>
  </si>
  <si>
    <t>Prihranki/naložbe</t>
  </si>
  <si>
    <t>Varčevalni račun</t>
  </si>
  <si>
    <t>Naložbeni račun</t>
  </si>
  <si>
    <t>Fakulteta</t>
  </si>
  <si>
    <t>Predvideno
Cena</t>
  </si>
  <si>
    <t>Dejansko
Cena</t>
  </si>
  <si>
    <t>Razlika</t>
  </si>
  <si>
    <t>Vir predvidenega mesečnega dohodka</t>
  </si>
  <si>
    <t>Dohodek 1</t>
  </si>
  <si>
    <t>Dohodek 2</t>
  </si>
  <si>
    <t>Dodatni dohodek</t>
  </si>
  <si>
    <t>Mesečni dohodek skupaj</t>
  </si>
  <si>
    <t>Vir dejanskega mesečnega dohodka</t>
  </si>
  <si>
    <t>Stanje</t>
  </si>
  <si>
    <t>Pričakovano stanje</t>
  </si>
  <si>
    <t>Dejansko stanje</t>
  </si>
  <si>
    <t>Posojila</t>
  </si>
  <si>
    <t>Osebno</t>
  </si>
  <si>
    <t>Študentsko</t>
  </si>
  <si>
    <t>Kreditna kartica</t>
  </si>
  <si>
    <t>Video/DVD</t>
  </si>
  <si>
    <t>CD-ji</t>
  </si>
  <si>
    <t>Filmi</t>
  </si>
  <si>
    <t>Koncerti</t>
  </si>
  <si>
    <t>Športni dogodki</t>
  </si>
  <si>
    <t>Gledališče</t>
  </si>
  <si>
    <t>Davki</t>
  </si>
  <si>
    <t>Zvezni</t>
  </si>
  <si>
    <t>Državni</t>
  </si>
  <si>
    <t>Lokalni</t>
  </si>
  <si>
    <t>Osebna nega</t>
  </si>
  <si>
    <t>Lasje/nohti</t>
  </si>
  <si>
    <t>Kemična čistilnica</t>
  </si>
  <si>
    <t>Fitnes</t>
  </si>
  <si>
    <t>Hišni_ljubljenčki</t>
  </si>
  <si>
    <t>Nega</t>
  </si>
  <si>
    <t>Igrače</t>
  </si>
  <si>
    <t>Darila in donacije</t>
  </si>
  <si>
    <t>Dobrodelno 1</t>
  </si>
  <si>
    <t>Dobrodelno 2</t>
  </si>
  <si>
    <t>Dobrodelno 3</t>
  </si>
  <si>
    <t>Znesek</t>
  </si>
  <si>
    <t>Predvideno 
Cena</t>
  </si>
  <si>
    <t>Dejansko 
Cena</t>
  </si>
  <si>
    <t>Vsota
Predvideni stroški</t>
  </si>
  <si>
    <t>Vsota
Dejanski stroški</t>
  </si>
  <si>
    <t>Vsota
Razlika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</si>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</sst>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;[Red]#,##0\ &quot;€&quot;"/>
  </numFmts>
  <fonts count="24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16"/>
      <color theme="1"/>
      <name val="Trebuchet MS"/>
      <family val="2"/>
      <scheme val="major"/>
    </font>
    <font>
      <b/>
      <sz val="1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name val="Trebuchet MS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Fill="0" applyBorder="0" applyProtection="0">
      <alignment horizontal="left"/>
    </xf>
    <xf numFmtId="0" fontId="10" fillId="3" borderId="0" applyNumberFormat="0" applyProtection="0">
      <alignment horizontal="right" vertical="center"/>
    </xf>
    <xf numFmtId="0" fontId="10" fillId="3" borderId="0" applyNumberFormat="0" applyAlignment="0" applyProtection="0"/>
    <xf numFmtId="0" fontId="10" fillId="3" borderId="0" applyProtection="0">
      <alignment horizontal="center" vertical="center" wrapText="1"/>
    </xf>
    <xf numFmtId="166" fontId="9" fillId="4" borderId="2" applyProtection="0">
      <alignment vertical="center"/>
    </xf>
    <xf numFmtId="6" fontId="11" fillId="5" borderId="0" applyFont="0" applyAlignment="0">
      <alignment vertical="center"/>
    </xf>
    <xf numFmtId="6" fontId="11" fillId="0" borderId="0" applyFont="0" applyFill="0" applyBorder="0" applyAlignment="0">
      <alignment vertical="center" wrapText="1"/>
    </xf>
    <xf numFmtId="0" fontId="11" fillId="5" borderId="3" applyNumberFormat="0" applyFont="0" applyAlignment="0">
      <alignment vertical="center"/>
    </xf>
    <xf numFmtId="6" fontId="11" fillId="5" borderId="5" applyFont="0" applyFill="0" applyAlignment="0">
      <alignment vertical="center"/>
    </xf>
    <xf numFmtId="6" fontId="11" fillId="5" borderId="6" applyFont="0" applyFill="0" applyAlignment="0">
      <alignment vertical="center"/>
    </xf>
    <xf numFmtId="166" fontId="11" fillId="5" borderId="3" applyNumberFormat="0" applyFont="0" applyFill="0" applyAlignment="0">
      <alignment vertical="center"/>
    </xf>
    <xf numFmtId="6" fontId="11" fillId="5" borderId="4" applyFont="0" applyFill="0" applyAlignment="0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0" applyNumberFormat="0" applyAlignment="0" applyProtection="0"/>
    <xf numFmtId="0" fontId="17" fillId="10" borderId="11" applyNumberFormat="0" applyAlignment="0" applyProtection="0"/>
    <xf numFmtId="0" fontId="18" fillId="10" borderId="10" applyNumberFormat="0" applyAlignment="0" applyProtection="0"/>
    <xf numFmtId="0" fontId="19" fillId="0" borderId="12" applyNumberFormat="0" applyFill="0" applyAlignment="0" applyProtection="0"/>
    <xf numFmtId="0" fontId="10" fillId="11" borderId="13" applyNumberFormat="0" applyAlignment="0" applyProtection="0"/>
    <xf numFmtId="0" fontId="20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3" borderId="0" xfId="3" applyAlignment="1">
      <alignment horizontal="left" vertical="center" wrapText="1"/>
    </xf>
    <xf numFmtId="0" fontId="10" fillId="3" borderId="0" xfId="3" applyAlignment="1">
      <alignment horizontal="left" vertical="center" wrapText="1"/>
    </xf>
    <xf numFmtId="0" fontId="10" fillId="3" borderId="0" xfId="4">
      <alignment horizontal="center" vertical="center" wrapText="1"/>
    </xf>
    <xf numFmtId="0" fontId="10" fillId="3" borderId="0" xfId="3" applyNumberFormat="1" applyAlignment="1">
      <alignment horizontal="left" vertical="center" wrapText="1"/>
    </xf>
    <xf numFmtId="0" fontId="10" fillId="3" borderId="0" xfId="3" applyNumberFormat="1" applyAlignment="1">
      <alignment vertical="center"/>
    </xf>
    <xf numFmtId="0" fontId="10" fillId="3" borderId="0" xfId="3" applyNumberFormat="1" applyAlignment="1">
      <alignment vertical="center" wrapText="1"/>
    </xf>
    <xf numFmtId="6" fontId="3" fillId="0" borderId="0" xfId="7" applyFont="1" applyFill="1" applyBorder="1" applyAlignment="1">
      <alignment vertical="center" wrapText="1"/>
    </xf>
    <xf numFmtId="6" fontId="6" fillId="2" borderId="0" xfId="7" applyFont="1" applyFill="1" applyBorder="1" applyAlignment="1">
      <alignment horizontal="left" vertical="center" wrapText="1"/>
    </xf>
    <xf numFmtId="6" fontId="0" fillId="0" borderId="0" xfId="7" applyFont="1" applyAlignment="1">
      <alignment vertical="center" wrapText="1"/>
    </xf>
    <xf numFmtId="6" fontId="0" fillId="0" borderId="0" xfId="7" applyFont="1" applyAlignment="1">
      <alignment vertical="center"/>
    </xf>
    <xf numFmtId="6" fontId="10" fillId="3" borderId="0" xfId="7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0" fontId="10" fillId="3" borderId="7" xfId="3" applyBorder="1" applyAlignment="1">
      <alignment horizontal="left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3" borderId="8" xfId="3" applyFont="1" applyFill="1" applyBorder="1" applyAlignment="1">
      <alignment horizontal="left" vertical="center" wrapText="1"/>
    </xf>
    <xf numFmtId="0" fontId="10" fillId="3" borderId="0" xfId="4" applyAlignment="1">
      <alignment horizontal="left" vertical="center" wrapText="1"/>
    </xf>
    <xf numFmtId="0" fontId="12" fillId="3" borderId="9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/>
    </xf>
    <xf numFmtId="0" fontId="10" fillId="3" borderId="0" xfId="2" applyAlignment="1">
      <alignment horizontal="left" vertical="center" wrapText="1"/>
    </xf>
    <xf numFmtId="166" fontId="5" fillId="0" borderId="0" xfId="11" applyNumberFormat="1" applyFont="1" applyFill="1" applyBorder="1" applyAlignment="1">
      <alignment vertical="center" wrapText="1"/>
    </xf>
    <xf numFmtId="166" fontId="3" fillId="0" borderId="0" xfId="11" applyNumberFormat="1" applyFont="1" applyFill="1" applyBorder="1" applyAlignment="1">
      <alignment vertical="center" wrapText="1"/>
    </xf>
    <xf numFmtId="166" fontId="3" fillId="0" borderId="3" xfId="11" applyNumberFormat="1" applyFont="1" applyFill="1" applyAlignment="1">
      <alignment vertical="center" wrapText="1"/>
    </xf>
    <xf numFmtId="6" fontId="0" fillId="5" borderId="4" xfId="12" applyNumberFormat="1" applyFont="1" applyAlignment="1">
      <alignment vertical="center"/>
    </xf>
    <xf numFmtId="6" fontId="0" fillId="5" borderId="0" xfId="9" applyNumberFormat="1" applyFont="1" applyBorder="1" applyAlignment="1">
      <alignment vertical="center"/>
    </xf>
    <xf numFmtId="6" fontId="0" fillId="5" borderId="0" xfId="6" applyNumberFormat="1" applyFont="1" applyAlignment="1">
      <alignment vertical="center"/>
    </xf>
    <xf numFmtId="6" fontId="0" fillId="5" borderId="0" xfId="10" applyNumberFormat="1" applyFont="1" applyFill="1" applyBorder="1" applyAlignment="1">
      <alignment vertical="center"/>
    </xf>
    <xf numFmtId="6" fontId="0" fillId="5" borderId="0" xfId="6" applyNumberFormat="1" applyFont="1" applyFill="1" applyBorder="1" applyAlignment="1">
      <alignment vertical="center"/>
    </xf>
    <xf numFmtId="6" fontId="0" fillId="5" borderId="5" xfId="9" applyNumberFormat="1" applyFont="1" applyFill="1" applyBorder="1" applyAlignment="1">
      <alignment vertical="center"/>
    </xf>
    <xf numFmtId="6" fontId="0" fillId="0" borderId="0" xfId="7" applyNumberFormat="1" applyFont="1" applyFill="1" applyBorder="1" applyAlignment="1">
      <alignment vertical="center" wrapText="1"/>
    </xf>
    <xf numFmtId="6" fontId="0" fillId="0" borderId="0" xfId="7" applyNumberFormat="1" applyFont="1" applyFill="1" applyBorder="1" applyAlignment="1">
      <alignment vertical="center"/>
    </xf>
    <xf numFmtId="6" fontId="3" fillId="0" borderId="0" xfId="7" applyNumberFormat="1" applyFont="1" applyFill="1" applyBorder="1" applyAlignment="1">
      <alignment vertical="center" wrapText="1"/>
    </xf>
    <xf numFmtId="6" fontId="0" fillId="0" borderId="0" xfId="7" applyNumberFormat="1" applyFont="1" applyFill="1" applyAlignment="1">
      <alignment vertical="center" wrapText="1"/>
    </xf>
    <xf numFmtId="6" fontId="3" fillId="0" borderId="0" xfId="7" applyNumberFormat="1" applyFont="1" applyAlignment="1">
      <alignment vertical="center" wrapText="1"/>
    </xf>
    <xf numFmtId="6" fontId="0" fillId="0" borderId="0" xfId="7" applyNumberFormat="1" applyFont="1" applyAlignment="1">
      <alignment vertical="center" wrapText="1"/>
    </xf>
    <xf numFmtId="6" fontId="23" fillId="0" borderId="5" xfId="9" applyFont="1" applyFill="1">
      <alignment vertical="center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</cellXfs>
  <cellStyles count="54">
    <cellStyle name="20 % – Poudarek1" xfId="31" builtinId="30" customBuiltin="1"/>
    <cellStyle name="20 % – Poudarek2" xfId="35" builtinId="34" customBuiltin="1"/>
    <cellStyle name="20 % – Poudarek3" xfId="39" builtinId="38" customBuiltin="1"/>
    <cellStyle name="20 % – Poudarek4" xfId="43" builtinId="42" customBuiltin="1"/>
    <cellStyle name="20 % – Poudarek5" xfId="47" builtinId="46" customBuiltin="1"/>
    <cellStyle name="20 % – Poudarek6" xfId="51" builtinId="50" customBuiltin="1"/>
    <cellStyle name="40 % – Poudarek1" xfId="32" builtinId="31" customBuiltin="1"/>
    <cellStyle name="40 % – Poudarek2" xfId="36" builtinId="35" customBuiltin="1"/>
    <cellStyle name="40 % – Poudarek3" xfId="40" builtinId="39" customBuiltin="1"/>
    <cellStyle name="40 % – Poudarek4" xfId="44" builtinId="43" customBuiltin="1"/>
    <cellStyle name="40 % – Poudarek5" xfId="48" builtinId="47" customBuiltin="1"/>
    <cellStyle name="40 % – Poudarek6" xfId="52" builtinId="51" customBuiltin="1"/>
    <cellStyle name="60 % – Poudarek1" xfId="33" builtinId="32" customBuiltin="1"/>
    <cellStyle name="60 % – Poudarek2" xfId="37" builtinId="36" customBuiltin="1"/>
    <cellStyle name="60 % – Poudarek3" xfId="41" builtinId="40" customBuiltin="1"/>
    <cellStyle name="60 % – Poudarek4" xfId="45" builtinId="44" customBuiltin="1"/>
    <cellStyle name="60 % – Poudarek5" xfId="49" builtinId="48" customBuiltin="1"/>
    <cellStyle name="60 % – Poudarek6" xfId="53" builtinId="52" customBuiltin="1"/>
    <cellStyle name="Besedilo povzetka" xfId="8" xr:uid="{00000000-0005-0000-0000-00000A000000}"/>
    <cellStyle name="Desna obroba" xfId="12" xr:uid="{00000000-0005-0000-0000-000008000000}"/>
    <cellStyle name="Dobro" xfId="18" builtinId="26" customBuiltin="1"/>
    <cellStyle name="Izhod" xfId="22" builtinId="21" customBuiltin="1"/>
    <cellStyle name="Količine" xfId="7" xr:uid="{00000000-0005-0000-0000-000000000000}"/>
    <cellStyle name="Leva obroba" xfId="11" xr:uid="{00000000-0005-0000-0000-000006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Nevtralno" xfId="20" builtinId="28" customBuiltin="1"/>
    <cellStyle name="Odstotek" xfId="17" builtinId="5" customBuiltin="1"/>
    <cellStyle name="Opomba" xfId="27" builtinId="10" customBuiltin="1"/>
    <cellStyle name="Opozorilo" xfId="26" builtinId="11" customBuiltin="1"/>
    <cellStyle name="Pojasnjevalno besedilo" xfId="28" builtinId="53" customBuiltin="1"/>
    <cellStyle name="Poudarek1" xfId="30" builtinId="29" customBuiltin="1"/>
    <cellStyle name="Poudarek2" xfId="34" builtinId="33" customBuiltin="1"/>
    <cellStyle name="Poudarek3" xfId="38" builtinId="37" customBuiltin="1"/>
    <cellStyle name="Poudarek4" xfId="42" builtinId="41" customBuiltin="1"/>
    <cellStyle name="Poudarek5" xfId="46" builtinId="45" customBuiltin="1"/>
    <cellStyle name="Poudarek6" xfId="50" builtinId="49" customBuiltin="1"/>
    <cellStyle name="Povezana celica" xfId="24" builtinId="24" customBuiltin="1"/>
    <cellStyle name="Povzeti zneski" xfId="6" xr:uid="{00000000-0005-0000-0000-000009000000}"/>
    <cellStyle name="Preveri celico" xfId="25" builtinId="23" customBuiltin="1"/>
    <cellStyle name="Računanje" xfId="23" builtinId="22" customBuiltin="1"/>
    <cellStyle name="Slabo" xfId="19" builtinId="27" customBuiltin="1"/>
    <cellStyle name="Spodnja obroba" xfId="9" xr:uid="{00000000-0005-0000-0000-000001000000}"/>
    <cellStyle name="Valuta" xfId="15" builtinId="4" customBuiltin="1"/>
    <cellStyle name="Valuta [0]" xfId="16" builtinId="7" customBuiltin="1"/>
    <cellStyle name="Vejica" xfId="13" builtinId="3" customBuiltin="1"/>
    <cellStyle name="Vejica [0]" xfId="14" builtinId="6" customBuiltin="1"/>
    <cellStyle name="Vnos" xfId="21" builtinId="20" customBuiltin="1"/>
    <cellStyle name="Vsota" xfId="29" builtinId="25" customBuiltin="1"/>
    <cellStyle name="Zgornja obroba" xfId="10" xr:uid="{00000000-0005-0000-0000-00000C000000}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/>
        <charset val="238"/>
      </font>
    </dxf>
    <dxf>
      <font>
        <b/>
        <charset val="238"/>
      </font>
    </dxf>
    <dxf>
      <font>
        <b/>
        <charset val="238"/>
      </font>
    </dxf>
    <dxf>
      <font>
        <b/>
        <charset val="238"/>
      </font>
    </dxf>
    <dxf>
      <font>
        <b/>
        <charset val="238"/>
      </font>
    </dxf>
    <dxf>
      <border outline="0">
        <bottom style="thin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€&quot;;[Red]\-#,##0\ &quot;€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€&quot;;[Red]\-#,##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€&quot;;[Red]\-#,##0\ &quot;€&quot;"/>
      <alignment horizontal="general" vertical="center" textRotation="0" wrapText="0" indent="0" justifyLastLine="0" shrinkToFit="0" readingOrder="0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164"/>
      <tableStyleElement type="headerRow" dxfId="163"/>
      <tableStyleElement type="firstColumn" dxfId="162"/>
    </tableStyle>
    <tableStyle name="Monthly Family Budget" pivot="0" count="4" xr9:uid="{00000000-0011-0000-FFFF-FFFF01000000}">
      <tableStyleElement type="wholeTable" dxfId="161"/>
      <tableStyleElement type="headerRow" dxfId="160"/>
      <tableStyleElement type="totalRow" dxfId="159"/>
      <tableStyleElement type="firstRowStripe" dxfId="1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anovanje" displayName="Stanovanje" ref="B5:E17" totalsRowCount="1">
  <autoFilter ref="B5:E16" xr:uid="{00000000-0009-0000-0100-000001000000}"/>
  <tableColumns count="4">
    <tableColumn id="1" xr3:uid="{00000000-0010-0000-0000-000001000000}" name="Stanovanje" totalsRowLabel="Vsota" totalsRowDxfId="51"/>
    <tableColumn id="2" xr3:uid="{00000000-0010-0000-0000-000002000000}" name="Predvideno_x000a_Cena" totalsRowFunction="sum" dataDxfId="102" totalsRowDxfId="50" dataCellStyle="Količine" totalsRowCellStyle="Količine"/>
    <tableColumn id="3" xr3:uid="{00000000-0010-0000-0000-000003000000}" name="Dejansko_x000a_Cena" totalsRowFunction="sum" dataDxfId="101" totalsRowDxfId="49" dataCellStyle="Količine" totalsRowCellStyle="Količine"/>
    <tableColumn id="4" xr3:uid="{00000000-0010-0000-0000-000004000000}" name="Razlika" totalsRowFunction="sum" dataDxfId="100" totalsRowDxfId="48" dataCellStyle="Količine" totalsRowCellStyle="Količine">
      <calculatedColumnFormula>Stanovanje[Predvideno
Cena]-Stanovanje[Dejansko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Davki" displayName="Davki" ref="G38:J43" totalsRowCount="1" headerRowDxfId="123" dataDxfId="122" totalsRowDxfId="121">
  <autoFilter ref="G38:J42" xr:uid="{00000000-0009-0000-0100-00000A000000}"/>
  <tableColumns count="4">
    <tableColumn id="1" xr3:uid="{00000000-0010-0000-0900-000001000000}" name="Davki" totalsRowLabel="Vsota" dataDxfId="120" totalsRowDxfId="39"/>
    <tableColumn id="2" xr3:uid="{00000000-0010-0000-0900-000002000000}" name="Predvideno _x000a_Cena" totalsRowFunction="sum" dataDxfId="75" totalsRowDxfId="38" dataCellStyle="Količine" totalsRowCellStyle="Količine"/>
    <tableColumn id="3" xr3:uid="{00000000-0010-0000-0900-000003000000}" name="Dejansko _x000a_Cena" totalsRowFunction="sum" dataDxfId="74" totalsRowDxfId="37" dataCellStyle="Količine" totalsRowCellStyle="Količine"/>
    <tableColumn id="4" xr3:uid="{00000000-0010-0000-0900-000004000000}" name="Razlika" totalsRowFunction="sum" dataDxfId="73" totalsRowDxfId="36" dataCellStyle="Količine" totalsRowCellStyle="Količine">
      <calculatedColumnFormula>Davki[Predvideno 
Cena]-Davki[Dejansko 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Prihranki" displayName="Prihranki" ref="B62:E67" totalsRowCount="1" headerRowDxfId="119" dataDxfId="118" totalsRowDxfId="117">
  <autoFilter ref="B62:E66" xr:uid="{00000000-0009-0000-0100-00000B000000}"/>
  <tableColumns count="4">
    <tableColumn id="1" xr3:uid="{00000000-0010-0000-0A00-000001000000}" name="Prihranki/naložbe" totalsRowLabel="Vsota" dataDxfId="116" totalsRowDxfId="3"/>
    <tableColumn id="2" xr3:uid="{00000000-0010-0000-0A00-000002000000}" name="Predvideno_x000a_Cena" totalsRowFunction="sum" dataDxfId="72" totalsRowDxfId="2" dataCellStyle="Količine" totalsRowCellStyle="Količine"/>
    <tableColumn id="3" xr3:uid="{00000000-0010-0000-0A00-000003000000}" name="Dejansko_x000a_Cena" totalsRowFunction="sum" dataDxfId="71" totalsRowDxfId="1" dataCellStyle="Količine" totalsRowCellStyle="Količine"/>
    <tableColumn id="4" xr3:uid="{00000000-0010-0000-0A00-000004000000}" name="Razlika" totalsRowFunction="sum" dataDxfId="70" totalsRowDxfId="0" dataCellStyle="Količine" totalsRowCellStyle="Količine">
      <calculatedColumnFormula>Prihranki[Predvideno
Cena]-Prihranki[Dejansko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arila" displayName="Darila" ref="G63:J67" totalsRowCount="1" headerRowDxfId="115" dataDxfId="114" totalsRowDxfId="113">
  <autoFilter ref="G63:J66" xr:uid="{00000000-0009-0000-0100-00000C000000}"/>
  <tableColumns count="4">
    <tableColumn id="1" xr3:uid="{00000000-0010-0000-0B00-000001000000}" name="Darila in donacije" totalsRowLabel="Vsota" dataDxfId="112" totalsRowDxfId="15"/>
    <tableColumn id="2" xr3:uid="{00000000-0010-0000-0B00-000002000000}" name="Predvideno_x000a_Cena" totalsRowFunction="sum" dataDxfId="69" totalsRowDxfId="14" dataCellStyle="Količine" totalsRowCellStyle="Količine"/>
    <tableColumn id="3" xr3:uid="{00000000-0010-0000-0B00-000003000000}" name="Dejansko_x000a_Cena" totalsRowFunction="sum" dataDxfId="68" totalsRowDxfId="13" dataCellStyle="Količine" totalsRowCellStyle="Količine"/>
    <tableColumn id="4" xr3:uid="{00000000-0010-0000-0B00-000004000000}" name="Razlika" totalsRowFunction="sum" dataDxfId="67" totalsRowDxfId="12" dataCellStyle="Količine" totalsRowCellStyle="Količine">
      <calculatedColumnFormula>Darila[Predvideno
Cena]-Darila[Dejansko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Pravne_informacije" displayName="Pravne_informacije" ref="B55:E60" totalsRowCount="1" headerRowDxfId="111" dataDxfId="110" totalsRowDxfId="109">
  <autoFilter ref="B55:E59" xr:uid="{00000000-0009-0000-0100-00000D000000}"/>
  <tableColumns count="4">
    <tableColumn id="1" xr3:uid="{00000000-0010-0000-0C00-000001000000}" name="Pravne_informacije" totalsRowLabel="Vsota" dataDxfId="108" totalsRowDxfId="7"/>
    <tableColumn id="2" xr3:uid="{00000000-0010-0000-0C00-000002000000}" name="Predvideno_x000a_Cena" totalsRowFunction="sum" dataDxfId="66" totalsRowDxfId="6" dataCellStyle="Količine" totalsRowCellStyle="Količine"/>
    <tableColumn id="3" xr3:uid="{00000000-0010-0000-0C00-000003000000}" name="Dejansko_x000a_Cena" totalsRowFunction="sum" dataDxfId="65" totalsRowDxfId="5" dataCellStyle="Količine" totalsRowCellStyle="Količine"/>
    <tableColumn id="4" xr3:uid="{00000000-0010-0000-0C00-000004000000}" name="Razlika" totalsRowFunction="sum" dataDxfId="64" totalsRowDxfId="4" dataCellStyle="Količine" totalsRowCellStyle="Količine">
      <calculatedColumnFormula>Pravne_informacije[Predvideno
Cena]-Pravne_informacije[Dejansko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Predvideni_mesečni_prihodek" displayName="Predvideni_mesečni_prihodek" ref="G2:H6" totalsRowShown="0" headerRowDxfId="107" tableBorderDxfId="106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Vir predvidenega mesečnega dohodka" dataDxfId="53" dataCellStyle="Besedilo povzetka"/>
    <tableColumn id="2" xr3:uid="{00000000-0010-0000-0D00-000002000000}" name="Znesek" dataDxfId="63" dataCellStyle="Desna obroba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Vnesite vir predvidenega mesečnega prihodka in znesek v to tabelo. Skupni znesek mesečnega prihodka se izračuna samodejno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Dejanski_mesečni_prihodek" displayName="Dejanski_mesečni_prihodek" ref="G8:H12" totalsRowShown="0" headerRowDxfId="105" tableBorderDxfId="104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Vir dejanskega mesečnega dohodka" dataDxfId="52" dataCellStyle="Besedilo povzetka"/>
    <tableColumn id="2" xr3:uid="{00000000-0010-0000-0E00-000002000000}" name="Znesek" dataDxfId="62" dataCellStyle="Povzeti zneski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Vnesite vir dejanskega mesečnega prihodka in znesek v to tabelo. Skupni znesek mesečnega prihodka se izračuna samodejno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Bilanca" displayName="Bilanca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Stanje" dataDxfId="103"/>
    <tableColumn id="2" xr3:uid="{00000000-0010-0000-0F00-000002000000}" name="Znesek" dataDxfId="61" dataCellStyle="Povzeti zneski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Postavke bilance in zneski se izračunajo samodejno v tej tabeli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Povzetek" displayName="Povzetek" ref="B2:E3" totalsRowShown="0" headerRowDxfId="60" dataDxfId="54" tableBorderDxfId="59" dataCellStyle="Spodnja obroba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Tabela s povzetkom" dataDxfId="58" dataCellStyle="Spodnja obroba"/>
    <tableColumn id="2" xr3:uid="{00000000-0010-0000-1000-000002000000}" name="Vsota_x000a_Predvideni stroški" dataDxfId="57" dataCellStyle="Spodnja obroba">
      <calculatedColumnFormula>Stanovanje[[#Totals],[Predvideno
Cena]]+Prevoz[[#Totals],[Predvideno
Cena]]+Zavarovanje[[#Totals],[Predvideno
Cena]]+Hrana[[#Totals],[Predvideno
Cena]]+Otroci[[#Totals],[Predvideno
Cena]]+Pravne_informacije[[#Totals],[Predvideno
Cena]]+Prihranki[[#Totals],[Predvideno
Cena]]+Posojila[[#Totals],[Predvideno
Cena]]+Razvedrilo[[#Totals],[Predvideno
Cena]]+Davki[[#Totals],[Predvideno 
Cena]]+Osebna_nega[[#Totals],[Predvideno
Cena]]+Hišni_ljubljenčki[[#Totals],[Predvideno
Cena]]+Darila[[#Totals],[Predvideno
Cena]]</calculatedColumnFormula>
    </tableColumn>
    <tableColumn id="3" xr3:uid="{00000000-0010-0000-1000-000003000000}" name="Vsota_x000a_Dejanski stroški" dataDxfId="56" dataCellStyle="Spodnja obroba">
      <calculatedColumnFormula>Stanovanje[[#Totals],[Dejansko
Cena]]+Prevoz[[#Totals],[Dejansko
Cena]]+Zavarovanje[[#Totals],[Dejansko
Cena]]+Hrana[[#Totals],[Dejansko
Cena]]+Otroci[[#Totals],[Dejansko
Cena]]+Pravne_informacije[[#Totals],[Dejansko
Cena]]+Prihranki[[#Totals],[Dejansko
Cena]]+Posojila[[#Totals],[Dejansko
Cena]]+Razvedrilo[[#Totals],[Dejansko
Cena]]+Davki[[#Totals],[Dejansko 
Cena]]+Osebna_nega[[#Totals],[Dejansko
Cena]]+Hišni_ljubljenčki[[#Totals],[Dejansko
Cena]]+Darila[[#Totals],[Dejansko
Cena]]</calculatedColumnFormula>
    </tableColumn>
    <tableColumn id="4" xr3:uid="{00000000-0010-0000-1000-000004000000}" name="Vsota_x000a_Razlika" dataDxfId="55" dataCellStyle="Spodnja obroba">
      <calculatedColumnFormula>Stanovanje[[#Totals],[Razlika]]+Prevoz[[#Totals],[Razlika]]+Zavarovanje[[#Totals],[Razlika]]+Hrana[[#Totals],[Razlika]]+Otroci[[#Totals],[Razlika]]+Pravne_informacije[[#Totals],[Razlika]]+Prihranki[[#Totals],[Razlika]]+Posojila[[#Totals],[Razlika]]+Razvedrilo[[#Totals],[Razlika]]+Davki[[#Totals],[Razlika]]+Osebna_nega[[#Totals],[Razlika]]+Hišni_ljubljenčki[[#Totals],[Razlika]]+Darila[[#Totals],[Razlika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Skupna zneska predvidenih in dejanskih stroškov ter skupni znesek razlike se izračunajo samodejno v tej tabeli s povzetk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evoz" displayName="Prevoz" ref="B19:E28" totalsRowCount="1" headerRowDxfId="155" dataDxfId="154" totalsRowDxfId="153">
  <autoFilter ref="B19:E27" xr:uid="{00000000-0009-0000-0100-000002000000}"/>
  <tableColumns count="4">
    <tableColumn id="1" xr3:uid="{00000000-0010-0000-0100-000001000000}" name="Prevoz" totalsRowLabel="Vsota" dataDxfId="152" totalsRowDxfId="47"/>
    <tableColumn id="2" xr3:uid="{00000000-0010-0000-0100-000002000000}" name="Predvideno_x000a_Cena" totalsRowFunction="sum" dataDxfId="99" totalsRowDxfId="46" dataCellStyle="Količine" totalsRowCellStyle="Količine"/>
    <tableColumn id="3" xr3:uid="{00000000-0010-0000-0100-000003000000}" name="Dejansko_x000a_Cena" totalsRowFunction="sum" dataDxfId="98" totalsRowDxfId="45" dataCellStyle="Količine" totalsRowCellStyle="Količine"/>
    <tableColumn id="4" xr3:uid="{00000000-0010-0000-0100-000004000000}" name="Razlika" totalsRowFunction="sum" dataDxfId="97" totalsRowDxfId="44" dataCellStyle="Količine" totalsRowCellStyle="Količine">
      <calculatedColumnFormula>Prevoz[Predvideno
Cena]-Prevoz[Dejansko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Zavarovanje" displayName="Zavarovanje" ref="B30:E35" totalsRowCount="1" headerRowDxfId="151" dataDxfId="150" totalsRowDxfId="149">
  <autoFilter ref="B30:E34" xr:uid="{00000000-0009-0000-0100-000003000000}"/>
  <tableColumns count="4">
    <tableColumn id="1" xr3:uid="{00000000-0010-0000-0200-000001000000}" name="Zavarovanje" totalsRowLabel="Vsota" dataDxfId="148" totalsRowDxfId="27"/>
    <tableColumn id="2" xr3:uid="{00000000-0010-0000-0200-000002000000}" name="Predvideno_x000a_Cena" totalsRowFunction="sum" dataDxfId="96" totalsRowDxfId="26" dataCellStyle="Količine" totalsRowCellStyle="Količine"/>
    <tableColumn id="3" xr3:uid="{00000000-0010-0000-0200-000003000000}" name="Dejansko_x000a_Cena" totalsRowFunction="sum" dataDxfId="95" totalsRowDxfId="25" dataCellStyle="Količine" totalsRowCellStyle="Količine"/>
    <tableColumn id="4" xr3:uid="{00000000-0010-0000-0200-000004000000}" name="Razlika" totalsRowFunction="sum" dataDxfId="94" totalsRowDxfId="24" dataCellStyle="Količine" totalsRowCellStyle="Količine">
      <calculatedColumnFormula>Zavarovanje[Predvideno
Cena]-Zavarovanje[Dejansko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Hrana" displayName="Hrana" ref="B37:E41" totalsRowCount="1" headerRowDxfId="147" dataDxfId="146" totalsRowDxfId="145">
  <autoFilter ref="B37:E40" xr:uid="{00000000-0009-0000-0100-000004000000}"/>
  <tableColumns count="4">
    <tableColumn id="1" xr3:uid="{00000000-0010-0000-0300-000001000000}" name="Hrana" totalsRowLabel="Vsota" dataDxfId="144" totalsRowDxfId="31"/>
    <tableColumn id="2" xr3:uid="{00000000-0010-0000-0300-000002000000}" name="Predvideno_x000a_Cena" totalsRowFunction="sum" dataDxfId="93" totalsRowDxfId="30" dataCellStyle="Količine" totalsRowCellStyle="Količine"/>
    <tableColumn id="3" xr3:uid="{00000000-0010-0000-0300-000003000000}" name="Dejansko_x000a_Cena" totalsRowFunction="sum" dataDxfId="92" totalsRowDxfId="29" dataCellStyle="Količine" totalsRowCellStyle="Količine"/>
    <tableColumn id="4" xr3:uid="{00000000-0010-0000-0300-000004000000}" name="Razlika" totalsRowFunction="sum" dataDxfId="91" totalsRowDxfId="28" dataCellStyle="Količine" totalsRowCellStyle="Količine">
      <calculatedColumnFormula>Hrana[Predvideno
Cena]-Hrana[Dejansko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Otroci" displayName="Otroci" ref="B43:E53" totalsRowCount="1" headerRowDxfId="143" dataDxfId="142" totalsRowDxfId="141">
  <autoFilter ref="B43:E52" xr:uid="{00000000-0009-0000-0100-000005000000}"/>
  <tableColumns count="4">
    <tableColumn id="1" xr3:uid="{00000000-0010-0000-0400-000001000000}" name="Otroci" totalsRowLabel="Vsota" dataDxfId="140" totalsRowDxfId="19"/>
    <tableColumn id="2" xr3:uid="{00000000-0010-0000-0400-000002000000}" name="Predvideno_x000a_Cena" totalsRowFunction="sum" dataDxfId="90" totalsRowDxfId="18" dataCellStyle="Količine" totalsRowCellStyle="Količine"/>
    <tableColumn id="3" xr3:uid="{00000000-0010-0000-0400-000003000000}" name="Dejansko_x000a_Cena" totalsRowFunction="sum" dataDxfId="89" totalsRowDxfId="17" dataCellStyle="Količine" totalsRowCellStyle="Količine"/>
    <tableColumn id="4" xr3:uid="{00000000-0010-0000-0400-000004000000}" name="Razlika" totalsRowFunction="sum" dataDxfId="88" totalsRowDxfId="16" dataCellStyle="Količine" totalsRowCellStyle="Količine">
      <calculatedColumnFormula>Otroci[Predvideno
Cena]-Otroci[Dejansko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išni_ljubljenčki" displayName="Hišni_ljubljenčki" ref="G55:J61" totalsRowCount="1" headerRowDxfId="139" dataDxfId="138" totalsRowDxfId="137">
  <autoFilter ref="G55:J60" xr:uid="{00000000-0009-0000-0100-000006000000}"/>
  <tableColumns count="4">
    <tableColumn id="1" xr3:uid="{00000000-0010-0000-0500-000001000000}" name="Hišni_ljubljenčki" totalsRowLabel="Vsota" dataDxfId="136" totalsRowDxfId="11"/>
    <tableColumn id="2" xr3:uid="{00000000-0010-0000-0500-000002000000}" name="Predvideno_x000a_Cena" totalsRowFunction="sum" dataDxfId="87" totalsRowDxfId="10" dataCellStyle="Količine" totalsRowCellStyle="Količine"/>
    <tableColumn id="3" xr3:uid="{00000000-0010-0000-0500-000003000000}" name="Dejansko_x000a_Cena" totalsRowFunction="sum" dataDxfId="86" totalsRowDxfId="9" dataCellStyle="Količine" totalsRowCellStyle="Količine"/>
    <tableColumn id="4" xr3:uid="{00000000-0010-0000-0500-000004000000}" name="Razlika" totalsRowFunction="sum" dataDxfId="85" totalsRowDxfId="8" dataCellStyle="Količine" totalsRowCellStyle="Količine">
      <calculatedColumnFormula>Hišni_ljubljenčki[Predvideno
Cena]-Hišni_ljubljenčki[Dejansko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Osebna_nega" displayName="Osebna_nega" ref="G45:J53" totalsRowCount="1" headerRowDxfId="135" dataDxfId="134" totalsRowDxfId="133">
  <autoFilter ref="G45:J52" xr:uid="{00000000-0009-0000-0100-000007000000}"/>
  <tableColumns count="4">
    <tableColumn id="1" xr3:uid="{00000000-0010-0000-0600-000001000000}" name="Osebna nega" totalsRowLabel="Vsota" dataDxfId="132" totalsRowDxfId="23"/>
    <tableColumn id="2" xr3:uid="{00000000-0010-0000-0600-000002000000}" name="Predvideno_x000a_Cena" totalsRowFunction="sum" dataDxfId="84" totalsRowDxfId="22" dataCellStyle="Količine" totalsRowCellStyle="Količine"/>
    <tableColumn id="3" xr3:uid="{00000000-0010-0000-0600-000003000000}" name="Dejansko_x000a_Cena" totalsRowFunction="sum" dataDxfId="83" totalsRowDxfId="21" dataCellStyle="Količine" totalsRowCellStyle="Količine"/>
    <tableColumn id="4" xr3:uid="{00000000-0010-0000-0600-000004000000}" name="Razlika" totalsRowFunction="sum" dataDxfId="82" totalsRowDxfId="20" dataCellStyle="Količine" totalsRowCellStyle="Količine">
      <calculatedColumnFormula>Osebna_nega[Predvideno
Cena]-Osebna_nega[Dejansko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azvedrilo" displayName="Razvedrilo" ref="G28:J36" totalsRowCount="1" headerRowDxfId="131" dataDxfId="130" totalsRowDxfId="129">
  <autoFilter ref="G28:J35" xr:uid="{00000000-0009-0000-0100-000008000000}"/>
  <tableColumns count="4">
    <tableColumn id="1" xr3:uid="{00000000-0010-0000-0700-000001000000}" name="Zabava" totalsRowLabel="Vsota" dataDxfId="128" totalsRowDxfId="35"/>
    <tableColumn id="2" xr3:uid="{00000000-0010-0000-0700-000002000000}" name="Predvideno_x000a_Cena" totalsRowFunction="sum" dataDxfId="81" totalsRowDxfId="34" dataCellStyle="Količine" totalsRowCellStyle="Količine"/>
    <tableColumn id="3" xr3:uid="{00000000-0010-0000-0700-000003000000}" name="Dejansko_x000a_Cena" totalsRowFunction="sum" dataDxfId="80" totalsRowDxfId="33" dataCellStyle="Količine" totalsRowCellStyle="Količine"/>
    <tableColumn id="4" xr3:uid="{00000000-0010-0000-0700-000004000000}" name="Razlika" totalsRowFunction="sum" dataDxfId="79" totalsRowDxfId="32" dataCellStyle="Količine" totalsRowCellStyle="Količine">
      <calculatedColumnFormula>Razvedrilo[Predvideno
Cena]-Razvedrilo[Dejansko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osojila" displayName="Posojila" ref="G19:J26" totalsRowCount="1" headerRowDxfId="127" dataDxfId="126" totalsRowDxfId="125">
  <autoFilter ref="G19:J25" xr:uid="{00000000-0009-0000-0100-000009000000}"/>
  <tableColumns count="4">
    <tableColumn id="1" xr3:uid="{00000000-0010-0000-0800-000001000000}" name="Posojila" totalsRowLabel="Vsota" dataDxfId="124" totalsRowDxfId="43"/>
    <tableColumn id="2" xr3:uid="{00000000-0010-0000-0800-000002000000}" name="Predvideno_x000a_Cena" totalsRowFunction="sum" dataDxfId="78" totalsRowDxfId="42" dataCellStyle="Količine" totalsRowCellStyle="Količine"/>
    <tableColumn id="3" xr3:uid="{00000000-0010-0000-0800-000003000000}" name="Dejansko_x000a_Cena" totalsRowFunction="sum" dataDxfId="77" totalsRowDxfId="41" dataCellStyle="Količine" totalsRowCellStyle="Količine"/>
    <tableColumn id="4" xr3:uid="{00000000-0010-0000-0800-000004000000}" name="Razlika" totalsRowFunction="sum" dataDxfId="76" totalsRowDxfId="40" dataCellStyle="Količine" totalsRowCellStyle="Količine">
      <calculatedColumnFormula>Posojila[Predvideno
Cena]-Posojila[Dejansko
Cena]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Vzorčna kategorija stroškov in vzorčni stroški, povezani z vzorčno kategorijo, so v tej tabeli. Vnesite predvidene in dejanske stroške. Razlika se izračuna samodejno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.625" customWidth="1"/>
    <col min="3" max="3" width="20" customWidth="1"/>
    <col min="4" max="4" width="18.625" customWidth="1"/>
    <col min="5" max="5" width="22" customWidth="1"/>
    <col min="6" max="6" width="3.875" customWidth="1"/>
    <col min="7" max="7" width="32.25" customWidth="1"/>
    <col min="8" max="8" width="20" customWidth="1"/>
    <col min="9" max="9" width="18.625" style="24" customWidth="1"/>
    <col min="10" max="10" width="22" customWidth="1"/>
    <col min="11" max="11" width="2.625" customWidth="1"/>
  </cols>
  <sheetData>
    <row r="1" spans="2:10" s="10" customFormat="1" ht="39.950000000000003" customHeight="1" x14ac:dyDescent="0.3">
      <c r="B1" s="26" t="s">
        <v>0</v>
      </c>
      <c r="C1" s="26"/>
      <c r="D1" s="26"/>
      <c r="E1" s="26"/>
      <c r="F1" s="26"/>
      <c r="G1" s="26"/>
      <c r="H1" s="26"/>
      <c r="I1" s="22"/>
      <c r="J1" s="9"/>
    </row>
    <row r="2" spans="2:10" ht="30" customHeight="1" x14ac:dyDescent="0.3">
      <c r="B2" s="35" t="s">
        <v>1</v>
      </c>
      <c r="C2" s="34" t="s">
        <v>85</v>
      </c>
      <c r="D2" s="34" t="s">
        <v>86</v>
      </c>
      <c r="E2" s="34" t="s">
        <v>87</v>
      </c>
      <c r="F2" s="12"/>
      <c r="G2" s="27" t="s">
        <v>48</v>
      </c>
      <c r="H2" s="16" t="s">
        <v>82</v>
      </c>
      <c r="I2" s="36"/>
      <c r="J2" s="5"/>
    </row>
    <row r="3" spans="2:10" ht="30" customHeight="1" x14ac:dyDescent="0.3">
      <c r="B3" s="51"/>
      <c r="C3" s="51">
        <f>Stanovanje[[#Totals],[Predvideno
Cena]]+Prevoz[[#Totals],[Predvideno
Cena]]+Zavarovanje[[#Totals],[Predvideno
Cena]]+Hrana[[#Totals],[Predvideno
Cena]]+Otroci[[#Totals],[Predvideno
Cena]]+Pravne_informacije[[#Totals],[Predvideno
Cena]]+Prihranki[[#Totals],[Predvideno
Cena]]+Posojila[[#Totals],[Predvideno
Cena]]+Razvedrilo[[#Totals],[Predvideno
Cena]]+Davki[[#Totals],[Predvideno 
Cena]]+Osebna_nega[[#Totals],[Predvideno
Cena]]+Hišni_ljubljenčki[[#Totals],[Predvideno
Cena]]+Darila[[#Totals],[Predvideno
Cena]]</f>
        <v>1203</v>
      </c>
      <c r="D3" s="51">
        <f>Stanovanje[[#Totals],[Dejansko
Cena]]+Prevoz[[#Totals],[Dejansko
Cena]]+Zavarovanje[[#Totals],[Dejansko
Cena]]+Hrana[[#Totals],[Dejansko
Cena]]+Otroci[[#Totals],[Dejansko
Cena]]+Pravne_informacije[[#Totals],[Dejansko
Cena]]+Prihranki[[#Totals],[Dejansko
Cena]]+Posojila[[#Totals],[Dejansko
Cena]]+Razvedrilo[[#Totals],[Dejansko
Cena]]+Davki[[#Totals],[Dejansko 
Cena]]+Osebna_nega[[#Totals],[Dejansko
Cena]]+Hišni_ljubljenčki[[#Totals],[Dejansko
Cena]]+Darila[[#Totals],[Dejansko
Cena]]</f>
        <v>1317</v>
      </c>
      <c r="E3" s="51">
        <f>Stanovanje[[#Totals],[Razlika]]+Prevoz[[#Totals],[Razlika]]+Zavarovanje[[#Totals],[Razlika]]+Hrana[[#Totals],[Razlika]]+Otroci[[#Totals],[Razlika]]+Pravne_informacije[[#Totals],[Razlika]]+Prihranki[[#Totals],[Razlika]]+Posojila[[#Totals],[Razlika]]+Razvedrilo[[#Totals],[Razlika]]+Davki[[#Totals],[Razlika]]+Osebna_nega[[#Totals],[Razlika]]+Hišni_ljubljenčki[[#Totals],[Razlika]]+Darila[[#Totals],[Razlika]]</f>
        <v>-114</v>
      </c>
      <c r="F3" s="5"/>
      <c r="G3" s="52" t="s">
        <v>49</v>
      </c>
      <c r="H3" s="39">
        <v>4000</v>
      </c>
      <c r="I3" s="36"/>
      <c r="J3" s="5"/>
    </row>
    <row r="4" spans="2:10" ht="30" customHeight="1" x14ac:dyDescent="0.3">
      <c r="B4" s="33"/>
      <c r="C4" s="33"/>
      <c r="D4" s="33"/>
      <c r="E4" s="33"/>
      <c r="F4" s="11"/>
      <c r="G4" s="52" t="s">
        <v>50</v>
      </c>
      <c r="H4" s="39">
        <v>1200</v>
      </c>
      <c r="I4" s="37"/>
      <c r="J4" s="2"/>
    </row>
    <row r="5" spans="2:10" ht="30" customHeight="1" x14ac:dyDescent="0.3">
      <c r="B5" s="15" t="s">
        <v>2</v>
      </c>
      <c r="C5" s="17" t="s">
        <v>45</v>
      </c>
      <c r="D5" s="17" t="s">
        <v>46</v>
      </c>
      <c r="E5" s="17" t="s">
        <v>47</v>
      </c>
      <c r="F5" s="11"/>
      <c r="G5" s="52" t="s">
        <v>51</v>
      </c>
      <c r="H5" s="39">
        <v>300</v>
      </c>
      <c r="I5" s="37"/>
      <c r="J5" s="2"/>
    </row>
    <row r="6" spans="2:10" ht="30" customHeight="1" x14ac:dyDescent="0.3">
      <c r="B6" s="13" t="s">
        <v>3</v>
      </c>
      <c r="C6" s="45">
        <v>1000</v>
      </c>
      <c r="D6" s="45">
        <v>1000</v>
      </c>
      <c r="E6" s="46">
        <f>Stanovanje[Predvideno
Cena]-Stanovanje[Dejansko
Cena]</f>
        <v>0</v>
      </c>
      <c r="F6" s="11"/>
      <c r="G6" s="53" t="s">
        <v>52</v>
      </c>
      <c r="H6" s="40">
        <f>SUM(H3:H5)</f>
        <v>5500</v>
      </c>
      <c r="I6" s="37"/>
      <c r="J6" s="2"/>
    </row>
    <row r="7" spans="2:10" ht="30" customHeight="1" x14ac:dyDescent="0.3">
      <c r="B7" s="13" t="s">
        <v>4</v>
      </c>
      <c r="C7" s="45">
        <v>0</v>
      </c>
      <c r="D7" s="45">
        <v>0</v>
      </c>
      <c r="E7" s="46">
        <f>Stanovanje[Predvideno
Cena]-Stanovanje[Dejansko
Cena]</f>
        <v>0</v>
      </c>
      <c r="F7" s="2"/>
      <c r="I7" s="23"/>
      <c r="J7" s="4"/>
    </row>
    <row r="8" spans="2:10" ht="30" customHeight="1" x14ac:dyDescent="0.3">
      <c r="B8" s="13" t="s">
        <v>5</v>
      </c>
      <c r="C8" s="45">
        <v>62</v>
      </c>
      <c r="D8" s="45">
        <v>100</v>
      </c>
      <c r="E8" s="46">
        <f>Stanovanje[Predvideno
Cena]-Stanovanje[Dejansko
Cena]</f>
        <v>-38</v>
      </c>
      <c r="F8" s="2"/>
      <c r="G8" s="16" t="s">
        <v>53</v>
      </c>
      <c r="H8" s="16" t="s">
        <v>82</v>
      </c>
      <c r="I8" s="37"/>
      <c r="J8" s="2"/>
    </row>
    <row r="9" spans="2:10" ht="30" customHeight="1" x14ac:dyDescent="0.3">
      <c r="B9" s="13" t="s">
        <v>6</v>
      </c>
      <c r="C9" s="45">
        <v>44</v>
      </c>
      <c r="D9" s="45">
        <v>125</v>
      </c>
      <c r="E9" s="46">
        <f>Stanovanje[Predvideno
Cena]-Stanovanje[Dejansko
Cena]</f>
        <v>-81</v>
      </c>
      <c r="F9" s="11"/>
      <c r="G9" s="52" t="s">
        <v>49</v>
      </c>
      <c r="H9" s="41">
        <v>4000</v>
      </c>
      <c r="I9" s="37"/>
      <c r="J9" s="2"/>
    </row>
    <row r="10" spans="2:10" ht="30" customHeight="1" x14ac:dyDescent="0.3">
      <c r="B10" s="13" t="s">
        <v>7</v>
      </c>
      <c r="C10" s="45">
        <v>22</v>
      </c>
      <c r="D10" s="45">
        <v>35</v>
      </c>
      <c r="E10" s="46">
        <f>Stanovanje[Predvideno
Cena]-Stanovanje[Dejansko
Cena]</f>
        <v>-13</v>
      </c>
      <c r="F10" s="11"/>
      <c r="G10" s="52" t="s">
        <v>50</v>
      </c>
      <c r="H10" s="41">
        <v>1200</v>
      </c>
      <c r="I10" s="37"/>
      <c r="J10" s="2"/>
    </row>
    <row r="11" spans="2:10" ht="30" customHeight="1" x14ac:dyDescent="0.3">
      <c r="B11" s="13" t="s">
        <v>8</v>
      </c>
      <c r="C11" s="45">
        <v>8</v>
      </c>
      <c r="D11" s="45">
        <v>8</v>
      </c>
      <c r="E11" s="46">
        <f>Stanovanje[Predvideno
Cena]-Stanovanje[Dejansko
Cena]</f>
        <v>0</v>
      </c>
      <c r="F11" s="11"/>
      <c r="G11" s="52" t="s">
        <v>51</v>
      </c>
      <c r="H11" s="41">
        <v>300</v>
      </c>
      <c r="I11" s="37"/>
      <c r="J11" s="2"/>
    </row>
    <row r="12" spans="2:10" ht="30" customHeight="1" x14ac:dyDescent="0.3">
      <c r="B12" s="13" t="s">
        <v>9</v>
      </c>
      <c r="C12" s="45">
        <v>34</v>
      </c>
      <c r="D12" s="45">
        <v>39</v>
      </c>
      <c r="E12" s="46">
        <f>Stanovanje[Predvideno
Cena]-Stanovanje[Dejansko
Cena]</f>
        <v>-5</v>
      </c>
      <c r="F12" s="11"/>
      <c r="G12" s="53" t="s">
        <v>52</v>
      </c>
      <c r="H12" s="40">
        <f>SUM(H9:H11)</f>
        <v>5500</v>
      </c>
      <c r="I12" s="37"/>
      <c r="J12" s="2"/>
    </row>
    <row r="13" spans="2:10" ht="30" customHeight="1" x14ac:dyDescent="0.3">
      <c r="B13" s="13" t="s">
        <v>10</v>
      </c>
      <c r="C13" s="45">
        <v>10</v>
      </c>
      <c r="D13" s="45">
        <v>10</v>
      </c>
      <c r="E13" s="46">
        <f>Stanovanje[Predvideno
Cena]-Stanovanje[Dejansko
Cena]</f>
        <v>0</v>
      </c>
      <c r="F13" s="2"/>
      <c r="G13" s="10"/>
      <c r="H13" s="10"/>
      <c r="I13"/>
      <c r="J13" s="2"/>
    </row>
    <row r="14" spans="2:10" ht="30" customHeight="1" thickBot="1" x14ac:dyDescent="0.35">
      <c r="B14" s="13" t="s">
        <v>11</v>
      </c>
      <c r="C14" s="45">
        <v>23</v>
      </c>
      <c r="D14" s="45">
        <v>0</v>
      </c>
      <c r="E14" s="46">
        <f>Stanovanje[Predvideno
Cena]-Stanovanje[Dejansko
Cena]</f>
        <v>23</v>
      </c>
      <c r="F14" s="2"/>
      <c r="G14" s="29" t="s">
        <v>54</v>
      </c>
      <c r="H14" s="32" t="s">
        <v>82</v>
      </c>
      <c r="I14" s="21"/>
      <c r="J14" s="2"/>
    </row>
    <row r="15" spans="2:10" ht="30" customHeight="1" x14ac:dyDescent="0.3">
      <c r="B15" s="13" t="s">
        <v>12</v>
      </c>
      <c r="C15" s="45">
        <v>0</v>
      </c>
      <c r="D15" s="45">
        <v>0</v>
      </c>
      <c r="E15" s="46">
        <f>Stanovanje[Predvideno
Cena]-Stanovanje[Dejansko
Cena]</f>
        <v>0</v>
      </c>
      <c r="F15" s="2"/>
      <c r="G15" s="30" t="s">
        <v>55</v>
      </c>
      <c r="H15" s="42">
        <f>SUM(H6-'Mesečni družinski proračun'!$C$3:$C$3)</f>
        <v>4297</v>
      </c>
      <c r="I15" s="38"/>
      <c r="J15" s="2"/>
    </row>
    <row r="16" spans="2:10" ht="30" customHeight="1" x14ac:dyDescent="0.3">
      <c r="B16" s="13" t="s">
        <v>13</v>
      </c>
      <c r="C16" s="45">
        <v>0</v>
      </c>
      <c r="D16" s="45">
        <v>0</v>
      </c>
      <c r="E16" s="46">
        <f>Stanovanje[Predvideno
Cena]-Stanovanje[Dejansko
Cena]</f>
        <v>0</v>
      </c>
      <c r="F16" s="2"/>
      <c r="G16" s="28" t="s">
        <v>56</v>
      </c>
      <c r="H16" s="43">
        <f>SUM(H12-D3)</f>
        <v>4183</v>
      </c>
      <c r="I16" s="38"/>
      <c r="J16" s="2"/>
    </row>
    <row r="17" spans="2:10" ht="30" customHeight="1" x14ac:dyDescent="0.3">
      <c r="B17" s="14" t="s">
        <v>88</v>
      </c>
      <c r="C17" s="45">
        <f>SUBTOTAL(109,Stanovanje[Predvideno
Cena])</f>
        <v>1203</v>
      </c>
      <c r="D17" s="45">
        <f>SUBTOTAL(109,Stanovanje[Dejansko
Cena])</f>
        <v>1317</v>
      </c>
      <c r="E17" s="45">
        <f>SUBTOTAL(109,Stanovanje[Razlika])</f>
        <v>-114</v>
      </c>
      <c r="F17" s="2"/>
      <c r="G17" s="28" t="s">
        <v>47</v>
      </c>
      <c r="H17" s="44">
        <f>SUM(H16-H15)</f>
        <v>-114</v>
      </c>
      <c r="I17" s="38"/>
      <c r="J17" s="2"/>
    </row>
    <row r="18" spans="2:10" ht="30" customHeight="1" x14ac:dyDescent="0.3">
      <c r="B18" s="10"/>
      <c r="C18" s="10"/>
      <c r="D18" s="10"/>
      <c r="E18" s="10"/>
      <c r="F18" s="2"/>
      <c r="G18" s="10"/>
      <c r="H18" s="10"/>
    </row>
    <row r="19" spans="2:10" ht="30" customHeight="1" x14ac:dyDescent="0.3">
      <c r="B19" s="19" t="s">
        <v>14</v>
      </c>
      <c r="C19" s="17" t="s">
        <v>45</v>
      </c>
      <c r="D19" s="17" t="s">
        <v>46</v>
      </c>
      <c r="E19" s="17" t="s">
        <v>47</v>
      </c>
      <c r="F19" s="2"/>
      <c r="G19" s="20" t="s">
        <v>57</v>
      </c>
      <c r="H19" s="17" t="s">
        <v>45</v>
      </c>
      <c r="I19" s="25" t="s">
        <v>46</v>
      </c>
      <c r="J19" s="17" t="s">
        <v>47</v>
      </c>
    </row>
    <row r="20" spans="2:10" ht="30" customHeight="1" x14ac:dyDescent="0.3">
      <c r="B20" s="2" t="s">
        <v>15</v>
      </c>
      <c r="C20" s="47"/>
      <c r="D20" s="47"/>
      <c r="E20" s="47">
        <f>Prevoz[Predvideno
Cena]-Prevoz[Dejansko
Cena]</f>
        <v>0</v>
      </c>
      <c r="F20" s="2"/>
      <c r="G20" s="1" t="s">
        <v>58</v>
      </c>
      <c r="H20" s="49"/>
      <c r="I20" s="49"/>
      <c r="J20" s="49">
        <f>Posojila[Predvideno
Cena]-Posojila[Dejansko
Cena]</f>
        <v>0</v>
      </c>
    </row>
    <row r="21" spans="2:10" ht="30" customHeight="1" x14ac:dyDescent="0.3">
      <c r="B21" s="2" t="s">
        <v>16</v>
      </c>
      <c r="C21" s="47"/>
      <c r="D21" s="47"/>
      <c r="E21" s="47">
        <f>Prevoz[Predvideno
Cena]-Prevoz[Dejansko
Cena]</f>
        <v>0</v>
      </c>
      <c r="F21" s="2"/>
      <c r="G21" s="1" t="s">
        <v>59</v>
      </c>
      <c r="H21" s="49"/>
      <c r="I21" s="49"/>
      <c r="J21" s="49">
        <f>Posojila[Predvideno
Cena]-Posojila[Dejansko
Cena]</f>
        <v>0</v>
      </c>
    </row>
    <row r="22" spans="2:10" ht="30" customHeight="1" x14ac:dyDescent="0.3">
      <c r="B22" s="2" t="s">
        <v>17</v>
      </c>
      <c r="C22" s="47"/>
      <c r="D22" s="47"/>
      <c r="E22" s="47">
        <f>Prevoz[Predvideno
Cena]-Prevoz[Dejansko
Cena]</f>
        <v>0</v>
      </c>
      <c r="F22" s="2"/>
      <c r="G22" s="1" t="s">
        <v>60</v>
      </c>
      <c r="H22" s="49"/>
      <c r="I22" s="49"/>
      <c r="J22" s="49">
        <f>Posojila[Predvideno
Cena]-Posojila[Dejansko
Cena]</f>
        <v>0</v>
      </c>
    </row>
    <row r="23" spans="2:10" ht="30" customHeight="1" x14ac:dyDescent="0.3">
      <c r="B23" s="2" t="s">
        <v>18</v>
      </c>
      <c r="C23" s="47"/>
      <c r="D23" s="47"/>
      <c r="E23" s="47">
        <f>Prevoz[Predvideno
Cena]-Prevoz[Dejansko
Cena]</f>
        <v>0</v>
      </c>
      <c r="F23" s="2"/>
      <c r="G23" s="1" t="s">
        <v>60</v>
      </c>
      <c r="H23" s="49"/>
      <c r="I23" s="49"/>
      <c r="J23" s="49">
        <f>Posojila[Predvideno
Cena]-Posojila[Dejansko
Cena]</f>
        <v>0</v>
      </c>
    </row>
    <row r="24" spans="2:10" ht="30" customHeight="1" x14ac:dyDescent="0.3">
      <c r="B24" s="2" t="s">
        <v>19</v>
      </c>
      <c r="C24" s="47"/>
      <c r="D24" s="47"/>
      <c r="E24" s="47">
        <f>Prevoz[Predvideno
Cena]-Prevoz[Dejansko
Cena]</f>
        <v>0</v>
      </c>
      <c r="F24" s="2"/>
      <c r="G24" s="1" t="s">
        <v>60</v>
      </c>
      <c r="H24" s="49"/>
      <c r="I24" s="49"/>
      <c r="J24" s="49">
        <f>Posojila[Predvideno
Cena]-Posojila[Dejansko
Cena]</f>
        <v>0</v>
      </c>
    </row>
    <row r="25" spans="2:10" ht="30" customHeight="1" x14ac:dyDescent="0.3">
      <c r="B25" s="2" t="s">
        <v>20</v>
      </c>
      <c r="C25" s="47"/>
      <c r="D25" s="47"/>
      <c r="E25" s="47">
        <f>Prevoz[Predvideno
Cena]-Prevoz[Dejansko
Cena]</f>
        <v>0</v>
      </c>
      <c r="F25" s="2"/>
      <c r="G25" s="1" t="s">
        <v>13</v>
      </c>
      <c r="H25" s="49"/>
      <c r="I25" s="49"/>
      <c r="J25" s="49">
        <f>Posojila[Predvideno
Cena]-Posojila[Dejansko
Cena]</f>
        <v>0</v>
      </c>
    </row>
    <row r="26" spans="2:10" ht="30" customHeight="1" x14ac:dyDescent="0.3">
      <c r="B26" s="2" t="s">
        <v>21</v>
      </c>
      <c r="C26" s="47"/>
      <c r="D26" s="47"/>
      <c r="E26" s="47">
        <f>Prevoz[Predvideno
Cena]-Prevoz[Dejansko
Cena]</f>
        <v>0</v>
      </c>
      <c r="F26" s="2"/>
      <c r="G26" s="7" t="s">
        <v>88</v>
      </c>
      <c r="H26" s="50">
        <f>SUBTOTAL(109,Posojila[Predvideno
Cena])</f>
        <v>0</v>
      </c>
      <c r="I26" s="50">
        <f>SUBTOTAL(109,Posojila[Dejansko
Cena])</f>
        <v>0</v>
      </c>
      <c r="J26" s="50">
        <f>SUBTOTAL(109,Posojila[Razlika])</f>
        <v>0</v>
      </c>
    </row>
    <row r="27" spans="2:10" ht="30" customHeight="1" x14ac:dyDescent="0.3">
      <c r="B27" s="2" t="s">
        <v>13</v>
      </c>
      <c r="C27" s="47"/>
      <c r="D27" s="47"/>
      <c r="E27" s="47">
        <f>Prevoz[Predvideno
Cena]-Prevoz[Dejansko
Cena]</f>
        <v>0</v>
      </c>
      <c r="F27" s="2"/>
      <c r="G27" s="10"/>
      <c r="H27" s="10"/>
      <c r="I27" s="10"/>
      <c r="J27" s="10"/>
    </row>
    <row r="28" spans="2:10" ht="30" customHeight="1" x14ac:dyDescent="0.3">
      <c r="B28" s="8" t="s">
        <v>88</v>
      </c>
      <c r="C28" s="48">
        <f>SUBTOTAL(109,Prevoz[Predvideno
Cena])</f>
        <v>0</v>
      </c>
      <c r="D28" s="48">
        <f>SUBTOTAL(109,Prevoz[Dejansko
Cena])</f>
        <v>0</v>
      </c>
      <c r="E28" s="48">
        <f>SUBTOTAL(109,Prevoz[Razlika])</f>
        <v>0</v>
      </c>
      <c r="F28" s="2"/>
      <c r="G28" s="31" t="s">
        <v>24</v>
      </c>
      <c r="H28" s="17" t="s">
        <v>45</v>
      </c>
      <c r="I28" s="25" t="s">
        <v>46</v>
      </c>
      <c r="J28" s="17" t="s">
        <v>47</v>
      </c>
    </row>
    <row r="29" spans="2:10" ht="30" customHeight="1" x14ac:dyDescent="0.3">
      <c r="B29" s="10"/>
      <c r="C29" s="10"/>
      <c r="D29" s="10"/>
      <c r="E29" s="10"/>
      <c r="F29" s="2"/>
      <c r="G29" s="2" t="s">
        <v>61</v>
      </c>
      <c r="H29" s="47"/>
      <c r="I29" s="47"/>
      <c r="J29" s="47">
        <f>Razvedrilo[Predvideno
Cena]-Razvedrilo[Dejansko
Cena]</f>
        <v>0</v>
      </c>
    </row>
    <row r="30" spans="2:10" ht="30" customHeight="1" x14ac:dyDescent="0.3">
      <c r="B30" s="18" t="s">
        <v>18</v>
      </c>
      <c r="C30" s="17" t="s">
        <v>45</v>
      </c>
      <c r="D30" s="17" t="s">
        <v>46</v>
      </c>
      <c r="E30" s="17" t="s">
        <v>47</v>
      </c>
      <c r="F30" s="2"/>
      <c r="G30" s="2" t="s">
        <v>62</v>
      </c>
      <c r="H30" s="47"/>
      <c r="I30" s="47"/>
      <c r="J30" s="47">
        <f>Razvedrilo[Predvideno
Cena]-Razvedrilo[Dejansko
Cena]</f>
        <v>0</v>
      </c>
    </row>
    <row r="31" spans="2:10" ht="30" customHeight="1" x14ac:dyDescent="0.3">
      <c r="B31" s="2" t="s">
        <v>22</v>
      </c>
      <c r="C31" s="47"/>
      <c r="D31" s="47"/>
      <c r="E31" s="47">
        <f>Zavarovanje[Predvideno
Cena]-Zavarovanje[Dejansko
Cena]</f>
        <v>0</v>
      </c>
      <c r="F31" s="2"/>
      <c r="G31" s="2" t="s">
        <v>63</v>
      </c>
      <c r="H31" s="47"/>
      <c r="I31" s="47"/>
      <c r="J31" s="47">
        <f>Razvedrilo[Predvideno
Cena]-Razvedrilo[Dejansko
Cena]</f>
        <v>0</v>
      </c>
    </row>
    <row r="32" spans="2:10" ht="30" customHeight="1" x14ac:dyDescent="0.3">
      <c r="B32" s="2" t="s">
        <v>23</v>
      </c>
      <c r="C32" s="47"/>
      <c r="D32" s="47"/>
      <c r="E32" s="47">
        <f>Zavarovanje[Predvideno
Cena]-Zavarovanje[Dejansko
Cena]</f>
        <v>0</v>
      </c>
      <c r="F32" s="2"/>
      <c r="G32" s="2" t="s">
        <v>64</v>
      </c>
      <c r="H32" s="47"/>
      <c r="I32" s="47"/>
      <c r="J32" s="47">
        <f>Razvedrilo[Predvideno
Cena]-Razvedrilo[Dejansko
Cena]</f>
        <v>0</v>
      </c>
    </row>
    <row r="33" spans="2:10" ht="30" customHeight="1" x14ac:dyDescent="0.3">
      <c r="B33" s="2" t="s">
        <v>24</v>
      </c>
      <c r="C33" s="47"/>
      <c r="D33" s="47"/>
      <c r="E33" s="47">
        <f>Zavarovanje[Predvideno
Cena]-Zavarovanje[Dejansko
Cena]</f>
        <v>0</v>
      </c>
      <c r="F33" s="2"/>
      <c r="G33" s="2" t="s">
        <v>65</v>
      </c>
      <c r="H33" s="47"/>
      <c r="I33" s="47"/>
      <c r="J33" s="47">
        <f>Razvedrilo[Predvideno
Cena]-Razvedrilo[Dejansko
Cena]</f>
        <v>0</v>
      </c>
    </row>
    <row r="34" spans="2:10" ht="30" customHeight="1" x14ac:dyDescent="0.3">
      <c r="B34" s="2" t="s">
        <v>13</v>
      </c>
      <c r="C34" s="47"/>
      <c r="D34" s="47"/>
      <c r="E34" s="47">
        <f>Zavarovanje[Predvideno
Cena]-Zavarovanje[Dejansko
Cena]</f>
        <v>0</v>
      </c>
      <c r="F34" s="2"/>
      <c r="G34" s="2" t="s">
        <v>66</v>
      </c>
      <c r="H34" s="47"/>
      <c r="I34" s="47"/>
      <c r="J34" s="47">
        <f>Razvedrilo[Predvideno
Cena]-Razvedrilo[Dejansko
Cena]</f>
        <v>0</v>
      </c>
    </row>
    <row r="35" spans="2:10" ht="30" customHeight="1" x14ac:dyDescent="0.3">
      <c r="B35" s="8" t="s">
        <v>88</v>
      </c>
      <c r="C35" s="48">
        <f>SUBTOTAL(109,Zavarovanje[Predvideno
Cena])</f>
        <v>0</v>
      </c>
      <c r="D35" s="48">
        <f>SUBTOTAL(109,Zavarovanje[Dejansko
Cena])</f>
        <v>0</v>
      </c>
      <c r="E35" s="48">
        <f>SUBTOTAL(109,Zavarovanje[Razlika])</f>
        <v>0</v>
      </c>
      <c r="F35" s="2"/>
      <c r="G35" s="2" t="s">
        <v>13</v>
      </c>
      <c r="H35" s="47"/>
      <c r="I35" s="47"/>
      <c r="J35" s="47">
        <f>Razvedrilo[Predvideno
Cena]-Razvedrilo[Dejansko
Cena]</f>
        <v>0</v>
      </c>
    </row>
    <row r="36" spans="2:10" ht="30" customHeight="1" x14ac:dyDescent="0.3">
      <c r="B36" s="10"/>
      <c r="C36" s="10"/>
      <c r="D36" s="10"/>
      <c r="E36" s="10"/>
      <c r="F36" s="2"/>
      <c r="G36" s="8" t="s">
        <v>88</v>
      </c>
      <c r="H36" s="48">
        <f>SUBTOTAL(109,Razvedrilo[Predvideno
Cena])</f>
        <v>0</v>
      </c>
      <c r="I36" s="48">
        <f>SUBTOTAL(109,Razvedrilo[Dejansko
Cena])</f>
        <v>0</v>
      </c>
      <c r="J36" s="48">
        <f>SUBTOTAL(109,Razvedrilo[Razlika])</f>
        <v>0</v>
      </c>
    </row>
    <row r="37" spans="2:10" ht="30" customHeight="1" x14ac:dyDescent="0.3">
      <c r="B37" s="18" t="s">
        <v>25</v>
      </c>
      <c r="C37" s="17" t="s">
        <v>45</v>
      </c>
      <c r="D37" s="17" t="s">
        <v>46</v>
      </c>
      <c r="E37" s="17" t="s">
        <v>47</v>
      </c>
      <c r="F37" s="2"/>
      <c r="G37" s="10"/>
      <c r="H37" s="10"/>
      <c r="I37" s="10"/>
      <c r="J37" s="10"/>
    </row>
    <row r="38" spans="2:10" ht="30" customHeight="1" x14ac:dyDescent="0.3">
      <c r="B38" s="2" t="s">
        <v>26</v>
      </c>
      <c r="C38" s="47"/>
      <c r="D38" s="47"/>
      <c r="E38" s="47">
        <f>Hrana[Predvideno
Cena]-Hrana[Dejansko
Cena]</f>
        <v>0</v>
      </c>
      <c r="F38" s="2"/>
      <c r="G38" s="20" t="s">
        <v>67</v>
      </c>
      <c r="H38" s="17" t="s">
        <v>83</v>
      </c>
      <c r="I38" s="25" t="s">
        <v>84</v>
      </c>
      <c r="J38" s="17" t="s">
        <v>47</v>
      </c>
    </row>
    <row r="39" spans="2:10" ht="30" customHeight="1" x14ac:dyDescent="0.3">
      <c r="B39" s="2" t="s">
        <v>27</v>
      </c>
      <c r="C39" s="47"/>
      <c r="D39" s="47"/>
      <c r="E39" s="47">
        <f>Hrana[Predvideno
Cena]-Hrana[Dejansko
Cena]</f>
        <v>0</v>
      </c>
      <c r="F39" s="2"/>
      <c r="G39" s="2" t="s">
        <v>68</v>
      </c>
      <c r="H39" s="47"/>
      <c r="I39" s="47"/>
      <c r="J39" s="47">
        <f>Davki[Predvideno 
Cena]-Davki[Dejansko 
Cena]</f>
        <v>0</v>
      </c>
    </row>
    <row r="40" spans="2:10" ht="30" customHeight="1" x14ac:dyDescent="0.3">
      <c r="B40" s="2" t="s">
        <v>13</v>
      </c>
      <c r="C40" s="47"/>
      <c r="D40" s="47"/>
      <c r="E40" s="47">
        <f>Hrana[Predvideno
Cena]-Hrana[Dejansko
Cena]</f>
        <v>0</v>
      </c>
      <c r="F40" s="2"/>
      <c r="G40" s="2" t="s">
        <v>69</v>
      </c>
      <c r="H40" s="47"/>
      <c r="I40" s="47"/>
      <c r="J40" s="47">
        <f>Davki[Predvideno 
Cena]-Davki[Dejansko 
Cena]</f>
        <v>0</v>
      </c>
    </row>
    <row r="41" spans="2:10" ht="30" customHeight="1" x14ac:dyDescent="0.3">
      <c r="B41" s="8" t="s">
        <v>88</v>
      </c>
      <c r="C41" s="48">
        <f>SUBTOTAL(109,Hrana[Predvideno
Cena])</f>
        <v>0</v>
      </c>
      <c r="D41" s="48">
        <f>SUBTOTAL(109,Hrana[Dejansko
Cena])</f>
        <v>0</v>
      </c>
      <c r="E41" s="48">
        <f>SUBTOTAL(109,Hrana[Razlika])</f>
        <v>0</v>
      </c>
      <c r="F41" s="2"/>
      <c r="G41" s="2" t="s">
        <v>70</v>
      </c>
      <c r="H41" s="47"/>
      <c r="I41" s="47"/>
      <c r="J41" s="47">
        <f>Davki[Predvideno 
Cena]-Davki[Dejansko 
Cena]</f>
        <v>0</v>
      </c>
    </row>
    <row r="42" spans="2:10" ht="30" customHeight="1" x14ac:dyDescent="0.3">
      <c r="B42" s="10"/>
      <c r="C42" s="10"/>
      <c r="D42" s="10"/>
      <c r="E42" s="10"/>
      <c r="F42" s="2"/>
      <c r="G42" s="2" t="s">
        <v>13</v>
      </c>
      <c r="H42" s="47"/>
      <c r="I42" s="47"/>
      <c r="J42" s="47">
        <f>Davki[Predvideno 
Cena]-Davki[Dejansko 
Cena]</f>
        <v>0</v>
      </c>
    </row>
    <row r="43" spans="2:10" ht="30" customHeight="1" x14ac:dyDescent="0.3">
      <c r="B43" s="18" t="s">
        <v>28</v>
      </c>
      <c r="C43" s="17" t="s">
        <v>45</v>
      </c>
      <c r="D43" s="17" t="s">
        <v>46</v>
      </c>
      <c r="E43" s="17" t="s">
        <v>47</v>
      </c>
      <c r="F43" s="2"/>
      <c r="G43" s="8" t="s">
        <v>88</v>
      </c>
      <c r="H43" s="48">
        <f>SUBTOTAL(109,Davki[Predvideno 
Cena])</f>
        <v>0</v>
      </c>
      <c r="I43" s="48">
        <f>SUBTOTAL(109,Davki[Dejansko 
Cena])</f>
        <v>0</v>
      </c>
      <c r="J43" s="48">
        <f>SUBTOTAL(109,Davki[Razlika])</f>
        <v>0</v>
      </c>
    </row>
    <row r="44" spans="2:10" ht="30" customHeight="1" x14ac:dyDescent="0.3">
      <c r="B44" s="6" t="s">
        <v>29</v>
      </c>
      <c r="C44" s="47"/>
      <c r="D44" s="47"/>
      <c r="E44" s="47">
        <f>Otroci[Predvideno
Cena]-Otroci[Dejansko
Cena]</f>
        <v>0</v>
      </c>
      <c r="F44" s="2"/>
      <c r="G44" s="10"/>
      <c r="H44" s="10"/>
      <c r="I44" s="10"/>
      <c r="J44" s="10"/>
    </row>
    <row r="45" spans="2:10" ht="30" customHeight="1" x14ac:dyDescent="0.3">
      <c r="B45" s="6" t="s">
        <v>30</v>
      </c>
      <c r="C45" s="47"/>
      <c r="D45" s="47"/>
      <c r="E45" s="47">
        <f>Otroci[Predvideno
Cena]-Otroci[Dejansko
Cena]</f>
        <v>0</v>
      </c>
      <c r="F45" s="2"/>
      <c r="G45" s="18" t="s">
        <v>71</v>
      </c>
      <c r="H45" s="17" t="s">
        <v>45</v>
      </c>
      <c r="I45" s="25" t="s">
        <v>46</v>
      </c>
      <c r="J45" s="17" t="s">
        <v>47</v>
      </c>
    </row>
    <row r="46" spans="2:10" ht="30" customHeight="1" x14ac:dyDescent="0.3">
      <c r="B46" s="6" t="s">
        <v>31</v>
      </c>
      <c r="C46" s="47"/>
      <c r="D46" s="47"/>
      <c r="E46" s="47">
        <f>Otroci[Predvideno
Cena]-Otroci[Dejansko
Cena]</f>
        <v>0</v>
      </c>
      <c r="F46" s="2"/>
      <c r="G46" s="1" t="s">
        <v>29</v>
      </c>
      <c r="H46" s="49"/>
      <c r="I46" s="49"/>
      <c r="J46" s="49">
        <f>Osebna_nega[Predvideno
Cena]-Osebna_nega[Dejansko
Cena]</f>
        <v>0</v>
      </c>
    </row>
    <row r="47" spans="2:10" ht="30" customHeight="1" x14ac:dyDescent="0.3">
      <c r="B47" s="6" t="s">
        <v>32</v>
      </c>
      <c r="C47" s="47"/>
      <c r="D47" s="47"/>
      <c r="E47" s="47">
        <f>Otroci[Predvideno
Cena]-Otroci[Dejansko
Cena]</f>
        <v>0</v>
      </c>
      <c r="F47" s="2"/>
      <c r="G47" s="1" t="s">
        <v>72</v>
      </c>
      <c r="H47" s="49"/>
      <c r="I47" s="49"/>
      <c r="J47" s="49">
        <f>Osebna_nega[Predvideno
Cena]-Osebna_nega[Dejansko
Cena]</f>
        <v>0</v>
      </c>
    </row>
    <row r="48" spans="2:10" ht="30" customHeight="1" x14ac:dyDescent="0.3">
      <c r="B48" s="6" t="s">
        <v>33</v>
      </c>
      <c r="C48" s="47"/>
      <c r="D48" s="47"/>
      <c r="E48" s="47">
        <f>Otroci[Predvideno
Cena]-Otroci[Dejansko
Cena]</f>
        <v>0</v>
      </c>
      <c r="F48" s="2"/>
      <c r="G48" s="1" t="s">
        <v>30</v>
      </c>
      <c r="H48" s="49"/>
      <c r="I48" s="49"/>
      <c r="J48" s="49">
        <f>Osebna_nega[Predvideno
Cena]-Osebna_nega[Dejansko
Cena]</f>
        <v>0</v>
      </c>
    </row>
    <row r="49" spans="2:10" ht="30" customHeight="1" x14ac:dyDescent="0.3">
      <c r="B49" s="6" t="s">
        <v>34</v>
      </c>
      <c r="C49" s="47"/>
      <c r="D49" s="47"/>
      <c r="E49" s="47">
        <f>Otroci[Predvideno
Cena]-Otroci[Dejansko
Cena]</f>
        <v>0</v>
      </c>
      <c r="F49" s="2"/>
      <c r="G49" s="1" t="s">
        <v>73</v>
      </c>
      <c r="H49" s="49"/>
      <c r="I49" s="49"/>
      <c r="J49" s="49">
        <f>Osebna_nega[Predvideno
Cena]-Osebna_nega[Dejansko
Cena]</f>
        <v>0</v>
      </c>
    </row>
    <row r="50" spans="2:10" ht="30" customHeight="1" x14ac:dyDescent="0.3">
      <c r="B50" s="6" t="s">
        <v>35</v>
      </c>
      <c r="C50" s="47"/>
      <c r="D50" s="47"/>
      <c r="E50" s="47">
        <f>Otroci[Predvideno
Cena]-Otroci[Dejansko
Cena]</f>
        <v>0</v>
      </c>
      <c r="F50" s="2"/>
      <c r="G50" s="1" t="s">
        <v>74</v>
      </c>
      <c r="H50" s="49"/>
      <c r="I50" s="49"/>
      <c r="J50" s="49">
        <f>Osebna_nega[Predvideno
Cena]-Osebna_nega[Dejansko
Cena]</f>
        <v>0</v>
      </c>
    </row>
    <row r="51" spans="2:10" ht="30" customHeight="1" x14ac:dyDescent="0.3">
      <c r="B51" s="6" t="s">
        <v>36</v>
      </c>
      <c r="C51" s="47"/>
      <c r="D51" s="47"/>
      <c r="E51" s="47">
        <f>Otroci[Predvideno
Cena]-Otroci[Dejansko
Cena]</f>
        <v>0</v>
      </c>
      <c r="F51" s="2"/>
      <c r="G51" s="1" t="s">
        <v>33</v>
      </c>
      <c r="H51" s="49"/>
      <c r="I51" s="49"/>
      <c r="J51" s="49">
        <f>Osebna_nega[Predvideno
Cena]-Osebna_nega[Dejansko
Cena]</f>
        <v>0</v>
      </c>
    </row>
    <row r="52" spans="2:10" ht="30" customHeight="1" x14ac:dyDescent="0.3">
      <c r="B52" s="6" t="s">
        <v>13</v>
      </c>
      <c r="C52" s="47"/>
      <c r="D52" s="47"/>
      <c r="E52" s="47">
        <f>Otroci[Predvideno
Cena]-Otroci[Dejansko
Cena]</f>
        <v>0</v>
      </c>
      <c r="F52" s="2"/>
      <c r="G52" s="1" t="s">
        <v>13</v>
      </c>
      <c r="H52" s="49"/>
      <c r="I52" s="49"/>
      <c r="J52" s="49">
        <f>Osebna_nega[Predvideno
Cena]-Osebna_nega[Dejansko
Cena]</f>
        <v>0</v>
      </c>
    </row>
    <row r="53" spans="2:10" ht="30" customHeight="1" x14ac:dyDescent="0.3">
      <c r="B53" s="8" t="s">
        <v>88</v>
      </c>
      <c r="C53" s="48">
        <f>SUBTOTAL(109,Otroci[Predvideno
Cena])</f>
        <v>0</v>
      </c>
      <c r="D53" s="48">
        <f>SUBTOTAL(109,Otroci[Dejansko
Cena])</f>
        <v>0</v>
      </c>
      <c r="E53" s="48">
        <f>SUBTOTAL(109,Otroci[Razlika])</f>
        <v>0</v>
      </c>
      <c r="F53" s="2"/>
      <c r="G53" s="7" t="s">
        <v>88</v>
      </c>
      <c r="H53" s="50">
        <f>SUBTOTAL(109,Osebna_nega[Predvideno
Cena])</f>
        <v>0</v>
      </c>
      <c r="I53" s="50">
        <f>SUBTOTAL(109,Osebna_nega[Dejansko
Cena])</f>
        <v>0</v>
      </c>
      <c r="J53" s="50">
        <f>SUBTOTAL(109,Osebna_nega[Razlika])</f>
        <v>0</v>
      </c>
    </row>
    <row r="54" spans="2:10" ht="30" customHeight="1" x14ac:dyDescent="0.3">
      <c r="B54" s="10"/>
      <c r="C54" s="10"/>
      <c r="D54" s="10"/>
      <c r="E54" s="10"/>
      <c r="F54" s="2"/>
      <c r="G54" s="10"/>
      <c r="H54" s="10"/>
      <c r="I54" s="10"/>
      <c r="J54" s="10"/>
    </row>
    <row r="55" spans="2:10" ht="30" customHeight="1" x14ac:dyDescent="0.3">
      <c r="B55" s="20" t="s">
        <v>37</v>
      </c>
      <c r="C55" s="17" t="s">
        <v>45</v>
      </c>
      <c r="D55" s="17" t="s">
        <v>46</v>
      </c>
      <c r="E55" s="17" t="s">
        <v>47</v>
      </c>
      <c r="F55" s="2"/>
      <c r="G55" s="18" t="s">
        <v>75</v>
      </c>
      <c r="H55" s="17" t="s">
        <v>45</v>
      </c>
      <c r="I55" s="25" t="s">
        <v>46</v>
      </c>
      <c r="J55" s="17" t="s">
        <v>47</v>
      </c>
    </row>
    <row r="56" spans="2:10" ht="30" customHeight="1" x14ac:dyDescent="0.3">
      <c r="B56" s="1" t="s">
        <v>38</v>
      </c>
      <c r="C56" s="49"/>
      <c r="D56" s="49"/>
      <c r="E56" s="49">
        <f>Pravne_informacije[Predvideno
Cena]-Pravne_informacije[Dejansko
Cena]</f>
        <v>0</v>
      </c>
      <c r="F56" s="2"/>
      <c r="G56" s="1" t="s">
        <v>25</v>
      </c>
      <c r="H56" s="49"/>
      <c r="I56" s="49"/>
      <c r="J56" s="49">
        <f>Hišni_ljubljenčki[Predvideno
Cena]-Hišni_ljubljenčki[Dejansko
Cena]</f>
        <v>0</v>
      </c>
    </row>
    <row r="57" spans="2:10" ht="30" customHeight="1" x14ac:dyDescent="0.3">
      <c r="B57" s="1" t="s">
        <v>39</v>
      </c>
      <c r="C57" s="49"/>
      <c r="D57" s="49"/>
      <c r="E57" s="49">
        <f>Pravne_informacije[Predvideno
Cena]-Pravne_informacije[Dejansko
Cena]</f>
        <v>0</v>
      </c>
      <c r="F57" s="2"/>
      <c r="G57" s="1" t="s">
        <v>29</v>
      </c>
      <c r="H57" s="49"/>
      <c r="I57" s="49"/>
      <c r="J57" s="49">
        <f>Hišni_ljubljenčki[Predvideno
Cena]-Hišni_ljubljenčki[Dejansko
Cena]</f>
        <v>0</v>
      </c>
    </row>
    <row r="58" spans="2:10" ht="30" customHeight="1" x14ac:dyDescent="0.3">
      <c r="B58" s="3" t="s">
        <v>40</v>
      </c>
      <c r="C58" s="49"/>
      <c r="D58" s="49"/>
      <c r="E58" s="49">
        <f>Pravne_informacije[Predvideno
Cena]-Pravne_informacije[Dejansko
Cena]</f>
        <v>0</v>
      </c>
      <c r="F58" s="2"/>
      <c r="G58" s="1" t="s">
        <v>76</v>
      </c>
      <c r="H58" s="49"/>
      <c r="I58" s="49"/>
      <c r="J58" s="49">
        <f>Hišni_ljubljenčki[Predvideno
Cena]-Hišni_ljubljenčki[Dejansko
Cena]</f>
        <v>0</v>
      </c>
    </row>
    <row r="59" spans="2:10" ht="30" customHeight="1" x14ac:dyDescent="0.3">
      <c r="B59" s="1" t="s">
        <v>13</v>
      </c>
      <c r="C59" s="49"/>
      <c r="D59" s="49"/>
      <c r="E59" s="49">
        <f>Pravne_informacije[Predvideno
Cena]-Pravne_informacije[Dejansko
Cena]</f>
        <v>0</v>
      </c>
      <c r="F59" s="2"/>
      <c r="G59" s="1" t="s">
        <v>77</v>
      </c>
      <c r="H59" s="49"/>
      <c r="I59" s="49"/>
      <c r="J59" s="49">
        <f>Hišni_ljubljenčki[Predvideno
Cena]-Hišni_ljubljenčki[Dejansko
Cena]</f>
        <v>0</v>
      </c>
    </row>
    <row r="60" spans="2:10" ht="30" customHeight="1" x14ac:dyDescent="0.3">
      <c r="B60" s="7" t="s">
        <v>88</v>
      </c>
      <c r="C60" s="50">
        <f>SUBTOTAL(109,Pravne_informacije[Predvideno
Cena])</f>
        <v>0</v>
      </c>
      <c r="D60" s="50">
        <f>SUBTOTAL(109,Pravne_informacije[Dejansko
Cena])</f>
        <v>0</v>
      </c>
      <c r="E60" s="50">
        <f>SUBTOTAL(109,Pravne_informacije[Razlika])</f>
        <v>0</v>
      </c>
      <c r="F60" s="2"/>
      <c r="G60" s="1" t="s">
        <v>13</v>
      </c>
      <c r="H60" s="49"/>
      <c r="I60" s="49"/>
      <c r="J60" s="49">
        <f>Hišni_ljubljenčki[Predvideno
Cena]-Hišni_ljubljenčki[Dejansko
Cena]</f>
        <v>0</v>
      </c>
    </row>
    <row r="61" spans="2:10" ht="30" customHeight="1" x14ac:dyDescent="0.3">
      <c r="B61" s="10"/>
      <c r="C61" s="10"/>
      <c r="D61" s="10"/>
      <c r="E61" s="10"/>
      <c r="F61" s="2"/>
      <c r="G61" s="7" t="s">
        <v>88</v>
      </c>
      <c r="H61" s="50">
        <f>SUBTOTAL(109,Hišni_ljubljenčki[Predvideno
Cena])</f>
        <v>0</v>
      </c>
      <c r="I61" s="50">
        <f>SUBTOTAL(109,Hišni_ljubljenčki[Dejansko
Cena])</f>
        <v>0</v>
      </c>
      <c r="J61" s="50">
        <f>SUBTOTAL(109,Hišni_ljubljenčki[Razlika])</f>
        <v>0</v>
      </c>
    </row>
    <row r="62" spans="2:10" ht="30" customHeight="1" x14ac:dyDescent="0.3">
      <c r="B62" s="20" t="s">
        <v>41</v>
      </c>
      <c r="C62" s="17" t="s">
        <v>45</v>
      </c>
      <c r="D62" s="17" t="s">
        <v>46</v>
      </c>
      <c r="E62" s="17" t="s">
        <v>47</v>
      </c>
      <c r="F62" s="2"/>
      <c r="G62" s="10"/>
      <c r="H62" s="10"/>
      <c r="I62" s="10"/>
      <c r="J62" s="10"/>
    </row>
    <row r="63" spans="2:10" ht="30" customHeight="1" x14ac:dyDescent="0.3">
      <c r="B63" s="1" t="s">
        <v>42</v>
      </c>
      <c r="C63" s="49"/>
      <c r="D63" s="49"/>
      <c r="E63" s="49">
        <f>Prihranki[Predvideno
Cena]-Prihranki[Dejansko
Cena]</f>
        <v>0</v>
      </c>
      <c r="F63" s="2"/>
      <c r="G63" s="20" t="s">
        <v>78</v>
      </c>
      <c r="H63" s="17" t="s">
        <v>45</v>
      </c>
      <c r="I63" s="25" t="s">
        <v>46</v>
      </c>
      <c r="J63" s="17" t="s">
        <v>47</v>
      </c>
    </row>
    <row r="64" spans="2:10" ht="30" customHeight="1" x14ac:dyDescent="0.3">
      <c r="B64" s="1" t="s">
        <v>43</v>
      </c>
      <c r="C64" s="49"/>
      <c r="D64" s="49"/>
      <c r="E64" s="49">
        <f>Prihranki[Predvideno
Cena]-Prihranki[Dejansko
Cena]</f>
        <v>0</v>
      </c>
      <c r="F64" s="2"/>
      <c r="G64" s="2" t="s">
        <v>79</v>
      </c>
      <c r="H64" s="47"/>
      <c r="I64" s="47"/>
      <c r="J64" s="47">
        <f>Darila[Predvideno
Cena]-Darila[Dejansko
Cena]</f>
        <v>0</v>
      </c>
    </row>
    <row r="65" spans="2:10" ht="30" customHeight="1" x14ac:dyDescent="0.3">
      <c r="B65" s="1" t="s">
        <v>44</v>
      </c>
      <c r="C65" s="49"/>
      <c r="D65" s="49"/>
      <c r="E65" s="49">
        <f>Prihranki[Predvideno
Cena]-Prihranki[Dejansko
Cena]</f>
        <v>0</v>
      </c>
      <c r="F65" s="2"/>
      <c r="G65" s="2" t="s">
        <v>80</v>
      </c>
      <c r="H65" s="47"/>
      <c r="I65" s="47"/>
      <c r="J65" s="47">
        <f>Darila[Predvideno
Cena]-Darila[Dejansko
Cena]</f>
        <v>0</v>
      </c>
    </row>
    <row r="66" spans="2:10" ht="30" customHeight="1" x14ac:dyDescent="0.3">
      <c r="B66" s="1" t="s">
        <v>13</v>
      </c>
      <c r="C66" s="49"/>
      <c r="D66" s="49"/>
      <c r="E66" s="49">
        <f>Prihranki[Predvideno
Cena]-Prihranki[Dejansko
Cena]</f>
        <v>0</v>
      </c>
      <c r="F66" s="2"/>
      <c r="G66" s="2" t="s">
        <v>81</v>
      </c>
      <c r="H66" s="47"/>
      <c r="I66" s="47"/>
      <c r="J66" s="47">
        <f>Darila[Predvideno
Cena]-Darila[Dejansko
Cena]</f>
        <v>0</v>
      </c>
    </row>
    <row r="67" spans="2:10" ht="30" customHeight="1" x14ac:dyDescent="0.3">
      <c r="B67" s="7" t="s">
        <v>88</v>
      </c>
      <c r="C67" s="50">
        <f>SUBTOTAL(109,Prihranki[Predvideno
Cena])</f>
        <v>0</v>
      </c>
      <c r="D67" s="50">
        <f>SUBTOTAL(109,Prihranki[Dejansko
Cena])</f>
        <v>0</v>
      </c>
      <c r="E67" s="50">
        <f>SUBTOTAL(109,Prihranki[Razlika])</f>
        <v>0</v>
      </c>
      <c r="F67" s="2"/>
      <c r="G67" s="8" t="s">
        <v>88</v>
      </c>
      <c r="H67" s="48">
        <f>SUBTOTAL(109,Darila[Predvideno
Cena])</f>
        <v>0</v>
      </c>
      <c r="I67" s="48">
        <f>SUBTOTAL(109,Darila[Dejansko
Cena])</f>
        <v>0</v>
      </c>
      <c r="J67" s="48">
        <f>SUBTOTAL(109,Darila[Razlika])</f>
        <v>0</v>
      </c>
    </row>
    <row r="68" spans="2:10" ht="30" customHeight="1" x14ac:dyDescent="0.3">
      <c r="F68" s="2"/>
    </row>
  </sheetData>
  <phoneticPr fontId="2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157" priority="2" operator="lessThan">
      <formula>0</formula>
    </cfRule>
  </conditionalFormatting>
  <conditionalFormatting sqref="C3">
    <cfRule type="cellIs" dxfId="156" priority="1" operator="lessThan">
      <formula>0</formula>
    </cfRule>
  </conditionalFormatting>
  <dataValidations disablePrompts="1" count="30">
    <dataValidation allowBlank="1" showInputMessage="1" showErrorMessage="1" prompt="Na tem delovnem listu ustvarite Načrtovalnik za družinski proračun. Vnesite podrobnosti v tabele. Skupni zneski za predvidene in dejanske stroške, predvidena in dejanska bilanca ter razlike se izračunajo samodejno." sqref="A1" xr:uid="{00000000-0002-0000-0000-000000000000}"/>
    <dataValidation allowBlank="1" showInputMessage="1" showErrorMessage="1" prompt="Naslov tega delovnega lista je v tej celici. Povzetek je v tabeli spodaj. Vzorčne kategorije stroškov so v posebnih tabelah, začnejo se v B5. Vnesite zneske prihodkov. Začnite v celici G2." sqref="B1" xr:uid="{00000000-0002-0000-0000-000001000000}"/>
    <dataValidation allowBlank="1" showInputMessage="1" showErrorMessage="1" prompt="Skupni znesek predvidenih stroškov se prav tako samodejno izračuna v celici spodaj." sqref="C2" xr:uid="{00000000-0002-0000-0000-000002000000}"/>
    <dataValidation allowBlank="1" showInputMessage="1" showErrorMessage="1" prompt="Skupni znesek dejanskih stroškov se prav tako samodejno izračuna v celici spodaj." sqref="D2" xr:uid="{00000000-0002-0000-0000-000003000000}"/>
    <dataValidation allowBlank="1" showInputMessage="1" showErrorMessage="1" prompt="Skupni znesek razlike se samodejno izračuna v celici spodaj." sqref="E2" xr:uid="{00000000-0002-0000-0000-000004000000}"/>
    <dataValidation allowBlank="1" showInputMessage="1" showErrorMessage="1" prompt="Vnesite podrobnosti v spodnjo tabelo »Nastanitev« in v tabelo »Prevozi«. Začnite v celici B19. Prav tako vnesite podrobnosti v tabelo »Predvideni mesečni prihodek«. Začnite v celici G2." sqref="B4" xr:uid="{00000000-0002-0000-0000-000005000000}"/>
    <dataValidation allowBlank="1" showInputMessage="1" showErrorMessage="1" prompt="Vnesite predvideni mesečni prihodek v ta stolpec pod ta naslov." sqref="G2" xr:uid="{00000000-0002-0000-0000-000006000000}"/>
    <dataValidation allowBlank="1" showInputMessage="1" showErrorMessage="1" prompt="Vnesite znesek v ta stolpec pod ta naslov." sqref="H8 H2" xr:uid="{00000000-0002-0000-0000-000007000000}"/>
    <dataValidation allowBlank="1" showInputMessage="1" showErrorMessage="1" prompt="Vnesite podatke v tabelo »Dejanski mesečni prihodek« spodaj." sqref="G7" xr:uid="{00000000-0002-0000-0000-000008000000}"/>
    <dataValidation allowBlank="1" showInputMessage="1" showErrorMessage="1" prompt="Vnesite vir dejanskega mesečnega prihodka v ta stolpec pod ta naslov." sqref="G8" xr:uid="{00000000-0002-0000-0000-000009000000}"/>
    <dataValidation allowBlank="1" showInputMessage="1" showErrorMessage="1" prompt="Tabela z bilanco se samodejno posodobi." sqref="G13" xr:uid="{00000000-0002-0000-0000-00000A000000}"/>
    <dataValidation allowBlank="1" showInputMessage="1" showErrorMessage="1" prompt="Bilanca je v tem stolpcu pod tem naslovom." sqref="G14" xr:uid="{00000000-0002-0000-0000-00000B000000}"/>
    <dataValidation allowBlank="1" showInputMessage="1" showErrorMessage="1" prompt="Znesek se samodejno izračunana, ikone pa se posodobijo na levi strani v tem stolpcu pod tem naslovom." sqref="H14" xr:uid="{00000000-0002-0000-0000-00000C000000}"/>
    <dataValidation allowBlank="1" showInputMessage="1" showErrorMessage="1" prompt="Vzorčna kategorija stroška je v tej celici. Vzorčni stroški, povezani z vzorčno kategorijo, so v tem stolpcu pod tem naslovom. Uporabite naslovne filtre za iskanje določenih vnosov." sqref="B5 B19 G55 G28 B30 B37 G38 G45 B43 B55 B62 G63 G19" xr:uid="{00000000-0002-0000-0000-00000D000000}"/>
    <dataValidation allowBlank="1" showInputMessage="1" showErrorMessage="1" prompt="Vnesite predvideni strošek v ta stolpec pod ta naslov." sqref="C5 C19 C30 C37 C43 C55 C62 H63 H28 H38 H45 H55 H19" xr:uid="{00000000-0002-0000-0000-00000E000000}"/>
    <dataValidation allowBlank="1" showInputMessage="1" showErrorMessage="1" prompt="Vnesite dejanske stroške v ta stolpec pod ta naslov." sqref="D5 D19 D30 D37 D43 D55 D62 I63 I28 I38 I45 I55 I19" xr:uid="{00000000-0002-0000-0000-00000F000000}"/>
    <dataValidation allowBlank="1" showInputMessage="1" showErrorMessage="1" prompt="Vnesite podatke v tabelo »Prevozi« spodaj in v tabelo »Zavarovanje«. Začnite v celici B30." sqref="B18" xr:uid="{00000000-0002-0000-0000-000010000000}"/>
    <dataValidation allowBlank="1" showInputMessage="1" showErrorMessage="1" prompt="Vnesite podatke v tabelo »Zavarovanje« spodaj in v tabelo »Hrana«. Začnite v celici B37." sqref="B29" xr:uid="{00000000-0002-0000-0000-000011000000}"/>
    <dataValidation allowBlank="1" showInputMessage="1" showErrorMessage="1" prompt="Vnesite podatke v tabelo »Hrana« spodaj in v tabelo »Otroci«. Začnite v celici B43." sqref="B36" xr:uid="{00000000-0002-0000-0000-000012000000}"/>
    <dataValidation allowBlank="1" showInputMessage="1" showErrorMessage="1" prompt="Vnesite podatke v tabelo »Otroci« spodaj in v tabelo »Pravne zadeve«. Začnite v celici B55." sqref="B42" xr:uid="{00000000-0002-0000-0000-000013000000}"/>
    <dataValidation allowBlank="1" showInputMessage="1" showErrorMessage="1" prompt="Vnesite podatke v tabelo »Pravne zadeve« spodaj in v tabelo »Prihranki«. Začnite v celici B62." sqref="B54" xr:uid="{00000000-0002-0000-0000-000014000000}"/>
    <dataValidation allowBlank="1" showInputMessage="1" showErrorMessage="1" prompt="Vnesite podatke v tabelo »Prihranki« spodaj in v tabelo »Posojila«. Začnite v celici G19." sqref="B61" xr:uid="{00000000-0002-0000-0000-000015000000}"/>
    <dataValidation allowBlank="1" showInputMessage="1" showErrorMessage="1" prompt="Vnesite podatke v tabelo »Posojila« spodaj in v tabelo »Razvedrilo«. Začnite v celici G28." sqref="G18" xr:uid="{00000000-0002-0000-0000-000016000000}"/>
    <dataValidation allowBlank="1" showInputMessage="1" showErrorMessage="1" prompt="Vnesite podatke v tabelo »Razvedrilo« spodaj in v tabelo »Davki«. Začnite v celici G38." sqref="G27" xr:uid="{00000000-0002-0000-0000-000017000000}"/>
    <dataValidation allowBlank="1" showInputMessage="1" showErrorMessage="1" prompt="Vnesite podatke v tabelo »Davki« spodaj in v tabelo »Osebna nega«. Začnite v celici G45." sqref="G37" xr:uid="{00000000-0002-0000-0000-000018000000}"/>
    <dataValidation allowBlank="1" showInputMessage="1" showErrorMessage="1" prompt="Vnesite podatke v tabelo »Osebna nega« spodaj in v tabelo »Hišni ljubljenčki«. Začnite v celici G55." sqref="G44" xr:uid="{00000000-0002-0000-0000-000019000000}"/>
    <dataValidation allowBlank="1" showInputMessage="1" showErrorMessage="1" prompt="Vnesite podatke v tabelo »Hišni ljubljenčki« spodaj in v tabelo »Darila«. Začnite v celici G63." sqref="G54" xr:uid="{00000000-0002-0000-0000-00001A000000}"/>
    <dataValidation allowBlank="1" showInputMessage="1" showErrorMessage="1" prompt="Vnesite podatke v tabelo »Darila« spodaj." sqref="G62" xr:uid="{00000000-0002-0000-0000-00001B000000}"/>
    <dataValidation allowBlank="1" showInputMessage="1" showErrorMessage="1" prompt="Skupni znesek predvidenih stroškov, skupni znesek dejanskih stroškov in razlika se izračunajo samodejno v tej tabeli" sqref="B2" xr:uid="{00000000-0002-0000-0000-00001C000000}"/>
    <dataValidation allowBlank="1" showInputMessage="1" showErrorMessage="1" prompt="Razlika se samodejno izračunana v tem stolpcu pod tem naslovom.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Mesečni družinski 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2018-09-20T08:41:51Z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