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09"/>
  <workbookPr filterPrivacy="1" codeName="현재_통합_문서"/>
  <bookViews>
    <workbookView xWindow="0" yWindow="0" windowWidth="25200" windowHeight="12570" tabRatio="350"/>
  </bookViews>
  <sheets>
    <sheet name="구간별 예산(18개 구간)" sheetId="2" r:id="rId1"/>
  </sheets>
  <definedNames>
    <definedName name="DayInterval">'구간별 예산(18개 구간)'!$K$2</definedName>
    <definedName name="EndDate">'구간별 예산(18개 구간)'!$M$2</definedName>
    <definedName name="_xlnm.Print_Titles" localSheetId="0">'구간별 예산(18개 구간)'!$5:$5</definedName>
    <definedName name="StartDate">'구간별 예산(18개 구간)'!$H$2</definedName>
  </definedNames>
  <calcPr calcId="152511"/>
</workbook>
</file>

<file path=xl/calcChain.xml><?xml version="1.0" encoding="utf-8"?>
<calcChain xmlns="http://schemas.openxmlformats.org/spreadsheetml/2006/main">
  <c r="C5" i="2" l="1"/>
  <c r="D5" i="2"/>
  <c r="C4" i="2"/>
  <c r="D4" i="2" l="1"/>
  <c r="E4" i="2" l="1"/>
  <c r="E5" i="2"/>
  <c r="O26" i="2"/>
  <c r="P26" i="2"/>
  <c r="Q26" i="2"/>
  <c r="R26" i="2"/>
  <c r="S26" i="2"/>
  <c r="T26" i="2"/>
  <c r="F4" i="2" l="1"/>
  <c r="F5" i="2"/>
  <c r="U9" i="2"/>
  <c r="U21" i="2"/>
  <c r="D26" i="2"/>
  <c r="S12" i="2"/>
  <c r="S6" i="2" s="1"/>
  <c r="T12" i="2"/>
  <c r="U15" i="2"/>
  <c r="U16" i="2"/>
  <c r="U17" i="2"/>
  <c r="U18" i="2"/>
  <c r="U19" i="2"/>
  <c r="U20" i="2"/>
  <c r="U22" i="2"/>
  <c r="U23" i="2"/>
  <c r="U24" i="2"/>
  <c r="U25" i="2"/>
  <c r="U10" i="2"/>
  <c r="U11" i="2"/>
  <c r="C26" i="2"/>
  <c r="E26" i="2"/>
  <c r="F26" i="2"/>
  <c r="G26" i="2"/>
  <c r="H26" i="2"/>
  <c r="I26" i="2"/>
  <c r="J26" i="2"/>
  <c r="K26" i="2"/>
  <c r="L26" i="2"/>
  <c r="M26" i="2"/>
  <c r="N26" i="2"/>
  <c r="C12" i="2"/>
  <c r="D12" i="2"/>
  <c r="E12" i="2"/>
  <c r="E6" i="2" s="1"/>
  <c r="F12" i="2"/>
  <c r="G12" i="2"/>
  <c r="G6" i="2" s="1"/>
  <c r="H12" i="2"/>
  <c r="I12" i="2"/>
  <c r="J12" i="2"/>
  <c r="K12" i="2"/>
  <c r="L12" i="2"/>
  <c r="M12" i="2"/>
  <c r="N12" i="2"/>
  <c r="O12" i="2"/>
  <c r="O6" i="2" s="1"/>
  <c r="P12" i="2"/>
  <c r="P6" i="2" s="1"/>
  <c r="Q12" i="2"/>
  <c r="Q6" i="2" s="1"/>
  <c r="R12" i="2"/>
  <c r="R6" i="2" s="1"/>
  <c r="G4" i="2" l="1"/>
  <c r="G5" i="2"/>
  <c r="M6" i="2"/>
  <c r="K6" i="2"/>
  <c r="C6" i="2"/>
  <c r="I6" i="2"/>
  <c r="N6" i="2"/>
  <c r="L6" i="2"/>
  <c r="J6" i="2"/>
  <c r="H6" i="2"/>
  <c r="F6" i="2"/>
  <c r="D6" i="2"/>
  <c r="U26" i="2"/>
  <c r="U12" i="2"/>
  <c r="T6" i="2"/>
  <c r="H4" i="2" l="1"/>
  <c r="H5" i="2"/>
  <c r="U6" i="2"/>
  <c r="I4" i="2" l="1"/>
  <c r="I5" i="2"/>
  <c r="J4" i="2" l="1"/>
  <c r="J5" i="2"/>
  <c r="K4" i="2" l="1"/>
  <c r="K5" i="2"/>
  <c r="L4" i="2" l="1"/>
  <c r="L5" i="2"/>
  <c r="M4" i="2" l="1"/>
  <c r="M5" i="2"/>
  <c r="N4" i="2" l="1"/>
  <c r="N5" i="2"/>
  <c r="O4" i="2" l="1"/>
  <c r="O5" i="2"/>
  <c r="P4" i="2" l="1"/>
  <c r="P5" i="2"/>
  <c r="Q4" i="2" l="1"/>
  <c r="Q5" i="2"/>
  <c r="R5" i="2" l="1"/>
  <c r="R4" i="2"/>
  <c r="S5" i="2" l="1"/>
  <c r="S4" i="2"/>
  <c r="T4" i="2" l="1"/>
  <c r="M2" i="2" s="1"/>
  <c r="T5" i="2"/>
</calcChain>
</file>

<file path=xl/sharedStrings.xml><?xml version="1.0" encoding="utf-8"?>
<sst xmlns="http://schemas.openxmlformats.org/spreadsheetml/2006/main" count="25" uniqueCount="25">
  <si>
    <t>급여</t>
  </si>
  <si>
    <t>임대</t>
  </si>
  <si>
    <t>전기</t>
  </si>
  <si>
    <t>전화</t>
  </si>
  <si>
    <t>인터넷</t>
  </si>
  <si>
    <t>수도</t>
  </si>
  <si>
    <t>가스</t>
  </si>
  <si>
    <t>쓰레기 수거비</t>
  </si>
  <si>
    <t>케이블 TV</t>
  </si>
  <si>
    <t>사무용품</t>
  </si>
  <si>
    <t>보험</t>
  </si>
  <si>
    <t>총 지출</t>
  </si>
  <si>
    <t>지출</t>
  </si>
  <si>
    <t>총 수입</t>
  </si>
  <si>
    <t>수입 항목 1</t>
  </si>
  <si>
    <t>수입 항목 2</t>
  </si>
  <si>
    <t>수입 항목 3</t>
  </si>
  <si>
    <t>수입</t>
  </si>
  <si>
    <t>순이익</t>
  </si>
  <si>
    <t>회사 예산</t>
  </si>
  <si>
    <t>시작 날짜</t>
  </si>
  <si>
    <t>기간(일)</t>
  </si>
  <si>
    <t>종료 날짜</t>
  </si>
  <si>
    <t xml:space="preserve">합계 </t>
  </si>
  <si>
    <t>추세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</si>
</sst>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&quot;₩&quot;* #,##0_-;\-&quot;₩&quot;* #,##0_-;_-&quot;₩&quot;* &quot;-&quot;_-;_-@_-"/>
    <numFmt numFmtId="177" formatCode="_(&quot;$&quot;* #,##0.00_);_(&quot;$&quot;* \(#,##0.00\);_(&quot;$&quot;* &quot;-&quot;??_);_(@_)"/>
    <numFmt numFmtId="178" formatCode="[$-409]d\-mmm;@"/>
    <numFmt numFmtId="179" formatCode="@_)"/>
  </numFmts>
  <fonts count="13" x14ac:knownFonts="1">
    <font>
      <sz val="10"/>
      <color theme="4" tint="0.79998168889431442"/>
      <name val="Calibri"/>
      <family val="2"/>
      <scheme val="minor"/>
    </font>
    <font>
      <sz val="10"/>
      <name val="Arial"/>
      <family val="2"/>
    </font>
    <font>
      <b/>
      <i/>
      <sz val="32"/>
      <color theme="4" tint="0.79995117038483843"/>
      <name val="Georgia"/>
      <family val="2"/>
      <scheme val="major"/>
    </font>
    <font>
      <sz val="8"/>
      <name val="돋움"/>
      <family val="3"/>
      <charset val="129"/>
      <scheme val="minor"/>
    </font>
    <font>
      <sz val="10"/>
      <name val="맑은 고딕"/>
      <family val="3"/>
      <charset val="129"/>
    </font>
    <font>
      <b/>
      <i/>
      <sz val="32"/>
      <color theme="4" tint="0.79995117038483843"/>
      <name val="맑은 고딕"/>
      <family val="3"/>
      <charset val="129"/>
    </font>
    <font>
      <sz val="10"/>
      <color theme="4" tint="0.79998168889431442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b/>
      <sz val="11"/>
      <color theme="4" tint="0.79998168889431442"/>
      <name val="맑은 고딕"/>
      <family val="3"/>
      <charset val="129"/>
    </font>
    <font>
      <b/>
      <sz val="14"/>
      <color theme="4" tint="-0.499984740745262"/>
      <name val="맑은 고딕"/>
      <family val="3"/>
      <charset val="129"/>
    </font>
    <font>
      <sz val="11"/>
      <color theme="4" tint="-0.499984740745262"/>
      <name val="맑은 고딕"/>
      <family val="3"/>
      <charset val="129"/>
    </font>
    <font>
      <b/>
      <i/>
      <sz val="16"/>
      <color theme="4" tint="0.79998168889431442"/>
      <name val="맑은 고딕"/>
      <family val="3"/>
      <charset val="129"/>
    </font>
    <font>
      <b/>
      <sz val="11"/>
      <color theme="4" tint="-0.49998474074526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/>
      <bottom/>
      <diagonal/>
    </border>
  </borders>
  <cellStyleXfs count="3">
    <xf numFmtId="0" fontId="0" fillId="2" borderId="0"/>
    <xf numFmtId="177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2">
    <xf numFmtId="0" fontId="0" fillId="2" borderId="0" xfId="0"/>
    <xf numFmtId="0" fontId="4" fillId="2" borderId="0" xfId="0" applyFont="1" applyFill="1"/>
    <xf numFmtId="0" fontId="5" fillId="2" borderId="0" xfId="2" applyFont="1" applyFill="1" applyAlignment="1"/>
    <xf numFmtId="0" fontId="6" fillId="2" borderId="0" xfId="0" applyFont="1" applyFill="1"/>
    <xf numFmtId="0" fontId="6" fillId="2" borderId="0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8" fontId="8" fillId="2" borderId="0" xfId="0" applyNumberFormat="1" applyFont="1" applyFill="1" applyAlignment="1">
      <alignment horizontal="right" vertical="center"/>
    </xf>
    <xf numFmtId="178" fontId="8" fillId="2" borderId="0" xfId="0" applyNumberFormat="1" applyFont="1" applyFill="1" applyBorder="1" applyAlignment="1">
      <alignment horizontal="right" vertical="center"/>
    </xf>
    <xf numFmtId="179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Border="1"/>
    <xf numFmtId="0" fontId="9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2" borderId="0" xfId="0" applyFont="1" applyFill="1" applyAlignment="1">
      <alignment horizontal="left" indent="2"/>
    </xf>
    <xf numFmtId="0" fontId="6" fillId="2" borderId="0" xfId="0" applyFont="1" applyFill="1" applyBorder="1"/>
    <xf numFmtId="176" fontId="6" fillId="2" borderId="0" xfId="1" applyNumberFormat="1" applyFont="1" applyFill="1" applyBorder="1"/>
    <xf numFmtId="176" fontId="6" fillId="2" borderId="0" xfId="0" applyNumberFormat="1" applyFont="1" applyFill="1" applyBorder="1"/>
    <xf numFmtId="38" fontId="6" fillId="2" borderId="0" xfId="1" applyNumberFormat="1" applyFont="1" applyFill="1" applyBorder="1"/>
    <xf numFmtId="38" fontId="6" fillId="2" borderId="0" xfId="0" applyNumberFormat="1" applyFont="1" applyFill="1" applyBorder="1"/>
    <xf numFmtId="38" fontId="6" fillId="2" borderId="0" xfId="1" applyNumberFormat="1" applyFont="1" applyFill="1" applyBorder="1"/>
    <xf numFmtId="38" fontId="6" fillId="2" borderId="0" xfId="0" applyNumberFormat="1" applyFont="1" applyFill="1" applyBorder="1"/>
    <xf numFmtId="176" fontId="10" fillId="3" borderId="0" xfId="0" applyNumberFormat="1" applyFont="1" applyFill="1" applyBorder="1" applyAlignment="1">
      <alignment vertical="center"/>
    </xf>
    <xf numFmtId="178" fontId="12" fillId="2" borderId="0" xfId="0" applyNumberFormat="1" applyFont="1" applyFill="1" applyAlignment="1">
      <alignment horizontal="right" vertical="center"/>
    </xf>
    <xf numFmtId="178" fontId="12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5" fillId="2" borderId="0" xfId="2" applyFont="1" applyFill="1" applyAlignment="1">
      <alignment horizontal="left"/>
    </xf>
  </cellXfs>
  <cellStyles count="3">
    <cellStyle name="제목" xfId="2" builtinId="15" customBuiltin="1"/>
    <cellStyle name="통화" xfId="1" builtinId="4"/>
    <cellStyle name="표준" xfId="0" builtinId="0" customBuiltin="1"/>
  </cellStyles>
  <dxfs count="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6" formatCode="#,##0;[Red]\-#,##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numFmt numFmtId="176" formatCode="_-&quot;₩&quot;* #,##0_-;\-&quot;₩&quot;* #,##0_-;_-&quot;₩&quot;* &quot;-&quot;_-;_-@_-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7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맑은 고딕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color theme="4" tint="0.79998168889431442"/>
      </font>
      <fill>
        <patternFill>
          <bgColor theme="4" tint="-0.499984740745262"/>
        </patternFill>
      </fill>
      <border>
        <horizontal style="thin">
          <color theme="4" tint="0.79998168889431442"/>
        </horizontal>
      </border>
    </dxf>
  </dxfs>
  <tableStyles count="1" defaultTableStyle="Company Budget" defaultPivotStyle="PivotStyleLight16">
    <tableStyle name="Company Budget" pivot="0" count="1">
      <tableStyleElement type="wholeTable" dxfId="1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232833</xdr:rowOff>
    </xdr:from>
    <xdr:to>
      <xdr:col>21</xdr:col>
      <xdr:colOff>1439333</xdr:colOff>
      <xdr:row>3</xdr:row>
      <xdr:rowOff>16934</xdr:rowOff>
    </xdr:to>
    <xdr:grpSp>
      <xdr:nvGrpSpPr>
        <xdr:cNvPr id="2" name="제목 테두리" descr="&quot;&quot;" title="Border"/>
        <xdr:cNvGrpSpPr/>
      </xdr:nvGrpSpPr>
      <xdr:grpSpPr>
        <a:xfrm>
          <a:off x="0" y="825500"/>
          <a:ext cx="20267083" cy="59267"/>
          <a:chOff x="0" y="825500"/>
          <a:chExt cx="22129750" cy="59267"/>
        </a:xfrm>
      </xdr:grpSpPr>
      <xdr:cxnSp macro="">
        <xdr:nvCxnSpPr>
          <xdr:cNvPr id="5" name="가는 선"/>
          <xdr:cNvCxnSpPr/>
        </xdr:nvCxnSpPr>
        <xdr:spPr>
          <a:xfrm>
            <a:off x="0" y="884767"/>
            <a:ext cx="22129750" cy="0"/>
          </a:xfrm>
          <a:prstGeom prst="line">
            <a:avLst/>
          </a:prstGeom>
          <a:ln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굵은 선"/>
          <xdr:cNvCxnSpPr/>
        </xdr:nvCxnSpPr>
        <xdr:spPr>
          <a:xfrm>
            <a:off x="0" y="825500"/>
            <a:ext cx="22129750" cy="0"/>
          </a:xfrm>
          <a:prstGeom prst="line">
            <a:avLst/>
          </a:prstGeom>
          <a:ln w="28575"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IncomeTable" displayName="IncomeTable" ref="B9:V12" headerRowCount="0" totalsRowCount="1" headerRowDxfId="131" dataDxfId="130" totalsRowDxfId="129">
  <tableColumns count="21">
    <tableColumn id="1" name="Income" totalsRowLabel="총 수입" headerRowDxfId="128" dataDxfId="127" totalsRowDxfId="126"/>
    <tableColumn id="6" name="Week 1" totalsRowFunction="sum" headerRowDxfId="125" dataDxfId="124" totalsRowDxfId="123"/>
    <tableColumn id="7" name="Week 2" totalsRowFunction="sum" headerRowDxfId="122" dataDxfId="121" totalsRowDxfId="120"/>
    <tableColumn id="8" name="Week 3" totalsRowFunction="sum" headerRowDxfId="119" dataDxfId="118" totalsRowDxfId="117"/>
    <tableColumn id="9" name="Week 4" totalsRowFunction="sum" headerRowDxfId="116" dataDxfId="115" totalsRowDxfId="114"/>
    <tableColumn id="10" name="Week 5" totalsRowFunction="sum" headerRowDxfId="113" dataDxfId="112" totalsRowDxfId="111"/>
    <tableColumn id="11" name="Week 6" totalsRowFunction="sum" headerRowDxfId="110" dataDxfId="109" totalsRowDxfId="108"/>
    <tableColumn id="12" name="Week 7" totalsRowFunction="sum" headerRowDxfId="107" dataDxfId="106" totalsRowDxfId="105"/>
    <tableColumn id="13" name="Week 8" totalsRowFunction="sum" headerRowDxfId="104" dataDxfId="103" totalsRowDxfId="102"/>
    <tableColumn id="14" name="Week 9" totalsRowFunction="sum" headerRowDxfId="101" dataDxfId="100" totalsRowDxfId="99"/>
    <tableColumn id="15" name="Week 10" totalsRowFunction="sum" headerRowDxfId="98" dataDxfId="97" totalsRowDxfId="96"/>
    <tableColumn id="16" name="Week 11" totalsRowFunction="sum" headerRowDxfId="95" dataDxfId="94" totalsRowDxfId="93"/>
    <tableColumn id="17" name="Week 12" totalsRowFunction="sum" headerRowDxfId="92" dataDxfId="91" totalsRowDxfId="90"/>
    <tableColumn id="18" name="Week 13" totalsRowFunction="sum" headerRowDxfId="89" dataDxfId="88" totalsRowDxfId="87"/>
    <tableColumn id="19" name="Week 14" totalsRowFunction="sum" headerRowDxfId="86" dataDxfId="85" totalsRowDxfId="84"/>
    <tableColumn id="20" name="Week 15" totalsRowFunction="sum" headerRowDxfId="83" dataDxfId="82" totalsRowDxfId="81"/>
    <tableColumn id="21" name="Week 16" totalsRowFunction="sum" headerRowDxfId="80" dataDxfId="79" totalsRowDxfId="78"/>
    <tableColumn id="22" name="Week 17" totalsRowFunction="sum" headerRowDxfId="77" dataDxfId="76" totalsRowDxfId="75"/>
    <tableColumn id="23" name="Week 18" totalsRowFunction="sum" headerRowDxfId="74" dataDxfId="73" totalsRowDxfId="72"/>
    <tableColumn id="24" name="Total" totalsRowFunction="sum" headerRowDxfId="71" dataDxfId="70" totalsRowDxfId="69">
      <calculatedColumnFormula>SUM(IncomeTable[[#This Row],[Week 1]:[Week 18]])</calculatedColumnFormula>
    </tableColumn>
    <tableColumn id="25" name="Column1" headerRowDxfId="68" dataDxfId="67" totalsRowDxfId="66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수입 표" altTextSummary="각각 14일로 구성된 18개의 구간으로 수입을 요약합니다."/>
    </ext>
  </extLst>
</table>
</file>

<file path=xl/tables/table2.xml><?xml version="1.0" encoding="utf-8"?>
<table xmlns="http://schemas.openxmlformats.org/spreadsheetml/2006/main" id="3" name="ExpensesTable" displayName="ExpensesTable" ref="B15:V26" headerRowCount="0" totalsRowCount="1" headerRowDxfId="65" dataDxfId="64" totalsRowDxfId="63">
  <tableColumns count="21">
    <tableColumn id="1" name="Expense" totalsRowLabel="총 지출" headerRowDxfId="62" dataDxfId="61" totalsRowDxfId="60"/>
    <tableColumn id="4" name="Week 1" totalsRowFunction="sum" headerRowDxfId="59" dataDxfId="58" totalsRowDxfId="57" dataCellStyle="통화"/>
    <tableColumn id="5" name="Week 2" totalsRowFunction="sum" headerRowDxfId="56" dataDxfId="55" totalsRowDxfId="54" dataCellStyle="통화"/>
    <tableColumn id="6" name="Week 3" totalsRowFunction="sum" headerRowDxfId="53" dataDxfId="52" totalsRowDxfId="51" dataCellStyle="통화"/>
    <tableColumn id="7" name="Week 4" totalsRowFunction="sum" headerRowDxfId="50" dataDxfId="49" totalsRowDxfId="48" dataCellStyle="통화"/>
    <tableColumn id="8" name="Week 5" totalsRowFunction="sum" headerRowDxfId="47" dataDxfId="46" totalsRowDxfId="45" dataCellStyle="통화"/>
    <tableColumn id="9" name="Week 6" totalsRowFunction="sum" headerRowDxfId="44" dataDxfId="43" totalsRowDxfId="42" dataCellStyle="통화"/>
    <tableColumn id="10" name="Week 7" totalsRowFunction="sum" headerRowDxfId="41" dataDxfId="40" totalsRowDxfId="39" dataCellStyle="통화"/>
    <tableColumn id="11" name="Week 8" totalsRowFunction="sum" headerRowDxfId="38" dataDxfId="37" totalsRowDxfId="36" dataCellStyle="통화"/>
    <tableColumn id="12" name="Week 9" totalsRowFunction="sum" headerRowDxfId="35" dataDxfId="34" totalsRowDxfId="33" dataCellStyle="통화"/>
    <tableColumn id="13" name="Week 10" totalsRowFunction="sum" headerRowDxfId="32" dataDxfId="31" totalsRowDxfId="30" dataCellStyle="통화"/>
    <tableColumn id="14" name="Week 11" totalsRowFunction="sum" headerRowDxfId="29" dataDxfId="28" totalsRowDxfId="27" dataCellStyle="통화"/>
    <tableColumn id="15" name="Week 12" totalsRowFunction="sum" headerRowDxfId="26" dataDxfId="25" totalsRowDxfId="24" dataCellStyle="통화"/>
    <tableColumn id="16" name="Week 13" totalsRowFunction="sum" headerRowDxfId="23" dataDxfId="22" totalsRowDxfId="21" dataCellStyle="통화"/>
    <tableColumn id="17" name="Week 14" totalsRowFunction="sum" headerRowDxfId="20" dataDxfId="19" totalsRowDxfId="18" dataCellStyle="통화"/>
    <tableColumn id="18" name="Week 15" totalsRowFunction="sum" headerRowDxfId="17" dataDxfId="16" totalsRowDxfId="15" dataCellStyle="통화"/>
    <tableColumn id="19" name="Week 16" totalsRowFunction="sum" headerRowDxfId="14" dataDxfId="13" totalsRowDxfId="12" dataCellStyle="통화"/>
    <tableColumn id="20" name="Week 17" totalsRowFunction="sum" headerRowDxfId="11" dataDxfId="10" totalsRowDxfId="9" dataCellStyle="통화"/>
    <tableColumn id="21" name="Week 18" totalsRowFunction="sum" headerRowDxfId="8" dataDxfId="7" totalsRowDxfId="6" dataCellStyle="통화"/>
    <tableColumn id="22" name="Total" totalsRowFunction="sum" headerRowDxfId="5" dataDxfId="4" totalsRowDxfId="3">
      <calculatedColumnFormula>SUM(ExpensesTable[[#This Row],[Week 1]:[Week 18]])</calculatedColumnFormula>
    </tableColumn>
    <tableColumn id="23" name="Column1" headerRowDxfId="2" dataDxfId="1" totalsRowDxfId="0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지출 표" altTextSummary="각각 14일로 구성된 18개의 구간으로 지출을 요약합니다."/>
    </ext>
  </extLst>
</table>
</file>

<file path=xl/theme/theme1.xml><?xml version="1.0" encoding="utf-8"?>
<a:theme xmlns:a="http://schemas.openxmlformats.org/drawingml/2006/main" name="Office Theme">
  <a:themeElements>
    <a:clrScheme name="Compan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F7699"/>
      </a:accent1>
      <a:accent2>
        <a:srgbClr val="E36200"/>
      </a:accent2>
      <a:accent3>
        <a:srgbClr val="D9AE00"/>
      </a:accent3>
      <a:accent4>
        <a:srgbClr val="773A6A"/>
      </a:accent4>
      <a:accent5>
        <a:srgbClr val="07A607"/>
      </a:accent5>
      <a:accent6>
        <a:srgbClr val="BB2A09"/>
      </a:accent6>
      <a:hlink>
        <a:srgbClr val="487699"/>
      </a:hlink>
      <a:folHlink>
        <a:srgbClr val="773A6A"/>
      </a:folHlink>
    </a:clrScheme>
    <a:fontScheme name="Company Budget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W27"/>
  <sheetViews>
    <sheetView showGridLines="0" tabSelected="1" zoomScale="90" zoomScaleNormal="90" zoomScaleSheetLayoutView="50" workbookViewId="0">
      <pane xSplit="2" ySplit="5" topLeftCell="C6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customHeight="1" x14ac:dyDescent="0.25"/>
  <cols>
    <col min="1" max="1" width="3.28515625" style="1" customWidth="1"/>
    <col min="2" max="2" width="23.42578125" style="1" customWidth="1"/>
    <col min="3" max="3" width="13.28515625" style="1" customWidth="1"/>
    <col min="4" max="5" width="13.28515625" style="14" customWidth="1"/>
    <col min="6" max="20" width="13.28515625" style="1" customWidth="1"/>
    <col min="21" max="21" width="15.5703125" style="1" customWidth="1"/>
    <col min="22" max="22" width="22.28515625" style="1" customWidth="1"/>
    <col min="23" max="23" width="3.28515625" style="3" customWidth="1"/>
    <col min="24" max="16384" width="9.140625" style="1"/>
  </cols>
  <sheetData>
    <row r="1" spans="1:23" ht="28.5" customHeight="1" x14ac:dyDescent="0.85">
      <c r="B1" s="31" t="s">
        <v>19</v>
      </c>
      <c r="C1" s="31"/>
      <c r="D1" s="31"/>
      <c r="E1" s="31"/>
      <c r="F1" s="2"/>
      <c r="G1" s="2"/>
    </row>
    <row r="2" spans="1:23" s="3" customFormat="1" ht="18" customHeight="1" x14ac:dyDescent="0.25">
      <c r="B2" s="31"/>
      <c r="C2" s="31"/>
      <c r="D2" s="31"/>
      <c r="E2" s="31"/>
      <c r="G2" s="4" t="s">
        <v>20</v>
      </c>
      <c r="H2" s="5">
        <v>40544</v>
      </c>
      <c r="I2" s="29" t="s">
        <v>21</v>
      </c>
      <c r="J2" s="30"/>
      <c r="K2" s="6">
        <v>14</v>
      </c>
      <c r="L2" s="4" t="s">
        <v>22</v>
      </c>
      <c r="M2" s="5" t="str">
        <f>TEXT(T4,"yyyy-mm-dd")</f>
        <v>2012-08-26</v>
      </c>
    </row>
    <row r="3" spans="1:23" s="7" customFormat="1" ht="21.75" customHeight="1" x14ac:dyDescent="0.2">
      <c r="W3" s="8"/>
    </row>
    <row r="4" spans="1:23" ht="15.75" customHeight="1" x14ac:dyDescent="0.25">
      <c r="C4" s="26" t="str">
        <f>UPPER(TEXT(H2,"dd-mmm"))</f>
        <v>01-JAN</v>
      </c>
      <c r="D4" s="27" t="str">
        <f t="shared" ref="D4:S4" si="0">UPPER(TEXT(C4+DayInterval,"dd-mmm"))</f>
        <v>15-JAN</v>
      </c>
      <c r="E4" s="27" t="str">
        <f t="shared" si="0"/>
        <v>29-JAN</v>
      </c>
      <c r="F4" s="26" t="str">
        <f t="shared" si="0"/>
        <v>12-FEB</v>
      </c>
      <c r="G4" s="26" t="str">
        <f t="shared" si="0"/>
        <v>26-FEB</v>
      </c>
      <c r="H4" s="26" t="str">
        <f t="shared" si="0"/>
        <v>11-MAR</v>
      </c>
      <c r="I4" s="26" t="str">
        <f t="shared" si="0"/>
        <v>25-MAR</v>
      </c>
      <c r="J4" s="26" t="str">
        <f t="shared" si="0"/>
        <v>08-APR</v>
      </c>
      <c r="K4" s="26" t="str">
        <f t="shared" si="0"/>
        <v>22-APR</v>
      </c>
      <c r="L4" s="26" t="str">
        <f t="shared" si="0"/>
        <v>06-MAY</v>
      </c>
      <c r="M4" s="26" t="str">
        <f t="shared" si="0"/>
        <v>20-MAY</v>
      </c>
      <c r="N4" s="26" t="str">
        <f t="shared" si="0"/>
        <v>03-JUN</v>
      </c>
      <c r="O4" s="26" t="str">
        <f t="shared" si="0"/>
        <v>17-JUN</v>
      </c>
      <c r="P4" s="26" t="str">
        <f t="shared" si="0"/>
        <v>01-JUL</v>
      </c>
      <c r="Q4" s="26" t="str">
        <f t="shared" si="0"/>
        <v>15-JUL</v>
      </c>
      <c r="R4" s="26" t="str">
        <f t="shared" si="0"/>
        <v>29-JUL</v>
      </c>
      <c r="S4" s="26" t="str">
        <f t="shared" si="0"/>
        <v>12-AUG</v>
      </c>
      <c r="T4" s="26" t="str">
        <f>UPPER(TEXT(S4+DayInterval,"[$-412]dd-M"))</f>
        <v>26-8</v>
      </c>
    </row>
    <row r="5" spans="1:23" s="9" customFormat="1" ht="20.25" customHeight="1" x14ac:dyDescent="0.25">
      <c r="C5" s="10" t="str">
        <f>UPPER(TEXT(H2,"[$-412]M월 d일"))</f>
        <v>1월 1일</v>
      </c>
      <c r="D5" s="11" t="str">
        <f t="shared" ref="D5:T5" si="1">UPPER(TEXT(C4+DayInterval,"[$-412]M월 d일"))</f>
        <v>1월 15일</v>
      </c>
      <c r="E5" s="11" t="str">
        <f t="shared" si="1"/>
        <v>1월 29일</v>
      </c>
      <c r="F5" s="10" t="str">
        <f t="shared" si="1"/>
        <v>2월 12일</v>
      </c>
      <c r="G5" s="10" t="str">
        <f t="shared" si="1"/>
        <v>2월 26일</v>
      </c>
      <c r="H5" s="10" t="str">
        <f t="shared" si="1"/>
        <v>3월 11일</v>
      </c>
      <c r="I5" s="10" t="str">
        <f t="shared" si="1"/>
        <v>3월 25일</v>
      </c>
      <c r="J5" s="10" t="str">
        <f t="shared" si="1"/>
        <v>4월 8일</v>
      </c>
      <c r="K5" s="10" t="str">
        <f t="shared" si="1"/>
        <v>4월 22일</v>
      </c>
      <c r="L5" s="10" t="str">
        <f t="shared" si="1"/>
        <v>5월 6일</v>
      </c>
      <c r="M5" s="10" t="str">
        <f t="shared" si="1"/>
        <v>5월 20일</v>
      </c>
      <c r="N5" s="10" t="str">
        <f t="shared" si="1"/>
        <v>6월 3일</v>
      </c>
      <c r="O5" s="10" t="str">
        <f t="shared" si="1"/>
        <v>6월 17일</v>
      </c>
      <c r="P5" s="10" t="str">
        <f t="shared" si="1"/>
        <v>7월 1일</v>
      </c>
      <c r="Q5" s="10" t="str">
        <f t="shared" si="1"/>
        <v>7월 15일</v>
      </c>
      <c r="R5" s="10" t="str">
        <f t="shared" si="1"/>
        <v>7월 29일</v>
      </c>
      <c r="S5" s="10" t="str">
        <f t="shared" si="1"/>
        <v>8월 12일</v>
      </c>
      <c r="T5" s="10" t="str">
        <f t="shared" si="1"/>
        <v>8월 26일</v>
      </c>
      <c r="U5" s="12" t="s">
        <v>23</v>
      </c>
      <c r="V5" s="13" t="s">
        <v>24</v>
      </c>
      <c r="W5" s="3"/>
    </row>
    <row r="6" spans="1:23" s="14" customFormat="1" ht="21.75" customHeight="1" x14ac:dyDescent="0.25">
      <c r="B6" s="15" t="s">
        <v>18</v>
      </c>
      <c r="C6" s="25">
        <f>IncomeTable[[#Totals],[Week 1]]-ExpensesTable[[#Totals],[Week 1]]</f>
        <v>1750000</v>
      </c>
      <c r="D6" s="25">
        <f>IncomeTable[[#Totals],[Week 2]]-ExpensesTable[[#Totals],[Week 2]]</f>
        <v>2236000</v>
      </c>
      <c r="E6" s="25">
        <f>IncomeTable[[#Totals],[Week 3]]-ExpensesTable[[#Totals],[Week 3]]</f>
        <v>1442000</v>
      </c>
      <c r="F6" s="25">
        <f>IncomeTable[[#Totals],[Week 4]]-ExpensesTable[[#Totals],[Week 4]]</f>
        <v>2253000</v>
      </c>
      <c r="G6" s="25">
        <f>IncomeTable[[#Totals],[Week 5]]-ExpensesTable[[#Totals],[Week 5]]</f>
        <v>1533000</v>
      </c>
      <c r="H6" s="25">
        <f>IncomeTable[[#Totals],[Week 6]]-ExpensesTable[[#Totals],[Week 6]]</f>
        <v>1086000</v>
      </c>
      <c r="I6" s="25">
        <f>IncomeTable[[#Totals],[Week 7]]-ExpensesTable[[#Totals],[Week 7]]</f>
        <v>1594000</v>
      </c>
      <c r="J6" s="25">
        <f>IncomeTable[[#Totals],[Week 8]]-ExpensesTable[[#Totals],[Week 8]]</f>
        <v>0</v>
      </c>
      <c r="K6" s="25">
        <f>IncomeTable[[#Totals],[Week 9]]-ExpensesTable[[#Totals],[Week 9]]</f>
        <v>0</v>
      </c>
      <c r="L6" s="25">
        <f>IncomeTable[[#Totals],[Week 10]]-ExpensesTable[[#Totals],[Week 10]]</f>
        <v>0</v>
      </c>
      <c r="M6" s="25">
        <f>IncomeTable[[#Totals],[Week 11]]-ExpensesTable[[#Totals],[Week 11]]</f>
        <v>0</v>
      </c>
      <c r="N6" s="25">
        <f>IncomeTable[[#Totals],[Week 12]]-ExpensesTable[[#Totals],[Week 12]]</f>
        <v>0</v>
      </c>
      <c r="O6" s="25">
        <f>IncomeTable[[#Totals],[Week 13]]-ExpensesTable[[#Totals],[Week 13]]</f>
        <v>0</v>
      </c>
      <c r="P6" s="25">
        <f>IncomeTable[[#Totals],[Week 14]]-ExpensesTable[[#Totals],[Week 14]]</f>
        <v>0</v>
      </c>
      <c r="Q6" s="25">
        <f>IncomeTable[[#Totals],[Week 15]]-ExpensesTable[[#Totals],[Week 15]]</f>
        <v>0</v>
      </c>
      <c r="R6" s="25">
        <f>IncomeTable[[#Totals],[Week 16]]-ExpensesTable[[#Totals],[Week 16]]</f>
        <v>0</v>
      </c>
      <c r="S6" s="25">
        <f>IncomeTable[[#Totals],[Week 17]]-ExpensesTable[[#Totals],[Week 17]]</f>
        <v>0</v>
      </c>
      <c r="T6" s="25">
        <f>IncomeTable[[#Totals],[Week 18]]-ExpensesTable[[#Totals],[Week 18]]</f>
        <v>0</v>
      </c>
      <c r="U6" s="25">
        <f>IncomeTable[[#Totals],[Total]]-ExpensesTable[[#Totals],[Total]]</f>
        <v>11894000</v>
      </c>
      <c r="V6" s="16"/>
      <c r="W6" s="3"/>
    </row>
    <row r="8" spans="1:23" ht="26.25" x14ac:dyDescent="0.5">
      <c r="A8" s="17" t="s">
        <v>17</v>
      </c>
      <c r="D8" s="1"/>
      <c r="E8" s="1"/>
    </row>
    <row r="9" spans="1:23" ht="18" customHeight="1" x14ac:dyDescent="0.25">
      <c r="B9" s="18" t="s">
        <v>14</v>
      </c>
      <c r="C9" s="19">
        <v>3000000</v>
      </c>
      <c r="D9" s="19">
        <v>3500000</v>
      </c>
      <c r="E9" s="19">
        <v>2978000</v>
      </c>
      <c r="F9" s="19">
        <v>3384000</v>
      </c>
      <c r="G9" s="19">
        <v>2858000</v>
      </c>
      <c r="H9" s="19">
        <v>2809000</v>
      </c>
      <c r="I9" s="19">
        <v>3220000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>
        <f>SUM(IncomeTable[[#This Row],[Week 1]:[Week 18]])</f>
        <v>21749000</v>
      </c>
      <c r="V9" s="18"/>
    </row>
    <row r="10" spans="1:23" ht="18" customHeight="1" x14ac:dyDescent="0.25">
      <c r="B10" s="18" t="s">
        <v>15</v>
      </c>
      <c r="C10" s="21">
        <v>1150000</v>
      </c>
      <c r="D10" s="21">
        <v>1200000</v>
      </c>
      <c r="E10" s="21">
        <v>1144000</v>
      </c>
      <c r="F10" s="21">
        <v>1400000</v>
      </c>
      <c r="G10" s="21">
        <v>1358000</v>
      </c>
      <c r="H10" s="21">
        <v>1154000</v>
      </c>
      <c r="I10" s="21">
        <v>1245000</v>
      </c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>
        <f>SUM(IncomeTable[[#This Row],[Week 1]:[Week 18]])</f>
        <v>8651000</v>
      </c>
      <c r="V10" s="18"/>
    </row>
    <row r="11" spans="1:23" ht="18" customHeight="1" x14ac:dyDescent="0.25">
      <c r="B11" s="18" t="s">
        <v>16</v>
      </c>
      <c r="C11" s="21">
        <v>300000</v>
      </c>
      <c r="D11" s="21">
        <v>350000</v>
      </c>
      <c r="E11" s="21">
        <v>392000</v>
      </c>
      <c r="F11" s="21">
        <v>326000</v>
      </c>
      <c r="G11" s="21">
        <v>381000</v>
      </c>
      <c r="H11" s="21">
        <v>364000</v>
      </c>
      <c r="I11" s="21">
        <v>315000</v>
      </c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>
        <f>SUM(IncomeTable[[#This Row],[Week 1]:[Week 18]])</f>
        <v>2428000</v>
      </c>
      <c r="V11" s="18"/>
    </row>
    <row r="12" spans="1:23" ht="18.75" customHeight="1" x14ac:dyDescent="0.25">
      <c r="B12" s="18" t="s">
        <v>13</v>
      </c>
      <c r="C12" s="20">
        <f>SUBTOTAL(109,IncomeTable[Week 1])</f>
        <v>4450000</v>
      </c>
      <c r="D12" s="20">
        <f>SUBTOTAL(109,IncomeTable[Week 2])</f>
        <v>5050000</v>
      </c>
      <c r="E12" s="20">
        <f>SUBTOTAL(109,IncomeTable[Week 3])</f>
        <v>4514000</v>
      </c>
      <c r="F12" s="20">
        <f>SUBTOTAL(109,IncomeTable[Week 4])</f>
        <v>5110000</v>
      </c>
      <c r="G12" s="20">
        <f>SUBTOTAL(109,IncomeTable[Week 5])</f>
        <v>4597000</v>
      </c>
      <c r="H12" s="20">
        <f>SUBTOTAL(109,IncomeTable[Week 6])</f>
        <v>4327000</v>
      </c>
      <c r="I12" s="20">
        <f>SUBTOTAL(109,IncomeTable[Week 7])</f>
        <v>4780000</v>
      </c>
      <c r="J12" s="20">
        <f>SUBTOTAL(109,IncomeTable[Week 8])</f>
        <v>0</v>
      </c>
      <c r="K12" s="20">
        <f>SUBTOTAL(109,IncomeTable[Week 9])</f>
        <v>0</v>
      </c>
      <c r="L12" s="20">
        <f>SUBTOTAL(109,IncomeTable[Week 10])</f>
        <v>0</v>
      </c>
      <c r="M12" s="20">
        <f>SUBTOTAL(109,IncomeTable[Week 11])</f>
        <v>0</v>
      </c>
      <c r="N12" s="20">
        <f>SUBTOTAL(109,IncomeTable[Week 12])</f>
        <v>0</v>
      </c>
      <c r="O12" s="20">
        <f>SUBTOTAL(109,IncomeTable[Week 13])</f>
        <v>0</v>
      </c>
      <c r="P12" s="20">
        <f>SUBTOTAL(109,IncomeTable[Week 14])</f>
        <v>0</v>
      </c>
      <c r="Q12" s="20">
        <f>SUBTOTAL(109,IncomeTable[Week 15])</f>
        <v>0</v>
      </c>
      <c r="R12" s="20">
        <f>SUBTOTAL(109,IncomeTable[Week 16])</f>
        <v>0</v>
      </c>
      <c r="S12" s="20">
        <f>SUBTOTAL(109,IncomeTable[Week 17])</f>
        <v>0</v>
      </c>
      <c r="T12" s="20">
        <f>SUBTOTAL(109,IncomeTable[Week 18])</f>
        <v>0</v>
      </c>
      <c r="U12" s="20">
        <f>SUBTOTAL(109,IncomeTable[Total])</f>
        <v>32828000</v>
      </c>
      <c r="V12" s="18"/>
    </row>
    <row r="13" spans="1:23" ht="18" customHeight="1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3" s="3" customFormat="1" ht="18" customHeight="1" x14ac:dyDescent="0.5">
      <c r="A14" s="17" t="s">
        <v>12</v>
      </c>
    </row>
    <row r="15" spans="1:23" ht="18" customHeight="1" x14ac:dyDescent="0.25">
      <c r="B15" s="18" t="s">
        <v>0</v>
      </c>
      <c r="C15" s="19">
        <v>1500000</v>
      </c>
      <c r="D15" s="19">
        <v>1577000</v>
      </c>
      <c r="E15" s="19">
        <v>1823000</v>
      </c>
      <c r="F15" s="19">
        <v>1529000</v>
      </c>
      <c r="G15" s="19">
        <v>1759000</v>
      </c>
      <c r="H15" s="19">
        <v>1947000</v>
      </c>
      <c r="I15" s="19">
        <v>1875000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>
        <f>SUM(ExpensesTable[[#This Row],[Week 1]:[Week 18]])</f>
        <v>12010000</v>
      </c>
      <c r="V15" s="18"/>
    </row>
    <row r="16" spans="1:23" ht="18" customHeight="1" x14ac:dyDescent="0.25">
      <c r="B16" s="18" t="s">
        <v>1</v>
      </c>
      <c r="C16" s="23">
        <v>1000000</v>
      </c>
      <c r="D16" s="23">
        <v>1000000</v>
      </c>
      <c r="E16" s="23">
        <v>1000000</v>
      </c>
      <c r="F16" s="23">
        <v>1000000</v>
      </c>
      <c r="G16" s="23">
        <v>1000000</v>
      </c>
      <c r="H16" s="23">
        <v>1000000</v>
      </c>
      <c r="I16" s="23">
        <v>1000000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f>SUM(ExpensesTable[[#This Row],[Week 1]:[Week 18]])</f>
        <v>7000000</v>
      </c>
      <c r="V16" s="18"/>
    </row>
    <row r="17" spans="2:22" ht="18" customHeight="1" x14ac:dyDescent="0.25">
      <c r="B17" s="18" t="s">
        <v>2</v>
      </c>
      <c r="C17" s="23">
        <v>40000</v>
      </c>
      <c r="D17" s="23">
        <v>43000</v>
      </c>
      <c r="E17" s="23">
        <v>40000</v>
      </c>
      <c r="F17" s="23">
        <v>42000</v>
      </c>
      <c r="G17" s="23">
        <v>45000</v>
      </c>
      <c r="H17" s="23">
        <v>40000</v>
      </c>
      <c r="I17" s="23">
        <v>42000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>
        <f>SUM(ExpensesTable[[#This Row],[Week 1]:[Week 18]])</f>
        <v>292000</v>
      </c>
      <c r="V17" s="18"/>
    </row>
    <row r="18" spans="2:22" ht="18" customHeight="1" x14ac:dyDescent="0.25">
      <c r="B18" s="18" t="s">
        <v>3</v>
      </c>
      <c r="C18" s="23">
        <v>12000</v>
      </c>
      <c r="D18" s="23">
        <v>11000</v>
      </c>
      <c r="E18" s="23">
        <v>13000</v>
      </c>
      <c r="F18" s="23">
        <v>14000</v>
      </c>
      <c r="G18" s="23">
        <v>11000</v>
      </c>
      <c r="H18" s="23">
        <v>15000</v>
      </c>
      <c r="I18" s="23">
        <v>15000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>
        <f>SUM(ExpensesTable[[#This Row],[Week 1]:[Week 18]])</f>
        <v>91000</v>
      </c>
      <c r="V18" s="18"/>
    </row>
    <row r="19" spans="2:22" ht="18" customHeight="1" x14ac:dyDescent="0.25">
      <c r="B19" s="18" t="s">
        <v>4</v>
      </c>
      <c r="C19" s="23">
        <v>15000</v>
      </c>
      <c r="D19" s="23">
        <v>15000</v>
      </c>
      <c r="E19" s="23">
        <v>15000</v>
      </c>
      <c r="F19" s="23">
        <v>15000</v>
      </c>
      <c r="G19" s="23">
        <v>15000</v>
      </c>
      <c r="H19" s="23">
        <v>15000</v>
      </c>
      <c r="I19" s="23">
        <v>15000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>
        <f>SUM(ExpensesTable[[#This Row],[Week 1]:[Week 18]])</f>
        <v>105000</v>
      </c>
      <c r="V19" s="18"/>
    </row>
    <row r="20" spans="2:22" ht="18" customHeight="1" x14ac:dyDescent="0.25">
      <c r="B20" s="18" t="s">
        <v>5</v>
      </c>
      <c r="C20" s="23">
        <v>11000</v>
      </c>
      <c r="D20" s="23">
        <v>10000</v>
      </c>
      <c r="E20" s="23">
        <v>13000</v>
      </c>
      <c r="F20" s="23">
        <v>10000</v>
      </c>
      <c r="G20" s="23">
        <v>13000</v>
      </c>
      <c r="H20" s="23">
        <v>10000</v>
      </c>
      <c r="I20" s="23">
        <v>12000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>
        <f>SUM(ExpensesTable[[#This Row],[Week 1]:[Week 18]])</f>
        <v>79000</v>
      </c>
      <c r="V20" s="18"/>
    </row>
    <row r="21" spans="2:22" ht="18" customHeight="1" x14ac:dyDescent="0.25">
      <c r="B21" s="18" t="s">
        <v>6</v>
      </c>
      <c r="C21" s="23">
        <v>23000</v>
      </c>
      <c r="D21" s="23">
        <v>27000</v>
      </c>
      <c r="E21" s="23">
        <v>26000</v>
      </c>
      <c r="F21" s="23">
        <v>27000</v>
      </c>
      <c r="G21" s="23">
        <v>22000</v>
      </c>
      <c r="H21" s="23">
        <v>29000</v>
      </c>
      <c r="I21" s="23">
        <v>21000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>
        <f>SUM(ExpensesTable[[#This Row],[Week 1]:[Week 18]])</f>
        <v>175000</v>
      </c>
      <c r="V21" s="18"/>
    </row>
    <row r="22" spans="2:22" ht="18" customHeight="1" x14ac:dyDescent="0.25">
      <c r="B22" s="18" t="s">
        <v>7</v>
      </c>
      <c r="C22" s="23">
        <v>4000</v>
      </c>
      <c r="D22" s="23">
        <v>4000</v>
      </c>
      <c r="E22" s="23">
        <v>4000</v>
      </c>
      <c r="F22" s="23">
        <v>4000</v>
      </c>
      <c r="G22" s="23">
        <v>4000</v>
      </c>
      <c r="H22" s="23">
        <v>4000</v>
      </c>
      <c r="I22" s="23">
        <v>4000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>
        <f>SUM(ExpensesTable[[#This Row],[Week 1]:[Week 18]])</f>
        <v>28000</v>
      </c>
      <c r="V22" s="18"/>
    </row>
    <row r="23" spans="2:22" ht="18" customHeight="1" x14ac:dyDescent="0.25">
      <c r="B23" s="18" t="s">
        <v>8</v>
      </c>
      <c r="C23" s="24">
        <v>10000</v>
      </c>
      <c r="D23" s="24">
        <v>10000</v>
      </c>
      <c r="E23" s="24">
        <v>10000</v>
      </c>
      <c r="F23" s="24">
        <v>10000</v>
      </c>
      <c r="G23" s="24">
        <v>10000</v>
      </c>
      <c r="H23" s="24">
        <v>10000</v>
      </c>
      <c r="I23" s="24">
        <v>10000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>
        <f>SUM(ExpensesTable[[#This Row],[Week 1]:[Week 18]])</f>
        <v>70000</v>
      </c>
      <c r="V23" s="18"/>
    </row>
    <row r="24" spans="2:22" ht="18" customHeight="1" x14ac:dyDescent="0.25">
      <c r="B24" s="18" t="s">
        <v>9</v>
      </c>
      <c r="C24" s="23">
        <v>25000</v>
      </c>
      <c r="D24" s="23">
        <v>57000</v>
      </c>
      <c r="E24" s="23">
        <v>68000</v>
      </c>
      <c r="F24" s="23">
        <v>146000</v>
      </c>
      <c r="G24" s="23">
        <v>125000</v>
      </c>
      <c r="H24" s="23">
        <v>111000</v>
      </c>
      <c r="I24" s="23">
        <v>132000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>
        <f>SUM(ExpensesTable[[#This Row],[Week 1]:[Week 18]])</f>
        <v>664000</v>
      </c>
      <c r="V24" s="18"/>
    </row>
    <row r="25" spans="2:22" ht="18" customHeight="1" x14ac:dyDescent="0.25">
      <c r="B25" s="18" t="s">
        <v>10</v>
      </c>
      <c r="C25" s="23">
        <v>60000</v>
      </c>
      <c r="D25" s="23">
        <v>60000</v>
      </c>
      <c r="E25" s="23">
        <v>60000</v>
      </c>
      <c r="F25" s="23">
        <v>60000</v>
      </c>
      <c r="G25" s="23">
        <v>60000</v>
      </c>
      <c r="H25" s="23">
        <v>60000</v>
      </c>
      <c r="I25" s="23">
        <v>60000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>
        <f>SUM(ExpensesTable[[#This Row],[Week 1]:[Week 18]])</f>
        <v>420000</v>
      </c>
      <c r="V25" s="18"/>
    </row>
    <row r="26" spans="2:22" ht="18" customHeight="1" x14ac:dyDescent="0.25">
      <c r="B26" s="18" t="s">
        <v>11</v>
      </c>
      <c r="C26" s="20">
        <f>SUBTOTAL(109,ExpensesTable[Week 1])</f>
        <v>2700000</v>
      </c>
      <c r="D26" s="20">
        <f>SUBTOTAL(109,ExpensesTable[Week 2])</f>
        <v>2814000</v>
      </c>
      <c r="E26" s="20">
        <f>SUBTOTAL(109,ExpensesTable[Week 3])</f>
        <v>3072000</v>
      </c>
      <c r="F26" s="20">
        <f>SUBTOTAL(109,ExpensesTable[Week 4])</f>
        <v>2857000</v>
      </c>
      <c r="G26" s="20">
        <f>SUBTOTAL(109,ExpensesTable[Week 5])</f>
        <v>3064000</v>
      </c>
      <c r="H26" s="20">
        <f>SUBTOTAL(109,ExpensesTable[Week 6])</f>
        <v>3241000</v>
      </c>
      <c r="I26" s="20">
        <f>SUBTOTAL(109,ExpensesTable[Week 7])</f>
        <v>3186000</v>
      </c>
      <c r="J26" s="20">
        <f>SUBTOTAL(109,ExpensesTable[Week 8])</f>
        <v>0</v>
      </c>
      <c r="K26" s="20">
        <f>SUBTOTAL(109,ExpensesTable[Week 9])</f>
        <v>0</v>
      </c>
      <c r="L26" s="20">
        <f>SUBTOTAL(109,ExpensesTable[Week 10])</f>
        <v>0</v>
      </c>
      <c r="M26" s="20">
        <f>SUBTOTAL(109,ExpensesTable[Week 11])</f>
        <v>0</v>
      </c>
      <c r="N26" s="20">
        <f>SUBTOTAL(109,ExpensesTable[Week 12])</f>
        <v>0</v>
      </c>
      <c r="O26" s="20">
        <f>SUBTOTAL(109,ExpensesTable[Week 13])</f>
        <v>0</v>
      </c>
      <c r="P26" s="20">
        <f>SUBTOTAL(109,ExpensesTable[Week 14])</f>
        <v>0</v>
      </c>
      <c r="Q26" s="20">
        <f>SUBTOTAL(109,ExpensesTable[Week 15])</f>
        <v>0</v>
      </c>
      <c r="R26" s="20">
        <f>SUBTOTAL(109,ExpensesTable[Week 16])</f>
        <v>0</v>
      </c>
      <c r="S26" s="20">
        <f>SUBTOTAL(109,ExpensesTable[Week 17])</f>
        <v>0</v>
      </c>
      <c r="T26" s="20">
        <f>SUBTOTAL(109,ExpensesTable[Week 18])</f>
        <v>0</v>
      </c>
      <c r="U26" s="20">
        <f>SUBTOTAL(109,ExpensesTable[Total])</f>
        <v>20934000</v>
      </c>
      <c r="V26" s="18"/>
    </row>
    <row r="27" spans="2:22" ht="15.75" customHeight="1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</sheetData>
  <mergeCells count="4">
    <mergeCell ref="B13:U13"/>
    <mergeCell ref="I2:J2"/>
    <mergeCell ref="B1:E2"/>
    <mergeCell ref="B27:V27"/>
  </mergeCells>
  <phoneticPr fontId="3" type="noConversion"/>
  <printOptions horizontalCentered="1"/>
  <pageMargins left="0.25" right="0.25" top="0.5" bottom="0.75" header="0.3" footer="0.3"/>
  <pageSetup paperSize="5" scale="62" fitToHeight="0" orientation="landscape" horizontalDpi="4294967293" r:id="rId1"/>
  <colBreaks count="1" manualBreakCount="1">
    <brk id="12" max="26" man="1"/>
  </colBreaks>
  <drawing r:id="rId2"/>
  <tableParts count="2"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'구간별 예산(18개 구간)'!C26:T26</xm:f>
              <xm:sqref>V26</xm:sqref>
            </x14:sparkline>
            <x14:sparkline>
              <xm:f>'구간별 예산(18개 구간)'!C12:T12</xm:f>
              <xm:sqref>V12</xm:sqref>
            </x14:sparkline>
          </x14:sparklines>
        </x14:sparklineGroup>
        <x14:sparklineGroup type="column"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'구간별 예산(18개 구간)'!C6:T6</xm:f>
              <xm:sqref>V6</xm:sqref>
            </x14:sparkline>
          </x14:sparklines>
        </x14:sparklineGroup>
        <x14:sparklineGroup displayEmptyCellsAs="gap" markers="1" high="1" low="1">
          <x14:colorSeries theme="0"/>
          <x14:colorNegative rgb="FFFF0000"/>
          <x14:colorAxis rgb="FF000000"/>
          <x14:colorMarkers theme="0"/>
          <x14:colorFirst rgb="FFFFC000"/>
          <x14:colorLast rgb="FFFFC000"/>
          <x14:colorHigh rgb="FF00B050"/>
          <x14:colorLow rgb="FFFF0000"/>
          <x14:sparklines>
            <x14:sparkline>
              <xm:f>'구간별 예산(18개 구간)'!C15:T15</xm:f>
              <xm:sqref>V15</xm:sqref>
            </x14:sparkline>
            <x14:sparkline>
              <xm:f>'구간별 예산(18개 구간)'!C9:T9</xm:f>
              <xm:sqref>V9</xm:sqref>
            </x14:sparkline>
            <x14:sparkline>
              <xm:f>'구간별 예산(18개 구간)'!C10:T10</xm:f>
              <xm:sqref>V10</xm:sqref>
            </x14:sparkline>
            <x14:sparkline>
              <xm:f>'구간별 예산(18개 구간)'!C11:T11</xm:f>
              <xm:sqref>V11</xm:sqref>
            </x14:sparkline>
            <x14:sparkline>
              <xm:f>'구간별 예산(18개 구간)'!C16:T16</xm:f>
              <xm:sqref>V16</xm:sqref>
            </x14:sparkline>
            <x14:sparkline>
              <xm:f>'구간별 예산(18개 구간)'!C17:T17</xm:f>
              <xm:sqref>V17</xm:sqref>
            </x14:sparkline>
            <x14:sparkline>
              <xm:f>'구간별 예산(18개 구간)'!C18:T18</xm:f>
              <xm:sqref>V18</xm:sqref>
            </x14:sparkline>
            <x14:sparkline>
              <xm:f>'구간별 예산(18개 구간)'!C19:T19</xm:f>
              <xm:sqref>V19</xm:sqref>
            </x14:sparkline>
            <x14:sparkline>
              <xm:f>'구간별 예산(18개 구간)'!C20:T20</xm:f>
              <xm:sqref>V20</xm:sqref>
            </x14:sparkline>
            <x14:sparkline>
              <xm:f>'구간별 예산(18개 구간)'!C21:T21</xm:f>
              <xm:sqref>V21</xm:sqref>
            </x14:sparkline>
            <x14:sparkline>
              <xm:f>'구간별 예산(18개 구간)'!C22:T22</xm:f>
              <xm:sqref>V22</xm:sqref>
            </x14:sparkline>
            <x14:sparkline>
              <xm:f>'구간별 예산(18개 구간)'!C23:T23</xm:f>
              <xm:sqref>V23</xm:sqref>
            </x14:sparkline>
            <x14:sparkline>
              <xm:f>'구간별 예산(18개 구간)'!C24:T24</xm:f>
              <xm:sqref>V24</xm:sqref>
            </x14:sparkline>
            <x14:sparkline>
              <xm:f>'구간별 예산(18개 구간)'!C25:T25</xm:f>
              <xm:sqref>V25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2029-01-01T08:00:00+00:00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>false</IntlLangReview>
    <LocLastLocAttemptVersionLookup xmlns="49c1fb53-399a-4d91-bfc2-0a118990ebe4">845895</LocLastLocAttemptVersionLookup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 xsi:nil="true"/>
    <Markets xmlns="49c1fb53-399a-4d91-bfc2-0a118990ebe4"/>
    <OriginAsset xmlns="49c1fb53-399a-4d91-bfc2-0a118990ebe4" xsi:nil="true"/>
    <AssetStart xmlns="49c1fb53-399a-4d91-bfc2-0a118990ebe4">2012-06-28T22:29:46+00:00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468506</Value>
    </PublishStatusLookup>
    <APAuthor xmlns="49c1fb53-399a-4d91-bfc2-0a118990ebe4">
      <UserInfo>
        <DisplayName/>
        <AccountId>2566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 xsi:nil="true"/>
    <MachineTranslated xmlns="49c1fb53-399a-4d91-bfc2-0a118990ebe4">false</MachineTranslated>
    <OutputCachingOn xmlns="49c1fb53-399a-4d91-bfc2-0a118990ebe4">false</OutputCachingOn>
    <TemplateStatus xmlns="49c1fb53-399a-4d91-bfc2-0a118990ebe4">Complete</TemplateStatus>
    <IsSearchable xmlns="49c1fb53-399a-4d91-bfc2-0a118990ebe4">false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 xsi:nil="true"/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LocMarketGroupTiers2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false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Spreadsheet Template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Provider xmlns="49c1fb53-399a-4d91-bfc2-0a118990ebe4" xsi:nil="true"/>
    <UACurrentWords xmlns="49c1fb53-399a-4d91-bfc2-0a118990ebe4" xsi:nil="true"/>
    <AssetId xmlns="49c1fb53-399a-4d91-bfc2-0a118990ebe4">TP102929989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OfficeOnlineVNext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OriginalRelease xmlns="49c1fb53-399a-4d91-bfc2-0a118990ebe4">15</OriginalRelease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</documentManagement>
</p:properties>
</file>

<file path=customXml/itemProps1.xml><?xml version="1.0" encoding="utf-8"?>
<ds:datastoreItem xmlns:ds="http://schemas.openxmlformats.org/officeDocument/2006/customXml" ds:itemID="{D4E7C168-553B-4FA6-9782-E5E9A70D4E19}"/>
</file>

<file path=customXml/itemProps2.xml><?xml version="1.0" encoding="utf-8"?>
<ds:datastoreItem xmlns:ds="http://schemas.openxmlformats.org/officeDocument/2006/customXml" ds:itemID="{74E4B3A2-82A0-42FB-A840-A603677FC3BB}"/>
</file>

<file path=customXml/itemProps3.xml><?xml version="1.0" encoding="utf-8"?>
<ds:datastoreItem xmlns:ds="http://schemas.openxmlformats.org/officeDocument/2006/customXml" ds:itemID="{83900137-7195-4650-9481-D4D8CF5AC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4</vt:i4>
      </vt:variant>
    </vt:vector>
  </HeadingPairs>
  <TitlesOfParts>
    <vt:vector size="5" baseType="lpstr">
      <vt:lpstr>구간별 예산(18개 구간)</vt:lpstr>
      <vt:lpstr>DayInterval</vt:lpstr>
      <vt:lpstr>EndDate</vt:lpstr>
      <vt:lpstr>'구간별 예산(18개 구간)'!Print_Titles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2011-05-24T19:10:18Z</dcterms:created>
  <dcterms:modified xsi:type="dcterms:W3CDTF">2012-09-20T07:47:08Z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