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zh-TW\"/>
    </mc:Choice>
  </mc:AlternateContent>
  <xr:revisionPtr revIDLastSave="0" documentId="13_ncr:1_{B5DB5BA4-6965-4251-B15C-81A88A4A920D}" xr6:coauthVersionLast="43" xr6:coauthVersionMax="43" xr10:uidLastSave="{00000000-0000-0000-0000-000000000000}"/>
  <bookViews>
    <workbookView xWindow="-120" yWindow="-120" windowWidth="28980" windowHeight="14415" xr2:uid="{00000000-000D-0000-FFFF-FFFF00000000}"/>
  </bookViews>
  <sheets>
    <sheet name="貸款計算工具" sheetId="1" r:id="rId1"/>
  </sheets>
  <definedNames>
    <definedName name="CombinedMonthlyPayment">CollegeLoans[[#Totals],[目前每月還款金額]]</definedName>
    <definedName name="ConsLoanPayback">貸款計算工具!$L$19</definedName>
    <definedName name="EstimatedAnnualSalary">貸款計算工具!$F$2</definedName>
    <definedName name="EstimatedMonthlySalary">貸款計算工具!$L$21</definedName>
    <definedName name="LoanPaybackStart">貸款計算工具!$K$2</definedName>
    <definedName name="LoanStartLToday">IF(LoanPaybackStart&lt;TODAY(),TRUE,FALSE)</definedName>
    <definedName name="PercentAboveBelow">IF(CollegeLoans[[#Totals],[已排程還款]]/EstimatedMonthlySalary&gt;=0.08,"以上","以下")</definedName>
    <definedName name="PercentageOfIncome">CollegeLoans[[#Totals],[已排程還款]]/EstimatedMonthlySalary</definedName>
    <definedName name="PercentageOfMonthlyIncome">CollegeLoans[[#Totals],[目前每月還款金額]]/EstimatedMonthlySalary</definedName>
    <definedName name="_xlnm.Print_Titles" localSheetId="0">貸款計算工具!$8:$9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K12" i="1"/>
  <c r="J12" i="1" s="1"/>
  <c r="L12" i="1" l="1"/>
  <c r="K2" i="1"/>
  <c r="I13" i="1" s="1"/>
  <c r="F10" i="1"/>
  <c r="I12" i="1" l="1"/>
  <c r="F11" i="1"/>
  <c r="I10" i="1" l="1"/>
  <c r="I16" i="1" l="1"/>
  <c r="I11" i="1"/>
  <c r="I14" i="1"/>
  <c r="I15" i="1"/>
  <c r="H13" i="1"/>
  <c r="H14" i="1"/>
  <c r="K13" i="1"/>
  <c r="J13" i="1" s="1"/>
  <c r="K14" i="1"/>
  <c r="L14" i="1" s="1"/>
  <c r="H15" i="1"/>
  <c r="K15" i="1"/>
  <c r="J15" i="1" s="1"/>
  <c r="H16" i="1"/>
  <c r="K16" i="1"/>
  <c r="J16" i="1" s="1"/>
  <c r="L21" i="1"/>
  <c r="E18" i="1"/>
  <c r="D18" i="1"/>
  <c r="D17" i="1"/>
  <c r="K11" i="1"/>
  <c r="L11" i="1" s="1"/>
  <c r="H11" i="1"/>
  <c r="K10" i="1"/>
  <c r="J10" i="1" s="1"/>
  <c r="H10" i="1"/>
  <c r="L15" i="1" l="1"/>
  <c r="L13" i="1"/>
  <c r="J11" i="1"/>
  <c r="L16" i="1"/>
  <c r="J14" i="1"/>
  <c r="I17" i="1"/>
  <c r="E6" i="1" s="1"/>
  <c r="L10" i="1"/>
  <c r="K17" i="1"/>
  <c r="L5" i="1" s="1"/>
  <c r="E5" i="1" l="1"/>
  <c r="L6" i="1"/>
  <c r="J18" i="1"/>
  <c r="J17" i="1"/>
  <c r="L19" i="1" s="1"/>
  <c r="L18" i="1"/>
  <c r="L17" i="1"/>
</calcChain>
</file>

<file path=xl/sharedStrings.xml><?xml version="1.0" encoding="utf-8"?>
<sst xmlns="http://schemas.openxmlformats.org/spreadsheetml/2006/main" count="32" uniqueCount="32">
  <si>
    <t>大學貸款計算工具</t>
  </si>
  <si>
    <t>目前您合併每月還款金額是：</t>
  </si>
  <si>
    <t>目前月收入的百分比：</t>
  </si>
  <si>
    <t>一般貸款明細</t>
  </si>
  <si>
    <t>貸款號碼</t>
  </si>
  <si>
    <t>10998M88</t>
  </si>
  <si>
    <t>20987N87</t>
  </si>
  <si>
    <t>總計</t>
  </si>
  <si>
    <t>平均值</t>
  </si>
  <si>
    <t>總計合併貸款償還額：</t>
  </si>
  <si>
    <t>畢業後估計月收入：</t>
  </si>
  <si>
    <t>貸方</t>
  </si>
  <si>
    <t>貸方 1</t>
  </si>
  <si>
    <t>貸方 2</t>
  </si>
  <si>
    <t>此儲存格之三角形向右箭頭指向預估年度薪資。</t>
  </si>
  <si>
    <t>貸款金額</t>
  </si>
  <si>
    <t>畢業後的預估年度薪資</t>
  </si>
  <si>
    <t>貸款償還資料</t>
  </si>
  <si>
    <t>開始日期</t>
  </si>
  <si>
    <t>長度 (年)</t>
  </si>
  <si>
    <t>合併已排程每月還款金額是：</t>
  </si>
  <si>
    <t xml:space="preserve">  已排程月收入的百分比：</t>
  </si>
  <si>
    <t>結束日期</t>
  </si>
  <si>
    <t>此儲存格之三角形向右箭頭指向您將開始償還貸款的日期。</t>
  </si>
  <si>
    <t>付款詳細資料​​</t>
  </si>
  <si>
    <t>目前每月還款金額</t>
  </si>
  <si>
    <t>將開始償還貸款的日期</t>
  </si>
  <si>
    <t>已排程還款</t>
  </si>
  <si>
    <r>
      <t xml:space="preserve"> 建議您的合計每月學生貸款償還額</t>
    </r>
    <r>
      <rPr>
        <b/>
        <sz val="16"/>
        <color theme="6" tint="-0.499984740745262"/>
        <rFont val="Microsoft JhengHei UI"/>
        <family val="2"/>
      </rPr>
      <t>不超過</t>
    </r>
    <r>
      <rPr>
        <sz val="16"/>
        <color theme="6" tint="-0.499984740745262"/>
        <rFont val="Microsoft JhengHei UI"/>
        <family val="2"/>
      </rPr>
      <t xml:space="preserve">您第一年年度薪資的 </t>
    </r>
    <r>
      <rPr>
        <b/>
        <sz val="16"/>
        <color theme="6" tint="-0.499984740745262"/>
        <rFont val="Microsoft JhengHei UI"/>
        <family val="2"/>
        <charset val="136"/>
      </rPr>
      <t>8%</t>
    </r>
    <r>
      <rPr>
        <sz val="16"/>
        <color theme="6" tint="-0.499984740745262"/>
        <rFont val="Microsoft JhengHei UI"/>
        <family val="2"/>
      </rPr>
      <t>。</t>
    </r>
    <phoneticPr fontId="27" type="noConversion"/>
  </si>
  <si>
    <t>總計利息</t>
    <phoneticPr fontId="27" type="noConversion"/>
  </si>
  <si>
    <t>年度付款金額</t>
    <phoneticPr fontId="27" type="noConversion"/>
  </si>
  <si>
    <t>年度利率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</si>
</sst>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&quot;NT$&quot;#,##0.00"/>
    <numFmt numFmtId="179" formatCode="_-&quot;NT$&quot;* #,##0_ ;_-&quot;NT$&quot;* \-#,##0\ ;_-&quot;NT$&quot;* &quot;-&quot;_ ;_-@_ "/>
    <numFmt numFmtId="180" formatCode="&quot;NT$&quot;#,##0"/>
  </numFmts>
  <fonts count="30" x14ac:knownFonts="1">
    <font>
      <sz val="11"/>
      <color theme="3"/>
      <name val="Microsoft JhengHei UI"/>
      <family val="2"/>
    </font>
    <font>
      <sz val="11"/>
      <color theme="1"/>
      <name val="Microsoft JhengHei UI"/>
      <family val="2"/>
    </font>
    <font>
      <sz val="11"/>
      <color theme="3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11"/>
      <color theme="3"/>
      <name val="Microsoft JhengHei UI"/>
      <family val="2"/>
    </font>
    <font>
      <b/>
      <sz val="29"/>
      <color theme="0"/>
      <name val="Microsoft JhengHei UI"/>
      <family val="2"/>
    </font>
    <font>
      <b/>
      <sz val="16"/>
      <color theme="6" tint="-0.24994659260841701"/>
      <name val="Microsoft JhengHei UI"/>
      <family val="2"/>
    </font>
    <font>
      <b/>
      <sz val="14"/>
      <color theme="3"/>
      <name val="Microsoft JhengHei UI"/>
      <family val="2"/>
    </font>
    <font>
      <b/>
      <sz val="17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theme="1" tint="0.34998626667073579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b/>
      <sz val="39"/>
      <color theme="6" tint="-0.499984740745262"/>
      <name val="Microsoft JhengHei UI"/>
      <family val="2"/>
    </font>
    <font>
      <b/>
      <sz val="30"/>
      <color theme="0"/>
      <name val="Microsoft JhengHei UI"/>
      <family val="2"/>
    </font>
    <font>
      <sz val="16"/>
      <color theme="6" tint="-0.499984740745262"/>
      <name val="Microsoft JhengHei UI"/>
      <family val="2"/>
    </font>
    <font>
      <b/>
      <sz val="16"/>
      <color theme="6" tint="-0.499984740745262"/>
      <name val="Microsoft JhengHei UI"/>
      <family val="2"/>
    </font>
    <font>
      <sz val="16"/>
      <color theme="3"/>
      <name val="Microsoft JhengHei UI"/>
      <family val="2"/>
    </font>
    <font>
      <b/>
      <sz val="14"/>
      <color theme="6" tint="-0.499984740745262"/>
      <name val="Microsoft JhengHei UI"/>
      <family val="2"/>
    </font>
    <font>
      <b/>
      <sz val="18"/>
      <color theme="0"/>
      <name val="Microsoft JhengHei UI"/>
      <family val="2"/>
    </font>
    <font>
      <sz val="9"/>
      <name val="細明體"/>
      <family val="3"/>
      <charset val="136"/>
    </font>
    <font>
      <sz val="11"/>
      <color theme="3"/>
      <name val="Calibri"/>
      <family val="2"/>
      <scheme val="minor"/>
    </font>
    <font>
      <b/>
      <sz val="16"/>
      <color theme="6" tint="-0.499984740745262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4" applyNumberFormat="0" applyFill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7" applyNumberFormat="0" applyAlignment="0" applyProtection="0"/>
    <xf numFmtId="0" fontId="17" fillId="8" borderId="8" applyNumberFormat="0" applyAlignment="0" applyProtection="0"/>
    <xf numFmtId="0" fontId="15" fillId="8" borderId="7" applyNumberFormat="0" applyAlignment="0" applyProtection="0"/>
    <xf numFmtId="0" fontId="19" fillId="0" borderId="9" applyNumberFormat="0" applyFill="0" applyAlignment="0" applyProtection="0"/>
    <xf numFmtId="0" fontId="10" fillId="9" borderId="10" applyNumberFormat="0" applyAlignment="0" applyProtection="0"/>
    <xf numFmtId="0" fontId="14" fillId="0" borderId="0" applyNumberFormat="0" applyFill="0" applyBorder="0" applyAlignment="0" applyProtection="0"/>
    <xf numFmtId="0" fontId="2" fillId="10" borderId="11" applyNumberFormat="0" applyFont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5" xfId="0" applyFill="1" applyBorder="1"/>
    <xf numFmtId="0" fontId="9" fillId="0" borderId="5" xfId="4" applyFill="1" applyBorder="1" applyAlignment="1">
      <alignment horizontal="right"/>
    </xf>
    <xf numFmtId="0" fontId="9" fillId="0" borderId="5" xfId="4" applyFill="1" applyBorder="1" applyAlignment="1">
      <alignment horizontal="center"/>
    </xf>
    <xf numFmtId="0" fontId="0" fillId="0" borderId="0" xfId="0" applyFill="1" applyAlignment="1"/>
    <xf numFmtId="0" fontId="24" fillId="0" borderId="0" xfId="0" applyFont="1" applyFill="1" applyAlignment="1">
      <alignment vertical="center"/>
    </xf>
    <xf numFmtId="178" fontId="25" fillId="0" borderId="0" xfId="0" applyNumberFormat="1" applyFont="1" applyFill="1" applyAlignment="1">
      <alignment horizontal="left" indent="2"/>
    </xf>
    <xf numFmtId="0" fontId="8" fillId="0" borderId="0" xfId="0" applyNumberFormat="1" applyFont="1" applyFill="1" applyAlignment="1"/>
    <xf numFmtId="10" fontId="25" fillId="0" borderId="0" xfId="2" applyNumberFormat="1" applyFont="1" applyFill="1" applyAlignment="1">
      <alignment horizontal="left" vertical="top" indent="2"/>
    </xf>
    <xf numFmtId="0" fontId="8" fillId="0" borderId="0" xfId="2" applyNumberFormat="1" applyFont="1" applyFill="1" applyAlignment="1">
      <alignment vertical="top"/>
    </xf>
    <xf numFmtId="10" fontId="2" fillId="0" borderId="1" xfId="2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 indent="2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 indent="3"/>
    </xf>
    <xf numFmtId="178" fontId="0" fillId="0" borderId="0" xfId="0" applyNumberFormat="1" applyFont="1" applyFill="1" applyBorder="1" applyAlignment="1">
      <alignment horizontal="right" vertical="center" indent="4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vertical="center"/>
    </xf>
    <xf numFmtId="178" fontId="10" fillId="3" borderId="0" xfId="0" applyNumberFormat="1" applyFont="1" applyFill="1" applyBorder="1" applyAlignment="1">
      <alignment horizontal="right" vertical="center" indent="2"/>
    </xf>
    <xf numFmtId="10" fontId="10" fillId="3" borderId="1" xfId="2" applyNumberFormat="1" applyFont="1" applyFill="1" applyBorder="1" applyAlignment="1">
      <alignment horizontal="center" vertical="center"/>
    </xf>
    <xf numFmtId="10" fontId="10" fillId="3" borderId="0" xfId="2" applyNumberFormat="1" applyFont="1" applyFill="1" applyBorder="1" applyAlignment="1">
      <alignment horizontal="center" vertical="center"/>
    </xf>
    <xf numFmtId="178" fontId="12" fillId="3" borderId="0" xfId="0" applyNumberFormat="1" applyFont="1" applyFill="1" applyBorder="1" applyAlignment="1">
      <alignment vertical="center"/>
    </xf>
    <xf numFmtId="178" fontId="10" fillId="3" borderId="0" xfId="0" applyNumberFormat="1" applyFont="1" applyFill="1" applyBorder="1" applyAlignment="1">
      <alignment vertical="center"/>
    </xf>
    <xf numFmtId="178" fontId="2" fillId="0" borderId="0" xfId="1" applyFont="1" applyFill="1" applyBorder="1" applyAlignment="1">
      <alignment horizontal="right" indent="2"/>
    </xf>
    <xf numFmtId="14" fontId="0" fillId="0" borderId="0" xfId="0" applyNumberFormat="1" applyFont="1" applyAlignment="1">
      <alignment horizontal="center"/>
    </xf>
    <xf numFmtId="178" fontId="0" fillId="0" borderId="0" xfId="1" applyFont="1" applyFill="1" applyBorder="1" applyAlignment="1">
      <alignment horizontal="right" indent="3"/>
    </xf>
    <xf numFmtId="178" fontId="0" fillId="0" borderId="0" xfId="1" applyFont="1" applyFill="1" applyBorder="1" applyAlignment="1">
      <alignment horizontal="right" indent="2"/>
    </xf>
    <xf numFmtId="178" fontId="0" fillId="0" borderId="0" xfId="1" applyFont="1" applyFill="1" applyBorder="1" applyAlignment="1">
      <alignment horizontal="right" indent="4"/>
    </xf>
    <xf numFmtId="178" fontId="28" fillId="0" borderId="0" xfId="1" applyFont="1" applyFill="1" applyBorder="1" applyAlignment="1">
      <alignment horizontal="right" indent="2"/>
    </xf>
    <xf numFmtId="10" fontId="28" fillId="0" borderId="1" xfId="2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2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6" fillId="2" borderId="0" xfId="3" applyAlignment="1">
      <alignment horizontal="center" wrapText="1"/>
    </xf>
    <xf numFmtId="180" fontId="20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9" fillId="0" borderId="0" xfId="4" applyFill="1" applyBorder="1" applyAlignment="1">
      <alignment horizontal="right"/>
    </xf>
    <xf numFmtId="178" fontId="23" fillId="0" borderId="0" xfId="0" applyNumberFormat="1" applyFont="1" applyAlignment="1"/>
    <xf numFmtId="0" fontId="9" fillId="0" borderId="0" xfId="4" applyFill="1" applyAlignment="1">
      <alignment horizontal="right"/>
    </xf>
    <xf numFmtId="178" fontId="25" fillId="0" borderId="0" xfId="0" applyNumberFormat="1" applyFont="1" applyFill="1" applyAlignment="1">
      <alignment horizontal="left" indent="3"/>
    </xf>
    <xf numFmtId="10" fontId="25" fillId="0" borderId="0" xfId="2" applyNumberFormat="1" applyFont="1" applyFill="1" applyAlignment="1">
      <alignment horizontal="left" vertical="top" indent="3"/>
    </xf>
    <xf numFmtId="0" fontId="26" fillId="2" borderId="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8" fillId="0" borderId="0" xfId="6" applyFill="1" applyAlignment="1">
      <alignment horizontal="left"/>
    </xf>
    <xf numFmtId="0" fontId="8" fillId="0" borderId="0" xfId="6" applyFill="1" applyAlignment="1">
      <alignment horizontal="left" vertical="top"/>
    </xf>
    <xf numFmtId="0" fontId="8" fillId="0" borderId="0" xfId="6" applyFill="1" applyAlignment="1">
      <alignment horizontal="left" indent="3"/>
    </xf>
    <xf numFmtId="0" fontId="8" fillId="0" borderId="0" xfId="6" applyFill="1" applyAlignment="1">
      <alignment horizontal="left" vertical="top" indent="2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10" builtinId="3" customBuiltin="1"/>
    <cellStyle name="千分位[0]" xfId="11" builtinId="6" customBuiltin="1"/>
    <cellStyle name="中等" xfId="15" builtinId="28" customBuiltin="1"/>
    <cellStyle name="合計" xfId="9" builtinId="25" customBuiltin="1"/>
    <cellStyle name="好" xfId="13" builtinId="26" customBuiltin="1"/>
    <cellStyle name="百分比" xfId="2" builtinId="5" customBuiltin="1"/>
    <cellStyle name="計算方式" xfId="18" builtinId="22" customBuiltin="1"/>
    <cellStyle name="貨幣" xfId="1" builtinId="4" customBuiltin="1"/>
    <cellStyle name="貨幣 [0]" xfId="12" builtinId="7" customBuiltin="1"/>
    <cellStyle name="連結的儲存格" xfId="19" builtinId="24" customBuiltin="1"/>
    <cellStyle name="備註" xfId="22" builtinId="10" customBuiltin="1"/>
    <cellStyle name="說明文字" xfId="8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3" builtinId="15" customBuiltin="1"/>
    <cellStyle name="標題 1" xfId="5" builtinId="16" customBuiltin="1"/>
    <cellStyle name="標題 2" xfId="6" builtinId="17" customBuiltin="1"/>
    <cellStyle name="標題 3" xfId="7" builtinId="18" customBuiltin="1"/>
    <cellStyle name="標題 4" xfId="4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178" formatCode="&quot;NT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178" formatCode="&quot;NT$&quot;#,##0.0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178" formatCode="&quot;NT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178" formatCode="&quot;NT$&quot;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19" formatCode="yyyy/m/d"/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19" formatCode="yyyy/m/d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178" formatCode="&quot;NT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大學貸款計算工具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箭號" descr="指向右側的三角型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711200</xdr:colOff>
      <xdr:row>1</xdr:row>
      <xdr:rowOff>38100</xdr:rowOff>
    </xdr:from>
    <xdr:to>
      <xdr:col>8</xdr:col>
      <xdr:colOff>1222375</xdr:colOff>
      <xdr:row>1</xdr:row>
      <xdr:rowOff>762000</xdr:rowOff>
    </xdr:to>
    <xdr:pic>
      <xdr:nvPicPr>
        <xdr:cNvPr id="21" name="箭號" descr="指向右側的三角型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1275" y="295275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箭號" descr="指向右側的三角型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箭號" descr="指向右側的三角型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箭號" descr="指向右側的三角型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箭號" descr="指向右側的三角型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llegeLoans" displayName="CollegeLoans" ref="B9:L17" totalsRowCount="1" headerRowDxfId="24" dataDxfId="23" totalsRowDxfId="22">
  <tableColumns count="11">
    <tableColumn id="1" xr3:uid="{00000000-0010-0000-0000-000001000000}" name="貸款號碼" totalsRowLabel="總計" dataDxfId="21" totalsRowDxfId="20"/>
    <tableColumn id="3" xr3:uid="{00000000-0010-0000-0000-000003000000}" name="貸方" dataDxfId="19" totalsRowDxfId="18"/>
    <tableColumn id="6" xr3:uid="{00000000-0010-0000-0000-000006000000}" name="貸款金額" totalsRowFunction="sum" dataDxfId="17" totalsRowDxfId="16" dataCellStyle="貨幣"/>
    <tableColumn id="7" xr3:uid="{00000000-0010-0000-0000-000007000000}" name="年度利率" dataDxfId="15" totalsRowDxfId="14" dataCellStyle="百分比"/>
    <tableColumn id="4" xr3:uid="{00000000-0010-0000-0000-000004000000}" name="開始日期" dataDxfId="13" totalsRowDxfId="12" dataCellStyle="一般"/>
    <tableColumn id="9" xr3:uid="{00000000-0010-0000-0000-000009000000}" name="長度 (年)" dataDxfId="11" totalsRowDxfId="10"/>
    <tableColumn id="5" xr3:uid="{00000000-0010-0000-0000-000005000000}" name="結束日期" dataDxfId="9" totalsRowDxfId="8">
      <calculatedColumnFormula>IF(AND(CollegeLoans[[#This Row],[開始日期]]&gt;0,CollegeLoans[[#This Row],[長度 (年)]]&gt;0),EDATE(CollegeLoans[[#This Row],[開始日期]],CollegeLoans[[#This Row],[長度 (年)]]*12),"")</calculatedColumnFormula>
    </tableColumn>
    <tableColumn id="8" xr3:uid="{00000000-0010-0000-0000-000008000000}" name="目前每月還款金額" totalsRowFunction="sum" dataDxfId="7" totalsRowDxfId="6" dataCellStyle="貨幣">
      <calculatedColumnFormula>IFERROR(IF(AND(LoanStartLToday,COUNT(CollegeLoans[[#This Row],[貸款金額]:[長度 (年)]])=4,CollegeLoans[[#This Row],[開始日期]]&lt;=TODAY()),PMT(CollegeLoans[[#This Row],[年度利率]]/12,CollegeLoans[[#This Row],[長度 (年)]]*12,-CollegeLoans[[#This Row],[貸款金額]],0,0),""),0)</calculatedColumnFormula>
    </tableColumn>
    <tableColumn id="13" xr3:uid="{00000000-0010-0000-0000-00000D000000}" name="總計利息" totalsRowFunction="sum" dataDxfId="5" totalsRowDxfId="4" dataCellStyle="貨幣">
      <calculatedColumnFormula>IFERROR((CollegeLoans[[#This Row],[已排程還款]]*(CollegeLoans[[#This Row],[長度 (年)]]*12))-CollegeLoans[[#This Row],[貸款金額]],"")</calculatedColumnFormula>
    </tableColumn>
    <tableColumn id="11" xr3:uid="{00000000-0010-0000-0000-00000B000000}" name="已排程還款" totalsRowFunction="sum" dataDxfId="3" totalsRowDxfId="2" dataCellStyle="貨幣">
      <calculatedColumnFormula>IF(COUNTA(CollegeLoans[[#This Row],[貸款金額]:[長度 (年)]])&lt;&gt;4,"",PMT(CollegeLoans[[#This Row],[年度利率]]/12,CollegeLoans[[#This Row],[長度 (年)]]*12,-CollegeLoans[[#This Row],[貸款金額]],0,0))</calculatedColumnFormula>
    </tableColumn>
    <tableColumn id="2" xr3:uid="{00000000-0010-0000-0000-000002000000}" name="年度付款金額" totalsRowFunction="sum" dataDxfId="1" totalsRowDxfId="0" dataCellStyle="貨幣">
      <calculatedColumnFormula>IFERROR(CollegeLoans[[#This Row],[已排程還款]]*12,"")</calculatedColumnFormula>
    </tableColumn>
  </tableColumns>
  <tableStyleInfo name="大學貸款計算工具" showFirstColumn="0" showLastColumn="0" showRowStripes="1" showColumnStripes="0"/>
  <extLst>
    <ext xmlns:x14="http://schemas.microsoft.com/office/spreadsheetml/2009/9/main" uri="{504A1905-F514-4f6f-8877-14C23A59335A}">
      <x14:table altTextSummary="在此表格中輸入貸款編號、貸款人、貸款金額、年利率、開始日期以及借貸年限。結束日期、目前、預定和年還款金額、總利息會自動計算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2"/>
  <sheetViews>
    <sheetView showGridLines="0" tabSelected="1" zoomScaleNormal="100" workbookViewId="0"/>
  </sheetViews>
  <sheetFormatPr defaultColWidth="9.21875" defaultRowHeight="20.25" customHeight="1" x14ac:dyDescent="0.25"/>
  <cols>
    <col min="1" max="1" width="2.77734375" style="6" customWidth="1"/>
    <col min="2" max="3" width="15.77734375" style="6" customWidth="1"/>
    <col min="4" max="4" width="18.21875" style="6" customWidth="1"/>
    <col min="5" max="6" width="14.5546875" style="6" customWidth="1"/>
    <col min="7" max="7" width="10.44140625" style="6" customWidth="1"/>
    <col min="8" max="8" width="11.21875" style="6" customWidth="1"/>
    <col min="9" max="9" width="14.6640625" style="6" customWidth="1"/>
    <col min="10" max="10" width="13.88671875" style="6" customWidth="1"/>
    <col min="11" max="11" width="15.77734375" style="6" customWidth="1"/>
    <col min="12" max="12" width="20.6640625" style="6" customWidth="1"/>
    <col min="13" max="13" width="2.77734375" style="6" customWidth="1"/>
    <col min="14" max="16384" width="9.21875" style="6"/>
  </cols>
  <sheetData>
    <row r="1" spans="1:13" ht="20.25" customHeight="1" x14ac:dyDescent="0.25">
      <c r="A1" s="9"/>
    </row>
    <row r="2" spans="1:13" ht="72" customHeight="1" x14ac:dyDescent="0.55000000000000004">
      <c r="B2" s="47" t="s">
        <v>0</v>
      </c>
      <c r="C2" s="47"/>
      <c r="D2" s="50" t="s">
        <v>14</v>
      </c>
      <c r="E2" s="50"/>
      <c r="F2" s="48">
        <v>50000</v>
      </c>
      <c r="G2" s="48"/>
      <c r="H2" s="48"/>
      <c r="I2" s="51" t="s">
        <v>23</v>
      </c>
      <c r="J2" s="51"/>
      <c r="K2" s="49">
        <f ca="1">TODAY()-701</f>
        <v>42907</v>
      </c>
      <c r="L2" s="49"/>
    </row>
    <row r="3" spans="1:13" ht="27.75" customHeight="1" x14ac:dyDescent="0.25">
      <c r="B3" s="46"/>
      <c r="C3" s="46"/>
      <c r="D3" s="46"/>
      <c r="E3" s="46"/>
      <c r="F3" s="52" t="s">
        <v>16</v>
      </c>
      <c r="G3" s="52"/>
      <c r="H3" s="52"/>
      <c r="I3" s="46"/>
      <c r="J3" s="46"/>
      <c r="K3" s="52" t="s">
        <v>26</v>
      </c>
      <c r="L3" s="52"/>
    </row>
    <row r="4" spans="1:13" ht="25.5" customHeight="1" x14ac:dyDescent="0.25">
      <c r="B4" s="45" t="s">
        <v>28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14"/>
    </row>
    <row r="5" spans="1:13" ht="32.25" customHeight="1" x14ac:dyDescent="0.3">
      <c r="B5" s="62" t="s">
        <v>1</v>
      </c>
      <c r="C5" s="62"/>
      <c r="D5" s="62"/>
      <c r="E5" s="56">
        <f ca="1">IFERROR(CollegeLoans[[#Totals],[目前每月還款金額]],"")</f>
        <v>190.91792743033542</v>
      </c>
      <c r="F5" s="56"/>
      <c r="G5" s="56"/>
      <c r="H5" s="64" t="s">
        <v>20</v>
      </c>
      <c r="I5" s="64"/>
      <c r="J5" s="64"/>
      <c r="K5" s="64"/>
      <c r="L5" s="15">
        <f ca="1">IFERROR(CollegeLoans[[#Totals],[已排程還款]],0)</f>
        <v>190.91792743033542</v>
      </c>
      <c r="M5" s="16"/>
    </row>
    <row r="6" spans="1:13" ht="32.25" customHeight="1" x14ac:dyDescent="0.25">
      <c r="B6" s="63" t="s">
        <v>2</v>
      </c>
      <c r="C6" s="63"/>
      <c r="D6" s="63"/>
      <c r="E6" s="57">
        <f ca="1">IFERROR(CollegeLoans[[#Totals],[目前每月還款金額]]/EstimatedMonthlySalary,"")</f>
        <v>4.5820302583280501E-2</v>
      </c>
      <c r="F6" s="57"/>
      <c r="G6" s="57"/>
      <c r="H6" s="65" t="s">
        <v>21</v>
      </c>
      <c r="I6" s="65"/>
      <c r="J6" s="65"/>
      <c r="K6" s="65"/>
      <c r="L6" s="17">
        <f ca="1">IFERROR(CollegeLoans[[#Totals],[已排程還款]]/EstimatedMonthlySalary,"")</f>
        <v>4.5820302583280501E-2</v>
      </c>
      <c r="M6" s="18"/>
    </row>
    <row r="7" spans="1:13" ht="20.25" customHeight="1" x14ac:dyDescent="0.35">
      <c r="B7" s="10"/>
      <c r="C7" s="10"/>
      <c r="D7" s="11"/>
      <c r="E7" s="12"/>
      <c r="F7" s="10"/>
      <c r="G7" s="10"/>
      <c r="H7" s="10"/>
      <c r="I7" s="10"/>
      <c r="J7" s="10"/>
      <c r="K7" s="10"/>
      <c r="L7" s="10"/>
    </row>
    <row r="8" spans="1:13" ht="23.25" customHeight="1" x14ac:dyDescent="0.25">
      <c r="B8" s="58" t="s">
        <v>3</v>
      </c>
      <c r="C8" s="58"/>
      <c r="D8" s="58"/>
      <c r="E8" s="59"/>
      <c r="F8" s="61" t="s">
        <v>17</v>
      </c>
      <c r="G8" s="58"/>
      <c r="H8" s="59"/>
      <c r="I8" s="58" t="s">
        <v>24</v>
      </c>
      <c r="J8" s="60"/>
      <c r="K8" s="60"/>
      <c r="L8" s="60"/>
    </row>
    <row r="9" spans="1:13" ht="35.1" customHeight="1" x14ac:dyDescent="0.25">
      <c r="B9" s="5" t="s">
        <v>4</v>
      </c>
      <c r="C9" s="2" t="s">
        <v>11</v>
      </c>
      <c r="D9" s="3" t="s">
        <v>15</v>
      </c>
      <c r="E9" s="7" t="s">
        <v>31</v>
      </c>
      <c r="F9" s="8" t="s">
        <v>18</v>
      </c>
      <c r="G9" s="3" t="s">
        <v>19</v>
      </c>
      <c r="H9" s="7" t="s">
        <v>22</v>
      </c>
      <c r="I9" s="3" t="s">
        <v>25</v>
      </c>
      <c r="J9" s="3" t="s">
        <v>29</v>
      </c>
      <c r="K9" s="3" t="s">
        <v>27</v>
      </c>
      <c r="L9" s="3" t="s">
        <v>30</v>
      </c>
    </row>
    <row r="10" spans="1:13" ht="15" x14ac:dyDescent="0.25">
      <c r="B10" s="5" t="s">
        <v>5</v>
      </c>
      <c r="C10" s="4" t="s">
        <v>12</v>
      </c>
      <c r="D10" s="37">
        <v>10000</v>
      </c>
      <c r="E10" s="19">
        <v>0.05</v>
      </c>
      <c r="F10" s="38">
        <f ca="1">DATE(YEAR(TODAY())-2,4,1)</f>
        <v>42826</v>
      </c>
      <c r="G10" s="1">
        <v>10</v>
      </c>
      <c r="H10" s="20">
        <f ca="1">IF(AND(CollegeLoans[[#This Row],[開始日期]]&gt;0,CollegeLoans[[#This Row],[長度 (年)]]&gt;0),EDATE(CollegeLoans[[#This Row],[開始日期]],CollegeLoans[[#This Row],[長度 (年)]]*12),"")</f>
        <v>46478</v>
      </c>
      <c r="I10" s="39">
        <f ca="1">IFERROR(IF(AND(LoanStartLToday,COUNT(CollegeLoans[[#This Row],[貸款金額]:[長度 (年)]])=4,CollegeLoans[[#This Row],[開始日期]]&lt;=TODAY()),PMT(CollegeLoans[[#This Row],[年度利率]]/12,CollegeLoans[[#This Row],[長度 (年)]]*12,-CollegeLoans[[#This Row],[貸款金額]],0,0),""),0)</f>
        <v>106.06551523907524</v>
      </c>
      <c r="J10" s="40">
        <f ca="1">IFERROR((CollegeLoans[[#This Row],[已排程還款]]*(CollegeLoans[[#This Row],[長度 (年)]]*12))-CollegeLoans[[#This Row],[貸款金額]],"")</f>
        <v>2727.8618286890287</v>
      </c>
      <c r="K10" s="41">
        <f ca="1">IF(COUNTA(CollegeLoans[[#This Row],[貸款金額]:[長度 (年)]])&lt;&gt;4,"",PMT(CollegeLoans[[#This Row],[年度利率]]/12,CollegeLoans[[#This Row],[長度 (年)]]*12,-CollegeLoans[[#This Row],[貸款金額]],0,0))</f>
        <v>106.06551523907524</v>
      </c>
      <c r="L10" s="40">
        <f ca="1">IFERROR(CollegeLoans[[#This Row],[已排程還款]]*12,"")</f>
        <v>1272.7861828689029</v>
      </c>
    </row>
    <row r="11" spans="1:13" ht="15" x14ac:dyDescent="0.25">
      <c r="B11" s="5" t="s">
        <v>6</v>
      </c>
      <c r="C11" s="4" t="s">
        <v>13</v>
      </c>
      <c r="D11" s="37">
        <v>8000</v>
      </c>
      <c r="E11" s="19">
        <v>0.05</v>
      </c>
      <c r="F11" s="38">
        <f ca="1">DATE(YEAR(TODAY()),5,1)</f>
        <v>43586</v>
      </c>
      <c r="G11" s="1">
        <v>10</v>
      </c>
      <c r="H11" s="20">
        <f ca="1">IF(AND(CollegeLoans[[#This Row],[開始日期]]&gt;0,CollegeLoans[[#This Row],[長度 (年)]]&gt;0),EDATE(CollegeLoans[[#This Row],[開始日期]],CollegeLoans[[#This Row],[長度 (年)]]*12),"")</f>
        <v>47239</v>
      </c>
      <c r="I11" s="39">
        <f ca="1">IFERROR(IF(AND(LoanStartLToday,COUNT(CollegeLoans[[#This Row],[貸款金額]:[長度 (年)]])=4,CollegeLoans[[#This Row],[開始日期]]&lt;=TODAY()),PMT(CollegeLoans[[#This Row],[年度利率]]/12,CollegeLoans[[#This Row],[長度 (年)]]*12,-CollegeLoans[[#This Row],[貸款金額]],0,0),""),0)</f>
        <v>84.852412191260186</v>
      </c>
      <c r="J11" s="40">
        <f ca="1">IFERROR((CollegeLoans[[#This Row],[已排程還款]]*(CollegeLoans[[#This Row],[長度 (年)]]*12))-CollegeLoans[[#This Row],[貸款金額]],"")</f>
        <v>2182.289462951223</v>
      </c>
      <c r="K11" s="41">
        <f ca="1">IF(COUNTA(CollegeLoans[[#This Row],[貸款金額]:[長度 (年)]])&lt;&gt;4,"",PMT(CollegeLoans[[#This Row],[年度利率]]/12,CollegeLoans[[#This Row],[長度 (年)]]*12,-CollegeLoans[[#This Row],[貸款金額]],0,0))</f>
        <v>84.852412191260186</v>
      </c>
      <c r="L11" s="40">
        <f ca="1">IFERROR(CollegeLoans[[#This Row],[已排程還款]]*12,"")</f>
        <v>1018.2289462951222</v>
      </c>
    </row>
    <row r="12" spans="1:13" ht="15" x14ac:dyDescent="0.25">
      <c r="B12" s="5"/>
      <c r="C12" s="4"/>
      <c r="D12" s="42"/>
      <c r="E12" s="43"/>
      <c r="F12" s="44"/>
      <c r="G12" s="1"/>
      <c r="H12" s="20" t="str">
        <f>IF(AND(CollegeLoans[[#This Row],[開始日期]]&gt;0,CollegeLoans[[#This Row],[長度 (年)]]&gt;0),EDATE(CollegeLoans[[#This Row],[開始日期]],CollegeLoans[[#This Row],[長度 (年)]]*12),"")</f>
        <v/>
      </c>
      <c r="I12" s="39" t="str">
        <f ca="1">IFERROR(IF(AND(LoanStartLToday,COUNT(CollegeLoans[[#This Row],[貸款金額]:[長度 (年)]])=4,CollegeLoans[[#This Row],[開始日期]]&lt;=TODAY()),PMT(CollegeLoans[[#This Row],[年度利率]]/12,CollegeLoans[[#This Row],[長度 (年)]]*12,-CollegeLoans[[#This Row],[貸款金額]],0,0),""),0)</f>
        <v/>
      </c>
      <c r="J12" s="40" t="str">
        <f>IFERROR((CollegeLoans[[#This Row],[已排程還款]]*(CollegeLoans[[#This Row],[長度 (年)]]*12))-CollegeLoans[[#This Row],[貸款金額]],"")</f>
        <v/>
      </c>
      <c r="K12" s="41" t="str">
        <f>IF(COUNTA(CollegeLoans[[#This Row],[貸款金額]:[長度 (年)]])&lt;&gt;4,"",PMT(CollegeLoans[[#This Row],[年度利率]]/12,CollegeLoans[[#This Row],[長度 (年)]]*12,-CollegeLoans[[#This Row],[貸款金額]],0,0))</f>
        <v/>
      </c>
      <c r="L12" s="40" t="str">
        <f>IFERROR(CollegeLoans[[#This Row],[已排程還款]]*12,"")</f>
        <v/>
      </c>
    </row>
    <row r="13" spans="1:13" ht="15" x14ac:dyDescent="0.25">
      <c r="B13" s="5"/>
      <c r="C13" s="4"/>
      <c r="D13" s="37"/>
      <c r="E13" s="19"/>
      <c r="F13" s="38"/>
      <c r="G13" s="1"/>
      <c r="H13" s="20" t="str">
        <f>IF(AND(CollegeLoans[[#This Row],[開始日期]]&gt;0,CollegeLoans[[#This Row],[長度 (年)]]&gt;0),EDATE(CollegeLoans[[#This Row],[開始日期]],CollegeLoans[[#This Row],[長度 (年)]]*12),"")</f>
        <v/>
      </c>
      <c r="I13" s="39" t="str">
        <f ca="1">IFERROR(IF(AND(LoanStartLToday,COUNT(CollegeLoans[[#This Row],[貸款金額]:[長度 (年)]])=4,CollegeLoans[[#This Row],[開始日期]]&lt;=TODAY()),PMT(CollegeLoans[[#This Row],[年度利率]]/12,CollegeLoans[[#This Row],[長度 (年)]]*12,-CollegeLoans[[#This Row],[貸款金額]],0,0),""),0)</f>
        <v/>
      </c>
      <c r="J13" s="40" t="str">
        <f>IFERROR((CollegeLoans[[#This Row],[已排程還款]]*(CollegeLoans[[#This Row],[長度 (年)]]*12))-CollegeLoans[[#This Row],[貸款金額]],"")</f>
        <v/>
      </c>
      <c r="K13" s="41" t="str">
        <f>IF(COUNTA(CollegeLoans[[#This Row],[貸款金額]:[長度 (年)]])&lt;&gt;4,"",PMT(CollegeLoans[[#This Row],[年度利率]]/12,CollegeLoans[[#This Row],[長度 (年)]]*12,-CollegeLoans[[#This Row],[貸款金額]],0,0))</f>
        <v/>
      </c>
      <c r="L13" s="40" t="str">
        <f>IFERROR(CollegeLoans[[#This Row],[已排程還款]]*12,"")</f>
        <v/>
      </c>
    </row>
    <row r="14" spans="1:13" ht="15" x14ac:dyDescent="0.25">
      <c r="B14" s="5"/>
      <c r="C14" s="4"/>
      <c r="D14" s="37"/>
      <c r="E14" s="19"/>
      <c r="F14" s="38"/>
      <c r="G14" s="1"/>
      <c r="H14" s="20" t="str">
        <f>IF(AND(CollegeLoans[[#This Row],[開始日期]]&gt;0,CollegeLoans[[#This Row],[長度 (年)]]&gt;0),EDATE(CollegeLoans[[#This Row],[開始日期]],CollegeLoans[[#This Row],[長度 (年)]]*12),"")</f>
        <v/>
      </c>
      <c r="I14" s="39" t="str">
        <f ca="1">IFERROR(IF(AND(LoanStartLToday,COUNT(CollegeLoans[[#This Row],[貸款金額]:[長度 (年)]])=4,CollegeLoans[[#This Row],[開始日期]]&lt;=TODAY()),PMT(CollegeLoans[[#This Row],[年度利率]]/12,CollegeLoans[[#This Row],[長度 (年)]]*12,-CollegeLoans[[#This Row],[貸款金額]],0,0),""),0)</f>
        <v/>
      </c>
      <c r="J14" s="40" t="str">
        <f>IFERROR((CollegeLoans[[#This Row],[已排程還款]]*(CollegeLoans[[#This Row],[長度 (年)]]*12))-CollegeLoans[[#This Row],[貸款金額]],"")</f>
        <v/>
      </c>
      <c r="K14" s="41" t="str">
        <f>IF(COUNTA(CollegeLoans[[#This Row],[貸款金額]:[長度 (年)]])&lt;&gt;4,"",PMT(CollegeLoans[[#This Row],[年度利率]]/12,CollegeLoans[[#This Row],[長度 (年)]]*12,-CollegeLoans[[#This Row],[貸款金額]],0,0))</f>
        <v/>
      </c>
      <c r="L14" s="40" t="str">
        <f>IFERROR(CollegeLoans[[#This Row],[已排程還款]]*12,"")</f>
        <v/>
      </c>
    </row>
    <row r="15" spans="1:13" ht="15" x14ac:dyDescent="0.25">
      <c r="B15" s="5"/>
      <c r="C15" s="4"/>
      <c r="D15" s="37"/>
      <c r="E15" s="19"/>
      <c r="F15" s="38"/>
      <c r="G15" s="1"/>
      <c r="H15" s="20" t="str">
        <f>IF(AND(CollegeLoans[[#This Row],[開始日期]]&gt;0,CollegeLoans[[#This Row],[長度 (年)]]&gt;0),EDATE(CollegeLoans[[#This Row],[開始日期]],CollegeLoans[[#This Row],[長度 (年)]]*12),"")</f>
        <v/>
      </c>
      <c r="I15" s="39" t="str">
        <f ca="1">IFERROR(IF(AND(LoanStartLToday,COUNT(CollegeLoans[[#This Row],[貸款金額]:[長度 (年)]])=4,CollegeLoans[[#This Row],[開始日期]]&lt;=TODAY()),PMT(CollegeLoans[[#This Row],[年度利率]]/12,CollegeLoans[[#This Row],[長度 (年)]]*12,-CollegeLoans[[#This Row],[貸款金額]],0,0),""),0)</f>
        <v/>
      </c>
      <c r="J15" s="40" t="str">
        <f>IFERROR((CollegeLoans[[#This Row],[已排程還款]]*(CollegeLoans[[#This Row],[長度 (年)]]*12))-CollegeLoans[[#This Row],[貸款金額]],"")</f>
        <v/>
      </c>
      <c r="K15" s="41" t="str">
        <f>IF(COUNTA(CollegeLoans[[#This Row],[貸款金額]:[長度 (年)]])&lt;&gt;4,"",PMT(CollegeLoans[[#This Row],[年度利率]]/12,CollegeLoans[[#This Row],[長度 (年)]]*12,-CollegeLoans[[#This Row],[貸款金額]],0,0))</f>
        <v/>
      </c>
      <c r="L15" s="40" t="str">
        <f>IFERROR(CollegeLoans[[#This Row],[已排程還款]]*12,"")</f>
        <v/>
      </c>
    </row>
    <row r="16" spans="1:13" ht="20.25" customHeight="1" x14ac:dyDescent="0.25">
      <c r="B16" s="5"/>
      <c r="C16" s="4"/>
      <c r="D16" s="37"/>
      <c r="E16" s="19"/>
      <c r="F16" s="38"/>
      <c r="G16" s="1"/>
      <c r="H16" s="20" t="str">
        <f>IF(AND(CollegeLoans[[#This Row],[開始日期]]&gt;0,CollegeLoans[[#This Row],[長度 (年)]]&gt;0),EDATE(CollegeLoans[[#This Row],[開始日期]],CollegeLoans[[#This Row],[長度 (年)]]*12),"")</f>
        <v/>
      </c>
      <c r="I16" s="39" t="str">
        <f ca="1">IFERROR(IF(AND(LoanStartLToday,COUNT(CollegeLoans[[#This Row],[貸款金額]:[長度 (年)]])=4,CollegeLoans[[#This Row],[開始日期]]&lt;=TODAY()),PMT(CollegeLoans[[#This Row],[年度利率]]/12,CollegeLoans[[#This Row],[長度 (年)]]*12,-CollegeLoans[[#This Row],[貸款金額]],0,0),""),0)</f>
        <v/>
      </c>
      <c r="J16" s="40" t="str">
        <f>IFERROR((CollegeLoans[[#This Row],[已排程還款]]*(CollegeLoans[[#This Row],[長度 (年)]]*12))-CollegeLoans[[#This Row],[貸款金額]],"")</f>
        <v/>
      </c>
      <c r="K16" s="41" t="str">
        <f>IF(COUNTA(CollegeLoans[[#This Row],[貸款金額]:[長度 (年)]])&lt;&gt;4,"",PMT(CollegeLoans[[#This Row],[年度利率]]/12,CollegeLoans[[#This Row],[長度 (年)]]*12,-CollegeLoans[[#This Row],[貸款金額]],0,0))</f>
        <v/>
      </c>
      <c r="L16" s="40" t="str">
        <f>IFERROR(CollegeLoans[[#This Row],[已排程還款]]*12,"")</f>
        <v/>
      </c>
    </row>
    <row r="17" spans="2:12" ht="20.25" customHeight="1" x14ac:dyDescent="0.25">
      <c r="B17" s="21" t="s">
        <v>7</v>
      </c>
      <c r="C17" s="22"/>
      <c r="D17" s="23">
        <f>SUBTOTAL(109,CollegeLoans[貸款金額])</f>
        <v>18000</v>
      </c>
      <c r="E17" s="24"/>
      <c r="F17" s="25"/>
      <c r="G17" s="26"/>
      <c r="H17" s="27"/>
      <c r="I17" s="28">
        <f ca="1">SUBTOTAL(109,CollegeLoans[目前每月還款金額])</f>
        <v>190.91792743033542</v>
      </c>
      <c r="J17" s="23">
        <f ca="1">SUBTOTAL(109,CollegeLoans[總計利息])</f>
        <v>4910.1512916402517</v>
      </c>
      <c r="K17" s="29">
        <f ca="1">SUBTOTAL(109,CollegeLoans[已排程還款])</f>
        <v>190.91792743033542</v>
      </c>
      <c r="L17" s="23">
        <f ca="1">SUBTOTAL(109,CollegeLoans[年度付款金額])</f>
        <v>2291.015129164025</v>
      </c>
    </row>
    <row r="18" spans="2:12" s="13" customFormat="1" ht="23.25" customHeight="1" x14ac:dyDescent="0.25">
      <c r="B18" s="30" t="s">
        <v>8</v>
      </c>
      <c r="C18" s="31"/>
      <c r="D18" s="32">
        <f>AVERAGE(CollegeLoans[貸款金額])</f>
        <v>9000</v>
      </c>
      <c r="E18" s="33">
        <f>AVERAGE(CollegeLoans[年度利率])</f>
        <v>0.05</v>
      </c>
      <c r="F18" s="34"/>
      <c r="G18" s="34"/>
      <c r="H18" s="33"/>
      <c r="I18" s="35"/>
      <c r="J18" s="32">
        <f ca="1">AVERAGE(CollegeLoans[總計利息])</f>
        <v>2455.0756458201258</v>
      </c>
      <c r="K18" s="36"/>
      <c r="L18" s="32">
        <f ca="1">AVERAGE(CollegeLoans[年度付款金額])</f>
        <v>1145.5075645820125</v>
      </c>
    </row>
    <row r="19" spans="2:12" s="13" customFormat="1" ht="23.25" customHeight="1" x14ac:dyDescent="0.25">
      <c r="B19" s="53" t="s">
        <v>9</v>
      </c>
      <c r="C19" s="53"/>
      <c r="D19" s="53"/>
      <c r="E19" s="53"/>
      <c r="F19" s="53"/>
      <c r="G19" s="53"/>
      <c r="H19" s="53"/>
      <c r="I19" s="53"/>
      <c r="J19" s="53"/>
      <c r="K19" s="53"/>
      <c r="L19" s="54">
        <f ca="1">CollegeLoans[[#Totals],[貸款金額]]+CollegeLoans[[#Totals],[總計利息]]</f>
        <v>22910.15129164025</v>
      </c>
    </row>
    <row r="20" spans="2:12" ht="20.25" customHeight="1" x14ac:dyDescent="0.2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2:12" ht="20.25" customHeight="1" x14ac:dyDescent="0.25">
      <c r="B21" s="55" t="s">
        <v>10</v>
      </c>
      <c r="C21" s="55"/>
      <c r="D21" s="55"/>
      <c r="E21" s="55"/>
      <c r="F21" s="55"/>
      <c r="G21" s="55"/>
      <c r="H21" s="55"/>
      <c r="I21" s="55"/>
      <c r="J21" s="55"/>
      <c r="K21" s="55"/>
      <c r="L21" s="54">
        <f>(EstimatedAnnualSalary/12)</f>
        <v>4166.666666666667</v>
      </c>
    </row>
    <row r="22" spans="2:12" ht="20.25" customHeight="1" x14ac:dyDescent="0.2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4"/>
    </row>
  </sheetData>
  <mergeCells count="23">
    <mergeCell ref="B19:K20"/>
    <mergeCell ref="L19:L20"/>
    <mergeCell ref="B21:K22"/>
    <mergeCell ref="L21:L22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phoneticPr fontId="27" type="noConversion"/>
  <dataValidations xWindow="503" yWindow="415" count="41">
    <dataValidation allowBlank="1" showInputMessage="1" showErrorMessage="1" prompt="在此工作表中建立大學貸款計算工具。在儲存格 B9 開始的表格中輸入詳細資料，在儲存格 F2 中輸入預估每年薪資，在儲存格 K2 中輸入開始還款日期。" sqref="A1" xr:uid="{00000000-0002-0000-0000-000002000000}"/>
    <dataValidation allowBlank="1" showInputMessage="1" showErrorMessage="1" prompt="在此儲存格中輸入畢業後的預估每年薪資" sqref="F2:H2" xr:uid="{00000000-0002-0000-0000-000003000000}"/>
    <dataValidation allowBlank="1" showInputMessage="1" showErrorMessage="1" prompt="在上方儲存格中輸入畢業後的預估每年薪資" sqref="F3:H3" xr:uid="{00000000-0002-0000-0000-000004000000}"/>
    <dataValidation allowBlank="1" showInputMessage="1" showErrorMessage="1" prompt="在此儲存格中輸入開始還款日期" sqref="K2:L2" xr:uid="{00000000-0002-0000-0000-000005000000}"/>
    <dataValidation allowBlank="1" showInputMessage="1" showErrorMessage="1" prompt="在上方儲存格中輸入開始還款日期" sqref="K3:L3" xr:uid="{00000000-0002-0000-0000-000006000000}"/>
    <dataValidation allowBlank="1" showInputMessage="1" showErrorMessage="1" prompt="右側儲存格會自動計算目前的每月還款總額" sqref="B5:D5" xr:uid="{00000000-0002-0000-0000-000007000000}"/>
    <dataValidation allowBlank="1" showInputMessage="1" showErrorMessage="1" prompt="此儲存格會自動計算目前的每月還款總額" sqref="E5:G5" xr:uid="{00000000-0002-0000-0000-000008000000}"/>
    <dataValidation allowBlank="1" showInputMessage="1" showErrorMessage="1" prompt="右側儲存格會自動計算目前的月收入百分比" sqref="B6:D6" xr:uid="{00000000-0002-0000-0000-000009000000}"/>
    <dataValidation allowBlank="1" showInputMessage="1" showErrorMessage="1" prompt="此儲存格會自動計算目前的月收入百分比" sqref="E6:G6" xr:uid="{00000000-0002-0000-0000-00000A000000}"/>
    <dataValidation allowBlank="1" showInputMessage="1" showErrorMessage="1" prompt="右側儲存格會自動計算預定的每月還款總額" sqref="H5:K5" xr:uid="{00000000-0002-0000-0000-00000B000000}"/>
    <dataValidation allowBlank="1" showInputMessage="1" showErrorMessage="1" prompt="此儲存格會自動計算預定的每月還款總額" sqref="L5" xr:uid="{00000000-0002-0000-0000-00000C000000}"/>
    <dataValidation allowBlank="1" showInputMessage="1" showErrorMessage="1" prompt="右側儲存格會自動計算預定的月收入百分比" sqref="H6:K6" xr:uid="{00000000-0002-0000-0000-00000D000000}"/>
    <dataValidation allowBlank="1" showInputMessage="1" showErrorMessage="1" prompt="此儲存格會自動計算預定的月收入百分比" sqref="L6" xr:uid="{00000000-0002-0000-0000-00000E000000}"/>
    <dataValidation allowBlank="1" showInputMessage="1" showErrorMessage="1" prompt="在以下的表格欄中輸入一般貸款" sqref="B8:E8" xr:uid="{00000000-0002-0000-0000-00000F000000}"/>
    <dataValidation allowBlank="1" showInputMessage="1" showErrorMessage="1" prompt="在此標題下方的欄中輸入貸款編號" sqref="B9" xr:uid="{00000000-0002-0000-0000-000010000000}"/>
    <dataValidation allowBlank="1" showInputMessage="1" showErrorMessage="1" prompt="在此標題下方的欄中輸入貸款人" sqref="C9" xr:uid="{00000000-0002-0000-0000-000011000000}"/>
    <dataValidation allowBlank="1" showInputMessage="1" showErrorMessage="1" prompt="在此標題下方的欄中輸入貸款金額" sqref="D9" xr:uid="{00000000-0002-0000-0000-000012000000}"/>
    <dataValidation allowBlank="1" showInputMessage="1" showErrorMessage="1" prompt="在此標題下方的欄中輸入年利率" sqref="E9" xr:uid="{00000000-0002-0000-0000-000013000000}"/>
    <dataValidation allowBlank="1" showInputMessage="1" showErrorMessage="1" prompt="在以下表格欄中輸入還款資料" sqref="F8:H8" xr:uid="{00000000-0002-0000-0000-000014000000}"/>
    <dataValidation allowBlank="1" showInputMessage="1" showErrorMessage="1" prompt="在此標題下方的欄中輸入開始日期" sqref="F9" xr:uid="{00000000-0002-0000-0000-000015000000}"/>
    <dataValidation allowBlank="1" showInputMessage="1" showErrorMessage="1" prompt="在此標題下方的欄中輸入年限" sqref="G9" xr:uid="{00000000-0002-0000-0000-000016000000}"/>
    <dataValidation allowBlank="1" showInputMessage="1" showErrorMessage="1" prompt="此標題下方的欄會自動更新結束日期" sqref="H9" xr:uid="{00000000-0002-0000-0000-000017000000}"/>
    <dataValidation allowBlank="1" showInputMessage="1" showErrorMessage="1" prompt="以下表格欄會自動計算還款詳細資料" sqref="I8:L8" xr:uid="{00000000-0002-0000-0000-000018000000}"/>
    <dataValidation allowBlank="1" showInputMessage="1" showErrorMessage="1" prompt="此標題下方的欄會自動計算目前的月還款" sqref="I9" xr:uid="{00000000-0002-0000-0000-000019000000}"/>
    <dataValidation allowBlank="1" showInputMessage="1" showErrorMessage="1" prompt="此標題下方的欄會自動計算總利息" sqref="J9" xr:uid="{00000000-0002-0000-0000-00001A000000}"/>
    <dataValidation allowBlank="1" showInputMessage="1" showErrorMessage="1" prompt="此標題下方的欄會自動計算預定還款金額" sqref="K9" xr:uid="{00000000-0002-0000-0000-00001B000000}"/>
    <dataValidation allowBlank="1" showInputMessage="1" showErrorMessage="1" prompt="此標題下方的欄會自動計算年還款金額。以下表格欄會自動計算平均金額" sqref="L9" xr:uid="{00000000-0002-0000-0000-00001C000000}"/>
    <dataValidation allowBlank="1" showInputMessage="1" showErrorMessage="1" prompt="會自動計算貸款金額、年利率、總利息和年還款的平均金額，而右側儲存格會更新預定的還款金額圖表" sqref="B18" xr:uid="{00000000-0002-0000-0000-00001D000000}"/>
    <dataValidation allowBlank="1" showInputMessage="1" showErrorMessage="1" prompt="此儲存格會自動計算平均貸款金額" sqref="D18" xr:uid="{00000000-0002-0000-0000-00001E000000}"/>
    <dataValidation allowBlank="1" showInputMessage="1" showErrorMessage="1" prompt="此儲存格會自動計算平均年利率" sqref="E18" xr:uid="{00000000-0002-0000-0000-00001F000000}"/>
    <dataValidation allowBlank="1" showInputMessage="1" showErrorMessage="1" prompt="此儲存格會自動計算平均總利息" sqref="J18" xr:uid="{00000000-0002-0000-0000-000020000000}"/>
    <dataValidation allowBlank="1" showInputMessage="1" showErrorMessage="1" prompt="此儲存格會自動更新平均預定還款圖表" sqref="K18" xr:uid="{00000000-0002-0000-0000-000021000000}"/>
    <dataValidation allowBlank="1" showInputMessage="1" showErrorMessage="1" prompt="此儲存格會自動更新平均年還款金額，而以下儲存格是綜合還款總金額和畢業後的預估月收入" sqref="L18" xr:uid="{00000000-0002-0000-0000-000022000000}"/>
    <dataValidation allowBlank="1" showInputMessage="1" showErrorMessage="1" prompt="右側儲存格會自動計算總和還款總金額" sqref="B19:K20" xr:uid="{00000000-0002-0000-0000-000023000000}"/>
    <dataValidation allowBlank="1" showInputMessage="1" showErrorMessage="1" prompt="此儲存格會自動計算總和還款總金額" sqref="L19:L20" xr:uid="{00000000-0002-0000-0000-000024000000}"/>
    <dataValidation allowBlank="1" showInputMessage="1" showErrorMessage="1" prompt="右側儲存格會自動計算畢業後的預估月收入" sqref="B21:K22" xr:uid="{00000000-0002-0000-0000-000025000000}"/>
    <dataValidation allowBlank="1" showInputMessage="1" showErrorMessage="1" prompt="此儲存格會自動計算畢業後的預估月收入" sqref="L21:L22" xr:uid="{00000000-0002-0000-0000-000026000000}"/>
    <dataValidation allowBlank="1" showInputMessage="1" showErrorMessage="1" prompt="這個儲存格是此工作表的標題，儲存格 B4 是提示。以下表格會自動計算平均數、總和還款總金額和預估月收入。" sqref="B2:C2" xr:uid="{00000000-0002-0000-0000-000027000000}"/>
    <dataValidation allowBlank="1" showInputMessage="1" showErrorMessage="1" prompt="儲存格 E5、E6、L5 和 L6 會自動計算目前和預定的每月還款總額，以及目前和預定的月收入百分比" sqref="B4:L4" xr:uid="{00000000-0002-0000-0000-000028000000}"/>
    <dataValidation type="whole" operator="greaterThanOrEqual" allowBlank="1" showInputMessage="1" showErrorMessage="1" sqref="G10:G16" xr:uid="{00000000-0002-0000-0000-000000000000}">
      <formula1>0</formula1>
    </dataValidation>
    <dataValidation operator="greaterThanOrEqual" allowBlank="1" showInputMessage="1" showErrorMessage="1" sqref="H10:J16" xr:uid="{00000000-0002-0000-0000-00000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3:H16 D18:E18 I13:K16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貸款計算工具!K10:K16</xm:f>
              <xm:sqref>K18</xm:sqref>
            </x14:sparkline>
            <x14:sparkline>
              <xm:f>貸款計算工具!I10:I16</xm:f>
              <xm:sqref>I18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6</vt:i4>
      </vt:variant>
    </vt:vector>
  </HeadingPairs>
  <TitlesOfParts>
    <vt:vector size="7" baseType="lpstr">
      <vt:lpstr>貸款計算工具</vt:lpstr>
      <vt:lpstr>CombinedMonthlyPayment</vt:lpstr>
      <vt:lpstr>ConsLoanPayback</vt:lpstr>
      <vt:lpstr>EstimatedAnnualSalary</vt:lpstr>
      <vt:lpstr>EstimatedMonthlySalary</vt:lpstr>
      <vt:lpstr>LoanPaybackStart</vt:lpstr>
      <vt:lpstr>貸款計算工具!Print_Titles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2019-05-23T02:09:59Z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