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target\"/>
    </mc:Choice>
  </mc:AlternateContent>
  <bookViews>
    <workbookView xWindow="0" yWindow="0" windowWidth="5280" windowHeight="645"/>
  </bookViews>
  <sheets>
    <sheet name="營收 (銷售額)" sheetId="2" r:id="rId1"/>
    <sheet name="銷售成本" sheetId="3" r:id="rId2"/>
    <sheet name="支出" sheetId="4" r:id="rId3"/>
  </sheets>
  <definedNames>
    <definedName name="_xlnm._FilterDatabase" localSheetId="0" hidden="1">'營收 (銷售額)'!$D$1:$AD$3</definedName>
    <definedName name="FYMonthNo">IF(FYMonthStart="1 月",1,IF(FYMonthStart="2 月",2,IF(FYMonthStart="3 月",3,IF(FYMonthStart="4 月",4,IF(FYMonthStart="5 月",5,IF(FYMonthStart="6 月",6,IF(FYMonthStart="7 月",7,IF(FYMonthStart="8 月",8,IF(FYMonthStart="9 月",9,IF(FYMonthStart="10 月",10,IF(FYMonthStart="11 月",11,12)))))))))))</definedName>
    <definedName name="FYMonthStart">'營收 (銷售額)'!$AC$2</definedName>
    <definedName name="FYStartYear">'營收 (銷售額)'!$AD$2</definedName>
    <definedName name="_xlnm.Print_Titles" localSheetId="2">支出!$3:$4</definedName>
    <definedName name="_xlnm.Print_Titles" localSheetId="1">銷售成本!$3:$4</definedName>
    <definedName name="_xlnm.Print_Titles" localSheetId="0">'營收 (銷售額)'!$3:$4</definedName>
    <definedName name="工作表_標題">'營收 (銷售額)'!$B$2</definedName>
    <definedName name="公司_名稱">'營收 (銷售額)'!$AD$1</definedName>
    <definedName name="預測_期間_標題">'營收 (銷售額)'!$B$1</definedName>
    <definedName name="標題​​1">營收[[#Headers],[營收 (銷售額)]]</definedName>
    <definedName name="標題2">銷售成本[[#Headers],[銷售成本]]</definedName>
    <definedName name="標題3">tblExpenses[[#Headers],[支出]]</definedName>
  </definedNames>
  <calcPr calcId="162913"/>
</workbook>
</file>

<file path=xl/calcChain.xml><?xml version="1.0" encoding="utf-8"?>
<calcChain xmlns="http://schemas.openxmlformats.org/spreadsheetml/2006/main">
  <c r="D24" i="4" l="1"/>
  <c r="E24" i="4"/>
  <c r="S5" i="4" s="1"/>
  <c r="F24" i="4"/>
  <c r="G24" i="4"/>
  <c r="U7" i="4" s="1"/>
  <c r="H24" i="4"/>
  <c r="I24" i="4"/>
  <c r="W5" i="4" s="1"/>
  <c r="J24" i="4"/>
  <c r="X5" i="4" s="1"/>
  <c r="K24" i="4"/>
  <c r="Y7" i="4" s="1"/>
  <c r="L24" i="4"/>
  <c r="M24" i="4"/>
  <c r="AA7" i="4" s="1"/>
  <c r="N24" i="4"/>
  <c r="AB6" i="4" s="1"/>
  <c r="O24" i="4"/>
  <c r="AC6" i="4" s="1"/>
  <c r="Q24" i="4"/>
  <c r="B2" i="3"/>
  <c r="B1" i="3"/>
  <c r="B1" i="4"/>
  <c r="R6" i="4"/>
  <c r="S6" i="4"/>
  <c r="T6" i="4"/>
  <c r="U6" i="4"/>
  <c r="V6" i="4"/>
  <c r="W6" i="4"/>
  <c r="X6" i="4"/>
  <c r="Y6" i="4"/>
  <c r="Z6" i="4"/>
  <c r="AA6" i="4"/>
  <c r="R7" i="4"/>
  <c r="T7" i="4"/>
  <c r="V7" i="4"/>
  <c r="X7" i="4"/>
  <c r="Z7" i="4"/>
  <c r="AC7" i="4"/>
  <c r="R8" i="4"/>
  <c r="S8" i="4"/>
  <c r="T8" i="4"/>
  <c r="U8" i="4"/>
  <c r="V8" i="4"/>
  <c r="W8" i="4"/>
  <c r="X8" i="4"/>
  <c r="Y8" i="4"/>
  <c r="Z8" i="4"/>
  <c r="AA8" i="4"/>
  <c r="R9" i="4"/>
  <c r="T9" i="4"/>
  <c r="V9" i="4"/>
  <c r="X9" i="4"/>
  <c r="Z9" i="4"/>
  <c r="AC9" i="4"/>
  <c r="R10" i="4"/>
  <c r="S10" i="4"/>
  <c r="T10" i="4"/>
  <c r="U10" i="4"/>
  <c r="V10" i="4"/>
  <c r="W10" i="4"/>
  <c r="X10" i="4"/>
  <c r="Y10" i="4"/>
  <c r="Z10" i="4"/>
  <c r="AA10" i="4"/>
  <c r="R11" i="4"/>
  <c r="T11" i="4"/>
  <c r="V11" i="4"/>
  <c r="X11" i="4"/>
  <c r="Z11" i="4"/>
  <c r="AC11" i="4"/>
  <c r="R12" i="4"/>
  <c r="S12" i="4"/>
  <c r="T12" i="4"/>
  <c r="U12" i="4"/>
  <c r="V12" i="4"/>
  <c r="W12" i="4"/>
  <c r="X12" i="4"/>
  <c r="Y12" i="4"/>
  <c r="Z12" i="4"/>
  <c r="AA12" i="4"/>
  <c r="R13" i="4"/>
  <c r="T13" i="4"/>
  <c r="V13" i="4"/>
  <c r="X13" i="4"/>
  <c r="Z13" i="4"/>
  <c r="AC13" i="4"/>
  <c r="R14" i="4"/>
  <c r="S14" i="4"/>
  <c r="T14" i="4"/>
  <c r="U14" i="4"/>
  <c r="V14" i="4"/>
  <c r="W14" i="4"/>
  <c r="X14" i="4"/>
  <c r="Y14" i="4"/>
  <c r="Z14" i="4"/>
  <c r="AA14" i="4"/>
  <c r="R15" i="4"/>
  <c r="T15" i="4"/>
  <c r="V15" i="4"/>
  <c r="X15" i="4"/>
  <c r="Z15" i="4"/>
  <c r="AC15" i="4"/>
  <c r="R16" i="4"/>
  <c r="S16" i="4"/>
  <c r="T16" i="4"/>
  <c r="U16" i="4"/>
  <c r="V16" i="4"/>
  <c r="W16" i="4"/>
  <c r="X16" i="4"/>
  <c r="Y16" i="4"/>
  <c r="Z16" i="4"/>
  <c r="AA16" i="4"/>
  <c r="R17" i="4"/>
  <c r="T17" i="4"/>
  <c r="V17" i="4"/>
  <c r="X17" i="4"/>
  <c r="Z17" i="4"/>
  <c r="AC17" i="4"/>
  <c r="R18" i="4"/>
  <c r="S18" i="4"/>
  <c r="T18" i="4"/>
  <c r="U18" i="4"/>
  <c r="V18" i="4"/>
  <c r="W18" i="4"/>
  <c r="X18" i="4"/>
  <c r="Y18" i="4"/>
  <c r="Z18" i="4"/>
  <c r="AA18" i="4"/>
  <c r="R19" i="4"/>
  <c r="T19" i="4"/>
  <c r="V19" i="4"/>
  <c r="X19" i="4"/>
  <c r="Z19" i="4"/>
  <c r="AC19" i="4"/>
  <c r="R20" i="4"/>
  <c r="S20" i="4"/>
  <c r="T20" i="4"/>
  <c r="U20" i="4"/>
  <c r="V20" i="4"/>
  <c r="W20" i="4"/>
  <c r="X20" i="4"/>
  <c r="Y20" i="4"/>
  <c r="Z20" i="4"/>
  <c r="AA20" i="4"/>
  <c r="R21" i="4"/>
  <c r="T21" i="4"/>
  <c r="V21" i="4"/>
  <c r="X21" i="4"/>
  <c r="Z21" i="4"/>
  <c r="AC21" i="4"/>
  <c r="R22" i="4"/>
  <c r="S22" i="4"/>
  <c r="T22" i="4"/>
  <c r="U22" i="4"/>
  <c r="V22" i="4"/>
  <c r="W22" i="4"/>
  <c r="X22" i="4"/>
  <c r="Y22" i="4"/>
  <c r="Z22" i="4"/>
  <c r="AA22" i="4"/>
  <c r="R23" i="4"/>
  <c r="T23" i="4"/>
  <c r="V23" i="4"/>
  <c r="X23" i="4"/>
  <c r="Z23" i="4"/>
  <c r="AC23" i="4"/>
  <c r="Z5" i="4"/>
  <c r="Z24" i="4" s="1"/>
  <c r="V5" i="4"/>
  <c r="T5" i="4"/>
  <c r="R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P6" i="3"/>
  <c r="P7" i="3"/>
  <c r="P8" i="3"/>
  <c r="P9" i="3"/>
  <c r="P10" i="3"/>
  <c r="P11" i="3"/>
  <c r="P5" i="3"/>
  <c r="E12" i="3"/>
  <c r="F12" i="3"/>
  <c r="G12" i="3"/>
  <c r="H12" i="3"/>
  <c r="I12" i="3"/>
  <c r="J12" i="3"/>
  <c r="X6" i="3" s="1"/>
  <c r="K12" i="3"/>
  <c r="L12" i="3"/>
  <c r="M12" i="3"/>
  <c r="N12" i="3"/>
  <c r="AB6" i="3" s="1"/>
  <c r="O12" i="3"/>
  <c r="Q12" i="3"/>
  <c r="D12" i="3"/>
  <c r="AD1" i="4"/>
  <c r="AD1" i="3"/>
  <c r="Q12" i="2"/>
  <c r="E12" i="2"/>
  <c r="S8" i="2" s="1"/>
  <c r="F12" i="2"/>
  <c r="T9" i="2" s="1"/>
  <c r="G12" i="2"/>
  <c r="U6" i="2" s="1"/>
  <c r="H12" i="2"/>
  <c r="I12" i="2"/>
  <c r="W8" i="2" s="1"/>
  <c r="J12" i="2"/>
  <c r="X9" i="2" s="1"/>
  <c r="K12" i="2"/>
  <c r="Y6" i="2" s="1"/>
  <c r="L12" i="2"/>
  <c r="Z8" i="2" s="1"/>
  <c r="M12" i="2"/>
  <c r="AA8" i="2" s="1"/>
  <c r="N12" i="2"/>
  <c r="AB6" i="2" s="1"/>
  <c r="O12" i="2"/>
  <c r="AC6" i="2" s="1"/>
  <c r="D12" i="2"/>
  <c r="R8" i="2" s="1"/>
  <c r="P6" i="2"/>
  <c r="P7" i="2"/>
  <c r="P8" i="2"/>
  <c r="P9" i="2"/>
  <c r="P10" i="2"/>
  <c r="P11" i="2"/>
  <c r="P5" i="2"/>
  <c r="AJ25" i="2"/>
  <c r="AD2" i="2"/>
  <c r="O3" i="2" s="1"/>
  <c r="AC3" i="2" s="1"/>
  <c r="T24" i="4" l="1"/>
  <c r="R24" i="4"/>
  <c r="V24" i="4"/>
  <c r="AA5" i="4"/>
  <c r="AA23" i="4"/>
  <c r="Y23" i="4"/>
  <c r="W23" i="4"/>
  <c r="U23" i="4"/>
  <c r="S23" i="4"/>
  <c r="AC22" i="4"/>
  <c r="AA21" i="4"/>
  <c r="Y21" i="4"/>
  <c r="W21" i="4"/>
  <c r="U21" i="4"/>
  <c r="S21" i="4"/>
  <c r="AC20" i="4"/>
  <c r="AA19" i="4"/>
  <c r="Y19" i="4"/>
  <c r="W19" i="4"/>
  <c r="U19" i="4"/>
  <c r="S19" i="4"/>
  <c r="AC18" i="4"/>
  <c r="AA17" i="4"/>
  <c r="Y17" i="4"/>
  <c r="W17" i="4"/>
  <c r="U17" i="4"/>
  <c r="S17" i="4"/>
  <c r="AC16" i="4"/>
  <c r="AA15" i="4"/>
  <c r="Y15" i="4"/>
  <c r="W15" i="4"/>
  <c r="U15" i="4"/>
  <c r="S15" i="4"/>
  <c r="AC14" i="4"/>
  <c r="AA13" i="4"/>
  <c r="Y13" i="4"/>
  <c r="W13" i="4"/>
  <c r="U13" i="4"/>
  <c r="S13" i="4"/>
  <c r="AC12" i="4"/>
  <c r="AA11" i="4"/>
  <c r="Y11" i="4"/>
  <c r="W11" i="4"/>
  <c r="U11" i="4"/>
  <c r="S11" i="4"/>
  <c r="AC10" i="4"/>
  <c r="AA9" i="4"/>
  <c r="Y9" i="4"/>
  <c r="W9" i="4"/>
  <c r="U9" i="4"/>
  <c r="S9" i="4"/>
  <c r="AC8" i="4"/>
  <c r="W7" i="4"/>
  <c r="S7" i="4"/>
  <c r="X24" i="4"/>
  <c r="R8" i="3"/>
  <c r="T6" i="3"/>
  <c r="Z11" i="2"/>
  <c r="R11" i="2"/>
  <c r="W9" i="2"/>
  <c r="R7" i="2"/>
  <c r="AC7" i="2"/>
  <c r="Z5" i="2"/>
  <c r="Z6" i="2"/>
  <c r="AB5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U5" i="4"/>
  <c r="Y5" i="4"/>
  <c r="Y24" i="4" s="1"/>
  <c r="AC5" i="4"/>
  <c r="P24" i="4"/>
  <c r="AD17" i="4" s="1"/>
  <c r="W24" i="4"/>
  <c r="R10" i="2"/>
  <c r="R6" i="2"/>
  <c r="W5" i="2"/>
  <c r="Y11" i="2"/>
  <c r="AB10" i="2"/>
  <c r="AB9" i="2"/>
  <c r="S9" i="2"/>
  <c r="AB7" i="2"/>
  <c r="U7" i="2"/>
  <c r="X6" i="2"/>
  <c r="M14" i="3"/>
  <c r="M26" i="4" s="1"/>
  <c r="I14" i="3"/>
  <c r="I26" i="4" s="1"/>
  <c r="E14" i="3"/>
  <c r="E26" i="4" s="1"/>
  <c r="R9" i="2"/>
  <c r="AB5" i="2"/>
  <c r="AC11" i="2"/>
  <c r="X11" i="2"/>
  <c r="Z10" i="2"/>
  <c r="AA9" i="2"/>
  <c r="AB8" i="2"/>
  <c r="Z7" i="2"/>
  <c r="T7" i="2"/>
  <c r="T6" i="2"/>
  <c r="T11" i="2"/>
  <c r="T10" i="2"/>
  <c r="X7" i="2"/>
  <c r="R5" i="2"/>
  <c r="AA5" i="2"/>
  <c r="AB11" i="2"/>
  <c r="U11" i="2"/>
  <c r="X10" i="2"/>
  <c r="Z9" i="2"/>
  <c r="Y7" i="2"/>
  <c r="V8" i="2"/>
  <c r="V5" i="2"/>
  <c r="AA10" i="2"/>
  <c r="W10" i="2"/>
  <c r="S10" i="2"/>
  <c r="V9" i="2"/>
  <c r="AC8" i="2"/>
  <c r="Y8" i="2"/>
  <c r="U8" i="2"/>
  <c r="AA6" i="2"/>
  <c r="W6" i="2"/>
  <c r="S6" i="2"/>
  <c r="AC5" i="2"/>
  <c r="Y5" i="2"/>
  <c r="U5" i="2"/>
  <c r="AA11" i="2"/>
  <c r="W11" i="2"/>
  <c r="S11" i="2"/>
  <c r="V10" i="2"/>
  <c r="AC9" i="2"/>
  <c r="Y9" i="2"/>
  <c r="U9" i="2"/>
  <c r="X8" i="2"/>
  <c r="T8" i="2"/>
  <c r="AA7" i="2"/>
  <c r="W7" i="2"/>
  <c r="S7" i="2"/>
  <c r="V6" i="2"/>
  <c r="S5" i="2"/>
  <c r="X5" i="2"/>
  <c r="T5" i="2"/>
  <c r="V11" i="2"/>
  <c r="AC10" i="2"/>
  <c r="Y10" i="2"/>
  <c r="U10" i="2"/>
  <c r="V7" i="2"/>
  <c r="R11" i="3"/>
  <c r="R10" i="3"/>
  <c r="R7" i="3"/>
  <c r="R6" i="3"/>
  <c r="R9" i="3"/>
  <c r="D14" i="3"/>
  <c r="D26" i="4" s="1"/>
  <c r="R5" i="3"/>
  <c r="AB5" i="3"/>
  <c r="X5" i="3"/>
  <c r="T5" i="3"/>
  <c r="AA11" i="3"/>
  <c r="W11" i="3"/>
  <c r="S11" i="3"/>
  <c r="AA10" i="3"/>
  <c r="W10" i="3"/>
  <c r="S10" i="3"/>
  <c r="AA9" i="3"/>
  <c r="W9" i="3"/>
  <c r="S9" i="3"/>
  <c r="AA8" i="3"/>
  <c r="W8" i="3"/>
  <c r="S8" i="3"/>
  <c r="AA7" i="3"/>
  <c r="W7" i="3"/>
  <c r="S7" i="3"/>
  <c r="AA6" i="3"/>
  <c r="W6" i="3"/>
  <c r="S6" i="3"/>
  <c r="L14" i="3"/>
  <c r="L26" i="4" s="1"/>
  <c r="H14" i="3"/>
  <c r="H26" i="4" s="1"/>
  <c r="AA5" i="3"/>
  <c r="W5" i="3"/>
  <c r="S5" i="3"/>
  <c r="Z11" i="3"/>
  <c r="V11" i="3"/>
  <c r="Z10" i="3"/>
  <c r="V10" i="3"/>
  <c r="Z9" i="3"/>
  <c r="V9" i="3"/>
  <c r="Z8" i="3"/>
  <c r="V8" i="3"/>
  <c r="Z7" i="3"/>
  <c r="V7" i="3"/>
  <c r="Z6" i="3"/>
  <c r="V6" i="3"/>
  <c r="O14" i="3"/>
  <c r="O26" i="4" s="1"/>
  <c r="K14" i="3"/>
  <c r="K26" i="4" s="1"/>
  <c r="G14" i="3"/>
  <c r="G26" i="4" s="1"/>
  <c r="Z5" i="3"/>
  <c r="V5" i="3"/>
  <c r="AC11" i="3"/>
  <c r="Y11" i="3"/>
  <c r="U11" i="3"/>
  <c r="AC10" i="3"/>
  <c r="Y10" i="3"/>
  <c r="U10" i="3"/>
  <c r="AC9" i="3"/>
  <c r="Y9" i="3"/>
  <c r="U9" i="3"/>
  <c r="AC8" i="3"/>
  <c r="Y8" i="3"/>
  <c r="U8" i="3"/>
  <c r="AC7" i="3"/>
  <c r="Y7" i="3"/>
  <c r="U7" i="3"/>
  <c r="AC6" i="3"/>
  <c r="Y6" i="3"/>
  <c r="U6" i="3"/>
  <c r="N14" i="3"/>
  <c r="N26" i="4" s="1"/>
  <c r="J14" i="3"/>
  <c r="J26" i="4" s="1"/>
  <c r="F14" i="3"/>
  <c r="F26" i="4" s="1"/>
  <c r="AC5" i="3"/>
  <c r="Y5" i="3"/>
  <c r="U5" i="3"/>
  <c r="AB11" i="3"/>
  <c r="X11" i="3"/>
  <c r="T11" i="3"/>
  <c r="AB10" i="3"/>
  <c r="X10" i="3"/>
  <c r="T10" i="3"/>
  <c r="AB9" i="3"/>
  <c r="X9" i="3"/>
  <c r="T9" i="3"/>
  <c r="AB8" i="3"/>
  <c r="X8" i="3"/>
  <c r="T8" i="3"/>
  <c r="AB7" i="3"/>
  <c r="X7" i="3"/>
  <c r="T7" i="3"/>
  <c r="AD20" i="4"/>
  <c r="P12" i="3"/>
  <c r="P12" i="2"/>
  <c r="AD5" i="2" s="1"/>
  <c r="I3" i="4"/>
  <c r="W3" i="4" s="1"/>
  <c r="E3" i="4"/>
  <c r="S3" i="4" s="1"/>
  <c r="M3" i="4"/>
  <c r="AA3" i="4" s="1"/>
  <c r="F3" i="4"/>
  <c r="T3" i="4" s="1"/>
  <c r="J3" i="4"/>
  <c r="X3" i="4" s="1"/>
  <c r="N3" i="4"/>
  <c r="AB3" i="4" s="1"/>
  <c r="G3" i="4"/>
  <c r="U3" i="4" s="1"/>
  <c r="K3" i="4"/>
  <c r="Y3" i="4" s="1"/>
  <c r="O3" i="4"/>
  <c r="AC3" i="4" s="1"/>
  <c r="D3" i="4"/>
  <c r="R3" i="4" s="1"/>
  <c r="H3" i="4"/>
  <c r="V3" i="4" s="1"/>
  <c r="L3" i="4"/>
  <c r="Z3" i="4" s="1"/>
  <c r="F3" i="3"/>
  <c r="T3" i="3" s="1"/>
  <c r="J3" i="3"/>
  <c r="X3" i="3" s="1"/>
  <c r="N3" i="3"/>
  <c r="AB3" i="3" s="1"/>
  <c r="G3" i="3"/>
  <c r="U3" i="3" s="1"/>
  <c r="K3" i="3"/>
  <c r="Y3" i="3" s="1"/>
  <c r="O3" i="3"/>
  <c r="AC3" i="3" s="1"/>
  <c r="D3" i="3"/>
  <c r="R3" i="3" s="1"/>
  <c r="H3" i="3"/>
  <c r="V3" i="3" s="1"/>
  <c r="L3" i="3"/>
  <c r="Z3" i="3" s="1"/>
  <c r="E3" i="3"/>
  <c r="S3" i="3" s="1"/>
  <c r="I3" i="3"/>
  <c r="W3" i="3" s="1"/>
  <c r="M3" i="3"/>
  <c r="AA3" i="3" s="1"/>
  <c r="F3" i="2"/>
  <c r="T3" i="2" s="1"/>
  <c r="D3" i="2"/>
  <c r="R3" i="2" s="1"/>
  <c r="H3" i="2"/>
  <c r="V3" i="2" s="1"/>
  <c r="L3" i="2"/>
  <c r="Z3" i="2" s="1"/>
  <c r="E3" i="2"/>
  <c r="S3" i="2" s="1"/>
  <c r="I3" i="2"/>
  <c r="W3" i="2" s="1"/>
  <c r="M3" i="2"/>
  <c r="AA3" i="2" s="1"/>
  <c r="J3" i="2"/>
  <c r="X3" i="2" s="1"/>
  <c r="N3" i="2"/>
  <c r="AB3" i="2" s="1"/>
  <c r="G3" i="2"/>
  <c r="U3" i="2" s="1"/>
  <c r="K3" i="2"/>
  <c r="Y3" i="2" s="1"/>
  <c r="B2" i="4"/>
  <c r="S24" i="4" l="1"/>
  <c r="AA24" i="4"/>
  <c r="AC24" i="4"/>
  <c r="U24" i="4"/>
  <c r="R12" i="2"/>
  <c r="AB12" i="2"/>
  <c r="W12" i="2"/>
  <c r="Z12" i="2"/>
  <c r="AB24" i="4"/>
  <c r="AD16" i="4"/>
  <c r="AD9" i="4"/>
  <c r="AC12" i="3"/>
  <c r="AD7" i="3"/>
  <c r="T12" i="2"/>
  <c r="Y12" i="2"/>
  <c r="AA12" i="2"/>
  <c r="V12" i="2"/>
  <c r="X12" i="2"/>
  <c r="AC12" i="2"/>
  <c r="S12" i="2"/>
  <c r="U12" i="2"/>
  <c r="AA12" i="3"/>
  <c r="Z12" i="3"/>
  <c r="AD11" i="3"/>
  <c r="AD10" i="3"/>
  <c r="R12" i="3"/>
  <c r="AD5" i="3"/>
  <c r="AD6" i="3"/>
  <c r="T12" i="3"/>
  <c r="U12" i="3"/>
  <c r="V12" i="3"/>
  <c r="S12" i="3"/>
  <c r="X12" i="3"/>
  <c r="AD9" i="3"/>
  <c r="P14" i="3"/>
  <c r="P26" i="4" s="1"/>
  <c r="Y26" i="4" s="1"/>
  <c r="Y12" i="3"/>
  <c r="W12" i="3"/>
  <c r="AB12" i="3"/>
  <c r="AD23" i="4"/>
  <c r="AD19" i="4"/>
  <c r="AD5" i="4"/>
  <c r="AD6" i="4"/>
  <c r="AD10" i="4"/>
  <c r="AD14" i="4"/>
  <c r="AD18" i="4"/>
  <c r="AD22" i="4"/>
  <c r="AD7" i="4"/>
  <c r="AD8" i="4"/>
  <c r="AD13" i="4"/>
  <c r="AD11" i="4"/>
  <c r="AD15" i="4"/>
  <c r="AD12" i="4"/>
  <c r="AD21" i="4"/>
  <c r="AD8" i="3"/>
  <c r="AD7" i="2"/>
  <c r="AD6" i="2"/>
  <c r="AD8" i="2"/>
  <c r="AD9" i="2"/>
  <c r="AD11" i="2"/>
  <c r="AD10" i="2"/>
  <c r="AD12" i="2" l="1"/>
  <c r="AD12" i="3"/>
  <c r="AC26" i="4"/>
  <c r="V26" i="4"/>
  <c r="T26" i="4"/>
  <c r="AD26" i="4"/>
  <c r="AB26" i="4"/>
  <c r="X26" i="4"/>
  <c r="S26" i="4"/>
  <c r="W26" i="4"/>
  <c r="U26" i="4"/>
  <c r="AA26" i="4"/>
  <c r="R26" i="4"/>
  <c r="Z26" i="4"/>
  <c r="AD24" i="4"/>
  <c r="AD2" i="4"/>
  <c r="AC2" i="4"/>
  <c r="AD2" i="3"/>
  <c r="AC2" i="3"/>
  <c r="Z14" i="3" l="1"/>
  <c r="AA14" i="3" l="1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<sst xmlns="http://schemas.openxmlformats.org/spreadsheetml/2006/main" count="160" uniqueCount="88">
  <si>
    <t>十二個月</t>
  </si>
  <si>
    <t>損益預測</t>
  </si>
  <si>
    <t>營收 (銷售額)</t>
  </si>
  <si>
    <t>營收 1</t>
  </si>
  <si>
    <t>營收 2</t>
  </si>
  <si>
    <t>營收 3</t>
  </si>
  <si>
    <t>營收 4</t>
  </si>
  <si>
    <t>營收 5</t>
  </si>
  <si>
    <t>營收 6</t>
  </si>
  <si>
    <t>營收 7</t>
  </si>
  <si>
    <t>趨勢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</si>
  <si>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</si>
  <si>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</si>
  <si>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</si>
  <si>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</si>
  <si>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</si>
  <si>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</si>
  <si>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</si>
  <si>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</si>
  <si>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</si>
  <si>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</si>
  <si>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</si>
  <si>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</si>
  <si>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每年</t>
  </si>
  <si>
    <t>2 月百分比</t>
  </si>
  <si>
    <t>3 月百分比</t>
  </si>
  <si>
    <t>4 月百分比</t>
  </si>
  <si>
    <t>5 月百分比</t>
  </si>
  <si>
    <t>6 月百分比</t>
  </si>
  <si>
    <t>7 月百分比</t>
  </si>
  <si>
    <t>8 月百分比</t>
  </si>
  <si>
    <t>9 月百分比</t>
  </si>
  <si>
    <t>10 月百分比</t>
  </si>
  <si>
    <t>會計年度開始時間：</t>
  </si>
  <si>
    <t>11 月百分比</t>
  </si>
  <si>
    <t>12 月百分比</t>
  </si>
  <si>
    <t>公司名稱</t>
  </si>
  <si>
    <t>年百分比</t>
  </si>
  <si>
    <t>銷售成本</t>
  </si>
  <si>
    <t>費用 1</t>
  </si>
  <si>
    <t>費用 2</t>
  </si>
  <si>
    <t>費用 3</t>
  </si>
  <si>
    <t>費用 4</t>
  </si>
  <si>
    <t>費用 5</t>
  </si>
  <si>
    <t>費用 6</t>
  </si>
  <si>
    <t>費用 7</t>
  </si>
  <si>
    <t>毛利</t>
  </si>
  <si>
    <t>會計年度：</t>
  </si>
  <si>
    <t>支出</t>
  </si>
  <si>
    <t xml:space="preserve">薪水支出 </t>
  </si>
  <si>
    <t xml:space="preserve">薪資支出 </t>
  </si>
  <si>
    <t>外部服務</t>
  </si>
  <si>
    <t>用品 (辦公室與營運)</t>
  </si>
  <si>
    <t>維修與維護</t>
  </si>
  <si>
    <t>廣告</t>
  </si>
  <si>
    <t>車資、送貨和差旅</t>
  </si>
  <si>
    <t>會計和法律</t>
  </si>
  <si>
    <t>房租</t>
  </si>
  <si>
    <t>電話</t>
  </si>
  <si>
    <t>公用事業</t>
  </si>
  <si>
    <t>保險</t>
  </si>
  <si>
    <t>稅金 (不動產等)</t>
  </si>
  <si>
    <t>利息</t>
  </si>
  <si>
    <t>折舊</t>
  </si>
  <si>
    <t>其他支出 (請載明)</t>
  </si>
  <si>
    <t>其他 (不必載明)</t>
  </si>
  <si>
    <t>支出總額</t>
  </si>
  <si>
    <t>淨利</t>
  </si>
  <si>
    <t xml:space="preserve"> </t>
  </si>
  <si>
    <t>欄1</t>
  </si>
  <si>
    <t>銷售總額</t>
    <phoneticPr fontId="3" type="noConversion"/>
  </si>
  <si>
    <t>總銷售成本</t>
    <phoneticPr fontId="3" type="noConversion"/>
  </si>
  <si>
    <t>1 月 %</t>
    <phoneticPr fontId="3" type="noConversion"/>
  </si>
  <si>
    <t>2 月 %</t>
  </si>
  <si>
    <t>3 月 %</t>
  </si>
  <si>
    <t>4 月 %</t>
  </si>
  <si>
    <t>5 月 %</t>
  </si>
  <si>
    <t>6 月 %</t>
  </si>
  <si>
    <t>7 月 %</t>
  </si>
  <si>
    <t>8 月 %</t>
  </si>
  <si>
    <t>9 月 %</t>
  </si>
  <si>
    <t>10 月 %</t>
  </si>
  <si>
    <t>11 月 %</t>
  </si>
  <si>
    <t>12 月 %</t>
  </si>
  <si>
    <t>1 月 %</t>
    <phoneticPr fontId="3" type="noConversion"/>
  </si>
  <si>
    <t>1 月 %</t>
    <phoneticPr fontId="3" type="noConversion"/>
  </si>
  <si>
    <t>指數 %</t>
  </si>
  <si>
    <t>年度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</si>
</sst>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;;;"/>
    <numFmt numFmtId="180" formatCode="_-&quot;NT$&quot;* #,##0_ ;_-&quot;NT$&quot;* \-#,##0\ ;_-&quot;NT$&quot;* &quot;-&quot;_ ;_-@_ "/>
    <numFmt numFmtId="181" formatCode="[$-F800]dddd\,\ mmmm\ dd\,\ yyyy"/>
    <numFmt numFmtId="182" formatCode="yyyy\ &quot;年&quot;\ m\ &quot;月&quot;"/>
  </numFmts>
  <fonts count="31" x14ac:knownFonts="1">
    <font>
      <sz val="11"/>
      <color theme="1"/>
      <name val="Microsoft JhengHei UI"/>
      <family val="2"/>
      <charset val="136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sz val="9"/>
      <name val="細明體"/>
      <family val="3"/>
      <charset val="136"/>
      <scheme val="minor"/>
    </font>
    <font>
      <sz val="11"/>
      <color theme="1"/>
      <name val="細明體"/>
      <family val="3"/>
      <charset val="136"/>
    </font>
    <font>
      <b/>
      <sz val="22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b/>
      <sz val="12"/>
      <color theme="3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b/>
      <sz val="26"/>
      <color theme="3"/>
      <name val="Microsoft JhengHei UI"/>
      <family val="2"/>
      <charset val="136"/>
    </font>
    <font>
      <b/>
      <i/>
      <sz val="22"/>
      <color theme="7"/>
      <name val="Microsoft JhengHei UI"/>
      <family val="2"/>
      <charset val="136"/>
    </font>
    <font>
      <b/>
      <i/>
      <sz val="22"/>
      <color theme="7" tint="-0.24994659260841701"/>
      <name val="Microsoft JhengHei UI"/>
      <family val="2"/>
      <charset val="136"/>
    </font>
    <font>
      <b/>
      <sz val="11"/>
      <color theme="8"/>
      <name val="Microsoft JhengHei UI"/>
      <family val="2"/>
      <charset val="136"/>
    </font>
    <font>
      <b/>
      <i/>
      <sz val="16"/>
      <color theme="7" tint="-0.24994659260841701"/>
      <name val="細明體"/>
      <family val="3"/>
      <charset val="136"/>
    </font>
    <font>
      <b/>
      <sz val="12"/>
      <color theme="8"/>
      <name val="細明體"/>
      <family val="3"/>
      <charset val="136"/>
    </font>
    <font>
      <sz val="11"/>
      <color theme="1"/>
      <name val="Microsoft JhengHei UI"/>
      <family val="2"/>
      <charset val="136"/>
    </font>
    <font>
      <b/>
      <i/>
      <sz val="16"/>
      <color theme="7" tint="-0.24994659260841701"/>
      <name val="細明體"/>
      <family val="3"/>
      <charset val="136"/>
    </font>
    <font>
      <b/>
      <i/>
      <sz val="22"/>
      <color theme="7"/>
      <name val="Microsoft JhengHei UI"/>
      <family val="2"/>
      <charset val="136"/>
    </font>
    <font>
      <b/>
      <i/>
      <sz val="22"/>
      <color theme="7" tint="-0.24994659260841701"/>
      <name val="Microsoft JhengHei UI"/>
      <family val="2"/>
      <charset val="136"/>
    </font>
    <font>
      <b/>
      <sz val="22"/>
      <color theme="3"/>
      <name val="Microsoft JhengHei UI"/>
      <family val="2"/>
      <charset val="136"/>
    </font>
    <font>
      <b/>
      <sz val="26"/>
      <color theme="3"/>
      <name val="Century Gothic"/>
      <family val="2"/>
      <scheme val="minor"/>
    </font>
    <font>
      <b/>
      <sz val="26"/>
      <color theme="3"/>
      <name val="Microsoft JhengHei UI"/>
      <family val="2"/>
      <charset val="136"/>
    </font>
    <font>
      <b/>
      <sz val="11"/>
      <color theme="8"/>
      <name val="Microsoft JhengHei UI"/>
      <family val="2"/>
      <charset val="136"/>
    </font>
    <font>
      <b/>
      <sz val="12"/>
      <color theme="8"/>
      <name val="細明體"/>
      <family val="3"/>
      <charset val="136"/>
    </font>
    <font>
      <sz val="11"/>
      <color theme="3"/>
      <name val="Microsoft JhengHei UI"/>
      <family val="2"/>
      <charset val="136"/>
    </font>
    <font>
      <b/>
      <sz val="12"/>
      <color theme="3"/>
      <name val="Microsoft JhengHei UI"/>
      <family val="2"/>
      <charset val="136"/>
    </font>
    <font>
      <sz val="10"/>
      <color theme="1"/>
      <name val="Century Gothic"/>
      <family val="2"/>
      <scheme val="minor"/>
    </font>
    <font>
      <sz val="11"/>
      <name val="Microsoft JhengHei UI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7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6" fillId="0" borderId="3" applyProtection="0">
      <alignment vertical="center"/>
    </xf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7" fillId="0" borderId="0" applyFill="0" applyBorder="0" applyAlignment="0" applyProtection="0"/>
    <xf numFmtId="0" fontId="1" fillId="4" borderId="1" applyNumberFormat="0" applyFont="0" applyAlignment="0" applyProtection="0"/>
    <xf numFmtId="0" fontId="10" fillId="2" borderId="0">
      <alignment horizontal="right" vertical="center" indent="1"/>
    </xf>
    <xf numFmtId="180" fontId="11" fillId="2" borderId="0" applyBorder="0" applyAlignment="0" applyProtection="0"/>
    <xf numFmtId="9" fontId="11" fillId="2" borderId="0" applyBorder="0" applyAlignment="0" applyProtection="0"/>
    <xf numFmtId="0" fontId="8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17" fillId="0" borderId="0" applyFill="0" applyProtection="0">
      <alignment horizontal="right" vertical="center"/>
    </xf>
    <xf numFmtId="182" fontId="6" fillId="0" borderId="2" applyFill="0" applyProtection="0">
      <alignment horizontal="center" vertical="center"/>
    </xf>
    <xf numFmtId="0" fontId="9" fillId="0" borderId="0">
      <alignment horizontal="right" indent="1"/>
    </xf>
    <xf numFmtId="176" fontId="1" fillId="5" borderId="4" applyNumberFormat="0" applyFont="0" applyAlignment="0">
      <alignment horizontal="center"/>
    </xf>
    <xf numFmtId="180" fontId="2" fillId="3" borderId="4" applyNumberFormat="0" applyFont="0" applyAlignment="0"/>
    <xf numFmtId="176" fontId="2" fillId="6" borderId="4" applyNumberFormat="0" applyFont="0" applyAlignment="0"/>
  </cellStyleXfs>
  <cellXfs count="65">
    <xf numFmtId="0" fontId="0" fillId="0" borderId="0" xfId="0"/>
    <xf numFmtId="0" fontId="0" fillId="0" borderId="0" xfId="0" applyBorder="1"/>
    <xf numFmtId="0" fontId="0" fillId="0" borderId="0" xfId="0" applyAlignment="1"/>
    <xf numFmtId="0" fontId="5" fillId="0" borderId="0" xfId="2" applyBorder="1" applyAlignment="1">
      <alignment vertical="center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/>
    <xf numFmtId="0" fontId="0" fillId="0" borderId="0" xfId="0" applyFont="1"/>
    <xf numFmtId="0" fontId="10" fillId="2" borderId="0" xfId="8">
      <alignment horizontal="right" vertical="center" indent="1"/>
    </xf>
    <xf numFmtId="180" fontId="11" fillId="2" borderId="0" xfId="9" applyFill="1" applyAlignment="1">
      <alignment horizontal="right" vertical="center" indent="1"/>
    </xf>
    <xf numFmtId="9" fontId="11" fillId="2" borderId="0" xfId="10" applyFill="1" applyAlignment="1">
      <alignment horizontal="right" vertical="center" indent="1"/>
    </xf>
    <xf numFmtId="0" fontId="8" fillId="0" borderId="0" xfId="11">
      <alignment horizontal="right" wrapText="1" indent="1"/>
    </xf>
    <xf numFmtId="180" fontId="7" fillId="0" borderId="0" xfId="6" applyFill="1" applyBorder="1"/>
    <xf numFmtId="0" fontId="0" fillId="0" borderId="0" xfId="0" applyAlignment="1">
      <alignment horizontal="center"/>
    </xf>
    <xf numFmtId="0" fontId="17" fillId="0" borderId="0" xfId="13">
      <alignment horizontal="right" vertical="center"/>
    </xf>
    <xf numFmtId="182" fontId="6" fillId="0" borderId="2" xfId="14">
      <alignment horizontal="center" vertical="center"/>
    </xf>
    <xf numFmtId="0" fontId="16" fillId="0" borderId="3" xfId="3">
      <alignment vertical="center"/>
    </xf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9" fillId="0" borderId="0" xfId="15">
      <alignment horizontal="right" indent="1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180" fontId="7" fillId="6" borderId="4" xfId="6" applyFill="1" applyBorder="1"/>
    <xf numFmtId="9" fontId="7" fillId="6" borderId="4" xfId="1" applyFill="1" applyBorder="1" applyAlignment="1">
      <alignment horizontal="right"/>
    </xf>
    <xf numFmtId="0" fontId="4" fillId="0" borderId="0" xfId="0" applyFont="1" applyFill="1" applyBorder="1" applyAlignment="1">
      <alignment horizontal="right" indent="1"/>
    </xf>
    <xf numFmtId="180" fontId="0" fillId="0" borderId="0" xfId="0" applyNumberFormat="1" applyFont="1" applyFill="1" applyBorder="1"/>
    <xf numFmtId="180" fontId="8" fillId="0" borderId="0" xfId="6" applyFont="1" applyFill="1" applyBorder="1"/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12" applyFont="1">
      <alignment horizontal="right" vertical="center"/>
    </xf>
    <xf numFmtId="0" fontId="15" fillId="0" borderId="0" xfId="0" applyFont="1"/>
    <xf numFmtId="0" fontId="5" fillId="0" borderId="0" xfId="2" applyFont="1" applyBorder="1">
      <alignment vertical="center"/>
    </xf>
    <xf numFmtId="0" fontId="8" fillId="0" borderId="0" xfId="0" applyFont="1"/>
    <xf numFmtId="9" fontId="0" fillId="0" borderId="0" xfId="0" applyNumberFormat="1" applyFont="1" applyFill="1" applyBorder="1"/>
    <xf numFmtId="180" fontId="7" fillId="3" borderId="4" xfId="6" applyFill="1" applyBorder="1" applyAlignment="1"/>
    <xf numFmtId="9" fontId="7" fillId="3" borderId="4" xfId="1" applyFill="1" applyBorder="1">
      <alignment horizontal="right"/>
    </xf>
    <xf numFmtId="0" fontId="18" fillId="0" borderId="0" xfId="0" applyNumberFormat="1" applyFont="1"/>
    <xf numFmtId="0" fontId="19" fillId="0" borderId="3" xfId="3" applyFo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1" fillId="0" borderId="0" xfId="12" applyFont="1">
      <alignment horizontal="right" vertical="center"/>
    </xf>
    <xf numFmtId="0" fontId="22" fillId="0" borderId="0" xfId="2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/>
    <xf numFmtId="0" fontId="26" fillId="0" borderId="0" xfId="13" applyFont="1">
      <alignment horizontal="right" vertical="center"/>
    </xf>
    <xf numFmtId="0" fontId="26" fillId="0" borderId="0" xfId="13" applyNumberFormat="1" applyFont="1">
      <alignment horizontal="right" vertical="center"/>
    </xf>
    <xf numFmtId="182" fontId="27" fillId="0" borderId="2" xfId="14" applyFont="1">
      <alignment horizontal="center" vertical="center"/>
    </xf>
    <xf numFmtId="0" fontId="28" fillId="0" borderId="0" xfId="15" applyFont="1">
      <alignment horizontal="right" indent="1"/>
    </xf>
    <xf numFmtId="179" fontId="18" fillId="0" borderId="0" xfId="0" applyNumberFormat="1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right"/>
    </xf>
    <xf numFmtId="0" fontId="18" fillId="0" borderId="0" xfId="11" applyFont="1">
      <alignment horizontal="right" wrapText="1" indent="1"/>
    </xf>
    <xf numFmtId="0" fontId="29" fillId="5" borderId="4" xfId="16" applyNumberFormat="1" applyFont="1" applyAlignment="1">
      <alignment horizontal="center"/>
    </xf>
    <xf numFmtId="180" fontId="30" fillId="0" borderId="0" xfId="6" applyFont="1" applyFill="1" applyBorder="1"/>
    <xf numFmtId="180" fontId="30" fillId="5" borderId="4" xfId="6" applyFont="1" applyFill="1" applyBorder="1" applyAlignment="1">
      <alignment horizontal="center"/>
    </xf>
    <xf numFmtId="9" fontId="30" fillId="0" borderId="0" xfId="1" applyFont="1" applyFill="1" applyBorder="1" applyAlignment="1">
      <alignment horizontal="right"/>
    </xf>
    <xf numFmtId="9" fontId="30" fillId="5" borderId="4" xfId="1" applyFont="1" applyFill="1" applyBorder="1" applyAlignment="1">
      <alignment horizontal="right"/>
    </xf>
    <xf numFmtId="181" fontId="18" fillId="0" borderId="0" xfId="0" applyNumberFormat="1" applyFont="1"/>
    <xf numFmtId="0" fontId="0" fillId="0" borderId="0" xfId="0" applyFont="1" applyFill="1" applyBorder="1" applyAlignment="1">
      <alignment horizontal="center"/>
    </xf>
  </cellXfs>
  <cellStyles count="19">
    <cellStyle name="一般" xfId="0" builtinId="0" customBuiltin="1"/>
    <cellStyle name="千分位" xfId="4" builtinId="3" customBuiltin="1"/>
    <cellStyle name="千分位[0]" xfId="5" builtinId="6" customBuiltin="1"/>
    <cellStyle name="支出填滿" xfId="18"/>
    <cellStyle name="百分比" xfId="1" builtinId="5" customBuiltin="1"/>
    <cellStyle name="利潤" xfId="8"/>
    <cellStyle name="利潤百分比" xfId="10"/>
    <cellStyle name="利潤金額" xfId="9"/>
    <cellStyle name="表格詳細資料" xfId="11"/>
    <cellStyle name="表格標題 1" xfId="15"/>
    <cellStyle name="貨幣 [0]" xfId="6" builtinId="7" customBuiltin="1"/>
    <cellStyle name="備註" xfId="7" builtinId="10" customBuiltin="1"/>
    <cellStyle name="標題" xfId="2" builtinId="15" customBuiltin="1"/>
    <cellStyle name="標題 1" xfId="3" builtinId="16" customBuiltin="1"/>
    <cellStyle name="標題 2" xfId="12" builtinId="17" customBuiltin="1"/>
    <cellStyle name="標題 3" xfId="13" builtinId="18" customBuiltin="1"/>
    <cellStyle name="標題 4" xfId="14" builtinId="19" customBuiltin="1"/>
    <cellStyle name="銷售成本填滿" xfId="17"/>
    <cellStyle name="營收填滿" xfId="16"/>
  </cellStyles>
  <dxfs count="1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0" formatCode="_-&quot;NT$&quot;* #,##0_ ;_-&quot;NT$&quot;* \-#,##0\ ;_-&quot;NT$&quot;* &quot;-&quot;_ ;_-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細明體"/>
        <family val="3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損益營收" defaultPivotStyle="PivotStyleLight16">
    <tableStyle name="損益支出" pivot="0" count="5">
      <tableStyleElement type="wholeTable" dxfId="114"/>
      <tableStyleElement type="headerRow" dxfId="113"/>
      <tableStyleElement type="totalRow" dxfId="112"/>
      <tableStyleElement type="firstRowStripe" dxfId="111"/>
      <tableStyleElement type="secondRowStripe" dxfId="110"/>
    </tableStyle>
    <tableStyle name="損益營收" pivot="0" count="5">
      <tableStyleElement type="wholeTable" dxfId="109"/>
      <tableStyleElement type="headerRow" dxfId="108"/>
      <tableStyleElement type="totalRow" dxfId="107"/>
      <tableStyleElement type="firstRowStripe" dxfId="106"/>
      <tableStyleElement type="secondRowStripe" dxfId="105"/>
    </tableStyle>
    <tableStyle name="損益銷售額" pivot="0" count="5">
      <tableStyleElement type="wholeTable" dxfId="104"/>
      <tableStyleElement type="headerRow" dxfId="103"/>
      <tableStyleElement type="totalRow" dxfId="102"/>
      <tableStyleElement type="firstRowStripe" dxfId="101"/>
      <tableStyleElement type="secondRowStripe" dxfId="10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營收" displayName="營收" ref="B4:AD12" totalsRowCount="1">
  <tableColumns count="29">
    <tableColumn id="1" name="營收 (銷售額)" totalsRowLabel="銷售總額" totalsRowDxfId="99"/>
    <tableColumn id="29" name="趨勢" dataDxfId="98" totalsRowDxfId="97"/>
    <tableColumn id="2" name="1 月" totalsRowFunction="sum" totalsRowDxfId="96"/>
    <tableColumn id="3" name="2 月" totalsRowFunction="sum" totalsRowDxfId="95"/>
    <tableColumn id="4" name="3 月" totalsRowFunction="sum" totalsRowDxfId="94"/>
    <tableColumn id="5" name="4 月" totalsRowFunction="sum" totalsRowDxfId="93"/>
    <tableColumn id="6" name="5 月" totalsRowFunction="sum" totalsRowDxfId="92"/>
    <tableColumn id="7" name="6 月" totalsRowFunction="sum" totalsRowDxfId="91"/>
    <tableColumn id="8" name="7 月" totalsRowFunction="sum" totalsRowDxfId="90"/>
    <tableColumn id="9" name="8 月" totalsRowFunction="sum" totalsRowDxfId="89"/>
    <tableColumn id="10" name="9 月" totalsRowFunction="sum" totalsRowDxfId="88"/>
    <tableColumn id="11" name="10 月" totalsRowFunction="sum" totalsRowDxfId="87"/>
    <tableColumn id="12" name="11 月" totalsRowFunction="sum" totalsRowDxfId="86"/>
    <tableColumn id="13" name="12 月" totalsRowFunction="sum" totalsRowDxfId="85"/>
    <tableColumn id="14" name="每年" totalsRowFunction="sum" totalsRowDxfId="84">
      <calculatedColumnFormula>SUM(營收[[#This Row],[1 月]:[12 月]])</calculatedColumnFormula>
    </tableColumn>
    <tableColumn id="15" name="指數 %" totalsRowFunction="sum" totalsRowDxfId="83"/>
    <tableColumn id="16" name="1 月 %" totalsRowFunction="sum" totalsRowDxfId="82">
      <calculatedColumnFormula>IFERROR(營收[[#This Row],[1 月]]/營收[[#Totals],[1 月]],"-")</calculatedColumnFormula>
    </tableColumn>
    <tableColumn id="17" name="2 月 %" totalsRowFunction="sum" totalsRowDxfId="81">
      <calculatedColumnFormula>IFERROR(營收[[#This Row],[2 月]]/營收[[#Totals],[2 月]],"-")</calculatedColumnFormula>
    </tableColumn>
    <tableColumn id="18" name="3 月 %" totalsRowFunction="sum" totalsRowDxfId="80">
      <calculatedColumnFormula>IFERROR(營收[[#This Row],[3 月]]/營收[[#Totals],[3 月]],"-")</calculatedColumnFormula>
    </tableColumn>
    <tableColumn id="19" name="4 月 %" totalsRowFunction="sum" totalsRowDxfId="79">
      <calculatedColumnFormula>IFERROR(營收[[#This Row],[4 月]]/營收[[#Totals],[4 月]],"-")</calculatedColumnFormula>
    </tableColumn>
    <tableColumn id="20" name="5 月 %" totalsRowFunction="sum" totalsRowDxfId="78">
      <calculatedColumnFormula>IFERROR(營收[[#This Row],[5 月]]/營收[[#Totals],[5 月]],"-")</calculatedColumnFormula>
    </tableColumn>
    <tableColumn id="21" name="6 月 %" totalsRowFunction="sum" totalsRowDxfId="77">
      <calculatedColumnFormula>IFERROR(營收[[#This Row],[6 月]]/營收[[#Totals],[6 月]],"-")</calculatedColumnFormula>
    </tableColumn>
    <tableColumn id="22" name="7 月 %" totalsRowFunction="sum" totalsRowDxfId="76">
      <calculatedColumnFormula>IFERROR(營收[[#This Row],[7 月]]/營收[[#Totals],[7 月]],"-")</calculatedColumnFormula>
    </tableColumn>
    <tableColumn id="23" name="8 月 %" totalsRowFunction="sum" totalsRowDxfId="75">
      <calculatedColumnFormula>IFERROR(營收[[#This Row],[8 月]]/營收[[#Totals],[8 月]],"-")</calculatedColumnFormula>
    </tableColumn>
    <tableColumn id="24" name="9 月 %" totalsRowFunction="sum" totalsRowDxfId="74">
      <calculatedColumnFormula>IFERROR(營收[[#This Row],[9 月]]/營收[[#Totals],[9 月]],"-")</calculatedColumnFormula>
    </tableColumn>
    <tableColumn id="25" name="10 月 %" totalsRowFunction="sum" totalsRowDxfId="73">
      <calculatedColumnFormula>IFERROR(營收[[#This Row],[10 月]]/營收[[#Totals],[10 月]],"-")</calculatedColumnFormula>
    </tableColumn>
    <tableColumn id="26" name="11 月 %" totalsRowFunction="sum" totalsRowDxfId="72">
      <calculatedColumnFormula>IFERROR(營收[[#This Row],[11 月]]/營收[[#Totals],[11 月]],"-")</calculatedColumnFormula>
    </tableColumn>
    <tableColumn id="27" name="12 月 %" totalsRowFunction="sum" totalsRowDxfId="71">
      <calculatedColumnFormula>IFERROR(營收[[#This Row],[12 月]]/營收[[#Totals],[12 月]],"-")</calculatedColumnFormula>
    </tableColumn>
    <tableColumn id="28" name="年百分比" totalsRowFunction="sum" totalsRowDxfId="70">
      <calculatedColumnFormula>IFERROR(營收[[#This Row],[每年]]/營收[[#Totals],[每年]],"-")</calculatedColumnFormula>
    </tableColumn>
  </tableColumns>
  <tableStyleInfo name="損益營收" showFirstColumn="0" showLastColumn="0" showRowStripes="1" showColumnStripes="0"/>
  <extLst>
    <ext xmlns:x14="http://schemas.microsoft.com/office/spreadsheetml/2009/9/main" uri="{504A1905-F514-4f6f-8877-14C23A59335A}">
      <x14:table altTextSummary="每個營收項目的每月銷售額、年度總額以及每月百分比的摘要"/>
    </ext>
  </extLst>
</table>
</file>

<file path=xl/tables/table2.xml><?xml version="1.0" encoding="utf-8"?>
<table xmlns="http://schemas.openxmlformats.org/spreadsheetml/2006/main" id="2" name="銷售成本" displayName="銷售成本" ref="B4:AD12" totalsRowCount="1">
  <tableColumns count="29">
    <tableColumn id="1" name="銷售成本" totalsRowLabel="總銷售成本" totalsRowDxfId="69"/>
    <tableColumn id="2" name="趨勢" totalsRowDxfId="68"/>
    <tableColumn id="3" name="1 月" totalsRowFunction="sum" totalsRowDxfId="67" dataCellStyle="貨幣 [0]"/>
    <tableColumn id="4" name="2 月" totalsRowFunction="sum" totalsRowDxfId="66" dataCellStyle="貨幣 [0]"/>
    <tableColumn id="5" name="3 月" totalsRowFunction="sum" totalsRowDxfId="65" dataCellStyle="貨幣 [0]"/>
    <tableColumn id="6" name="4 月" totalsRowFunction="sum" totalsRowDxfId="64" dataCellStyle="貨幣 [0]"/>
    <tableColumn id="7" name="5 月" totalsRowFunction="sum" totalsRowDxfId="63" dataCellStyle="貨幣 [0]"/>
    <tableColumn id="8" name="6 月" totalsRowFunction="sum" totalsRowDxfId="62" dataCellStyle="貨幣 [0]"/>
    <tableColumn id="9" name="7 月" totalsRowFunction="sum" totalsRowDxfId="61" dataCellStyle="貨幣 [0]"/>
    <tableColumn id="10" name="8 月" totalsRowFunction="sum" totalsRowDxfId="60" dataCellStyle="貨幣 [0]"/>
    <tableColumn id="11" name="9 月" totalsRowFunction="sum" totalsRowDxfId="59" dataCellStyle="貨幣 [0]"/>
    <tableColumn id="12" name="10 月" totalsRowFunction="sum" totalsRowDxfId="58" dataCellStyle="貨幣 [0]"/>
    <tableColumn id="13" name="11 月" totalsRowFunction="sum" totalsRowDxfId="57" dataCellStyle="貨幣 [0]"/>
    <tableColumn id="14" name="12 月" totalsRowFunction="sum" totalsRowDxfId="56" dataCellStyle="貨幣 [0]"/>
    <tableColumn id="15" name="每年" totalsRowFunction="sum" dataDxfId="55" totalsRowDxfId="54" dataCellStyle="貨幣 [0]">
      <calculatedColumnFormula>SUM(銷售成本[[#This Row],[1 月]:[12 月]])</calculatedColumnFormula>
    </tableColumn>
    <tableColumn id="16" name="指數 %" totalsRowFunction="sum" totalsRowDxfId="53"/>
    <tableColumn id="17" name="1 月 %" totalsRowFunction="sum" totalsRowDxfId="52" dataCellStyle="百分比">
      <calculatedColumnFormula>IFERROR(銷售成本[[#This Row],[1 月]]/銷售成本[[#Totals],[1 月]],"-")</calculatedColumnFormula>
    </tableColumn>
    <tableColumn id="18" name="2 月 %" totalsRowFunction="sum" totalsRowDxfId="51" dataCellStyle="百分比">
      <calculatedColumnFormula>IFERROR(銷售成本[[#This Row],[2 月]]/銷售成本[[#Totals],[2 月]],"-")</calculatedColumnFormula>
    </tableColumn>
    <tableColumn id="19" name="3 月 %" totalsRowFunction="sum" totalsRowDxfId="50" dataCellStyle="百分比">
      <calculatedColumnFormula>IFERROR(銷售成本[[#This Row],[3 月]]/銷售成本[[#Totals],[3 月]],"-")</calculatedColumnFormula>
    </tableColumn>
    <tableColumn id="20" name="4 月 %" totalsRowFunction="sum" totalsRowDxfId="49" dataCellStyle="百分比">
      <calculatedColumnFormula>IFERROR(銷售成本[[#This Row],[4 月]]/銷售成本[[#Totals],[4 月]],"-")</calculatedColumnFormula>
    </tableColumn>
    <tableColumn id="21" name="5 月 %" totalsRowFunction="sum" totalsRowDxfId="48" dataCellStyle="百分比">
      <calculatedColumnFormula>IFERROR(銷售成本[[#This Row],[5 月]]/銷售成本[[#Totals],[5 月]],"-")</calculatedColumnFormula>
    </tableColumn>
    <tableColumn id="22" name="6 月 %" totalsRowFunction="sum" totalsRowDxfId="47" dataCellStyle="百分比">
      <calculatedColumnFormula>IFERROR(銷售成本[[#This Row],[6 月]]/銷售成本[[#Totals],[6 月]],"-")</calculatedColumnFormula>
    </tableColumn>
    <tableColumn id="23" name="7 月 %" totalsRowFunction="sum" totalsRowDxfId="46" dataCellStyle="百分比">
      <calculatedColumnFormula>IFERROR(銷售成本[[#This Row],[7 月]]/銷售成本[[#Totals],[7 月]],"-")</calculatedColumnFormula>
    </tableColumn>
    <tableColumn id="24" name="8 月 %" totalsRowFunction="sum" totalsRowDxfId="45" dataCellStyle="百分比">
      <calculatedColumnFormula>IFERROR(銷售成本[[#This Row],[8 月]]/銷售成本[[#Totals],[8 月]],"-")</calculatedColumnFormula>
    </tableColumn>
    <tableColumn id="25" name="9 月 %" totalsRowFunction="sum" totalsRowDxfId="44" dataCellStyle="百分比">
      <calculatedColumnFormula>IFERROR(銷售成本[[#This Row],[9 月]]/銷售成本[[#Totals],[9 月]],"-")</calculatedColumnFormula>
    </tableColumn>
    <tableColumn id="26" name="10 月 %" totalsRowFunction="sum" totalsRowDxfId="43" dataCellStyle="百分比">
      <calculatedColumnFormula>IFERROR(銷售成本[[#This Row],[10 月]]/銷售成本[[#Totals],[10 月]],"-")</calculatedColumnFormula>
    </tableColumn>
    <tableColumn id="27" name="11 月 %" totalsRowFunction="sum" totalsRowDxfId="42" dataCellStyle="百分比">
      <calculatedColumnFormula>IFERROR(銷售成本[[#This Row],[11 月]]/銷售成本[[#Totals],[11 月]],"-")</calculatedColumnFormula>
    </tableColumn>
    <tableColumn id="28" name="12 月 %" totalsRowFunction="sum" totalsRowDxfId="41" dataCellStyle="百分比">
      <calculatedColumnFormula>IFERROR(銷售成本[[#This Row],[12 月]]/銷售成本[[#Totals],[12 月]],"-")</calculatedColumnFormula>
    </tableColumn>
    <tableColumn id="29" name="年百分比" totalsRowFunction="sum" totalsRowDxfId="40" dataCellStyle="百分比">
      <calculatedColumnFormula>IFERROR(銷售成本[[#This Row],[每年]]/銷售成本[[#Totals],[每年]],"-")</calculatedColumnFormula>
    </tableColumn>
  </tableColumns>
  <tableStyleInfo name="損益銷售額" showFirstColumn="0" showLastColumn="0" showRowStripes="1" showColumnStripes="0"/>
  <extLst>
    <ext xmlns:x14="http://schemas.microsoft.com/office/spreadsheetml/2009/9/main" uri="{504A1905-F514-4f6f-8877-14C23A59335A}">
      <x14:table altTextSummary="每個成本項目的銷售成本、年度總額以及每月百分比的摘要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支出" totalsRowLabel="支出總額" totalsRowDxfId="39"/>
    <tableColumn id="2" name="趨勢" totalsRowDxfId="38"/>
    <tableColumn id="3" name="欄1" totalsRowFunction="sum" dataDxfId="37" totalsRowDxfId="36"/>
    <tableColumn id="4" name="2 月" totalsRowFunction="sum" totalsRowDxfId="35"/>
    <tableColumn id="5" name="3 月" totalsRowFunction="sum" dataDxfId="34" totalsRowDxfId="33"/>
    <tableColumn id="6" name="4 月" totalsRowFunction="sum" dataDxfId="32" totalsRowDxfId="31"/>
    <tableColumn id="7" name="5 月" totalsRowFunction="sum" dataDxfId="30" totalsRowDxfId="29"/>
    <tableColumn id="8" name="6 月" totalsRowFunction="sum" dataDxfId="28" totalsRowDxfId="27"/>
    <tableColumn id="9" name="7 月" totalsRowFunction="sum" dataDxfId="26" totalsRowDxfId="25"/>
    <tableColumn id="10" name="8 月" totalsRowFunction="sum" dataDxfId="24" totalsRowDxfId="23"/>
    <tableColumn id="11" name="9 月" totalsRowFunction="sum" dataDxfId="22" totalsRowDxfId="21"/>
    <tableColumn id="12" name="10 月" totalsRowFunction="sum" dataDxfId="20" totalsRowDxfId="19"/>
    <tableColumn id="13" name="11 月" totalsRowFunction="sum" dataDxfId="18" totalsRowDxfId="17"/>
    <tableColumn id="14" name="12 月" totalsRowFunction="sum" dataDxfId="16" totalsRowDxfId="15"/>
    <tableColumn id="15" name="每年" totalsRowFunction="sum" totalsRowDxfId="14">
      <calculatedColumnFormula>SUM(tblExpenses[[#This Row],[欄1]:[12 月]])</calculatedColumnFormula>
    </tableColumn>
    <tableColumn id="16" name="指數 %" totalsRowFunction="sum" totalsRowDxfId="13"/>
    <tableColumn id="17" name="1 月 %" totalsRowFunction="sum" totalsRowDxfId="12">
      <calculatedColumnFormula>tblExpenses[[#This Row],[欄1]]/tblExpenses[[#Totals],[欄1]]</calculatedColumnFormula>
    </tableColumn>
    <tableColumn id="18" name="2 月百分比" totalsRowFunction="sum" totalsRowDxfId="11">
      <calculatedColumnFormula>tblExpenses[[#This Row],[2 月]]/tblExpenses[[#Totals],[2 月]]</calculatedColumnFormula>
    </tableColumn>
    <tableColumn id="19" name="3 月百分比" totalsRowFunction="sum" totalsRowDxfId="10">
      <calculatedColumnFormula>tblExpenses[[#This Row],[3 月]]/tblExpenses[[#Totals],[3 月]]</calculatedColumnFormula>
    </tableColumn>
    <tableColumn id="20" name="4 月百分比" totalsRowFunction="sum" totalsRowDxfId="9">
      <calculatedColumnFormula>tblExpenses[[#This Row],[4 月]]/tblExpenses[[#Totals],[4 月]]</calculatedColumnFormula>
    </tableColumn>
    <tableColumn id="21" name="5 月百分比" totalsRowFunction="sum" totalsRowDxfId="8">
      <calculatedColumnFormula>tblExpenses[[#This Row],[5 月]]/tblExpenses[[#Totals],[5 月]]</calculatedColumnFormula>
    </tableColumn>
    <tableColumn id="22" name="6 月百分比" totalsRowFunction="sum" totalsRowDxfId="7">
      <calculatedColumnFormula>tblExpenses[[#This Row],[6 月]]/tblExpenses[[#Totals],[6 月]]</calculatedColumnFormula>
    </tableColumn>
    <tableColumn id="23" name="7 月百分比" totalsRowFunction="sum" totalsRowDxfId="6">
      <calculatedColumnFormula>tblExpenses[[#This Row],[7 月]]/tblExpenses[[#Totals],[7 月]]</calculatedColumnFormula>
    </tableColumn>
    <tableColumn id="24" name="8 月百分比" totalsRowFunction="sum" totalsRowDxfId="5">
      <calculatedColumnFormula>tblExpenses[[#This Row],[8 月]]/tblExpenses[[#Totals],[8 月]]</calculatedColumnFormula>
    </tableColumn>
    <tableColumn id="25" name="9 月百分比" totalsRowFunction="sum" totalsRowDxfId="4">
      <calculatedColumnFormula>tblExpenses[[#This Row],[9 月]]/tblExpenses[[#Totals],[9 月]]</calculatedColumnFormula>
    </tableColumn>
    <tableColumn id="26" name="10 月百分比" totalsRowFunction="sum" totalsRowDxfId="3">
      <calculatedColumnFormula>tblExpenses[[#This Row],[10 月]]/tblExpenses[[#Totals],[10 月]]</calculatedColumnFormula>
    </tableColumn>
    <tableColumn id="27" name="11 月百分比" totalsRowFunction="sum" totalsRowDxfId="2">
      <calculatedColumnFormula>tblExpenses[[#This Row],[11 月]]/tblExpenses[[#Totals],[11 月]]</calculatedColumnFormula>
    </tableColumn>
    <tableColumn id="28" name="12 月百分比" totalsRowFunction="sum" totalsRowDxfId="1">
      <calculatedColumnFormula>tblExpenses[[#This Row],[12 月]]/tblExpenses[[#Totals],[12 月]]</calculatedColumnFormula>
    </tableColumn>
    <tableColumn id="29" name="年百分比" totalsRowFunction="sum" totalsRowDxfId="0">
      <calculatedColumnFormula>tblExpenses[[#This Row],[每年]]/tblExpenses[[#Totals],[每年]]</calculatedColumnFormula>
    </tableColumn>
  </tableColumns>
  <tableStyleInfo name="損益支出" showFirstColumn="0" showLastColumn="0" showRowStripes="1" showColumnStripes="0"/>
  <extLst>
    <ext xmlns:x14="http://schemas.microsoft.com/office/spreadsheetml/2009/9/main" uri="{504A1905-F514-4f6f-8877-14C23A59335A}">
      <x14:table altTextSummary="每個支出項目的支出、年度總額以及每月百分比的摘要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M25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25"/>
  <cols>
    <col min="1" max="1" width="2.77734375" style="43" customWidth="1"/>
    <col min="2" max="2" width="15.21875" style="43" customWidth="1"/>
    <col min="3" max="3" width="12.77734375" style="43" customWidth="1"/>
    <col min="4" max="15" width="15.88671875" style="43" customWidth="1"/>
    <col min="16" max="16" width="14.21875" style="43" customWidth="1"/>
    <col min="17" max="17" width="13.88671875" style="43" customWidth="1"/>
    <col min="18" max="30" width="10.77734375" style="43" customWidth="1"/>
    <col min="31" max="31" width="2.77734375" style="43" customWidth="1"/>
    <col min="32" max="38" width="8.88671875" style="43"/>
    <col min="39" max="39" width="25.6640625" style="43" customWidth="1"/>
    <col min="40" max="16384" width="8.88671875" style="43"/>
  </cols>
  <sheetData>
    <row r="1" spans="1:39" ht="35.1" customHeight="1" x14ac:dyDescent="0.25">
      <c r="A1" s="41"/>
      <c r="B1" s="42" t="s">
        <v>0</v>
      </c>
      <c r="J1" s="44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6" t="s">
        <v>36</v>
      </c>
    </row>
    <row r="2" spans="1:39" ht="60" customHeight="1" x14ac:dyDescent="0.25">
      <c r="B2" s="47" t="s">
        <v>1</v>
      </c>
      <c r="E2" s="48"/>
      <c r="G2" s="49"/>
      <c r="K2" s="49"/>
      <c r="L2" s="49"/>
      <c r="M2" s="49"/>
      <c r="N2" s="49"/>
      <c r="O2" s="49"/>
      <c r="X2" s="50"/>
      <c r="Y2" s="50"/>
      <c r="Z2" s="50"/>
      <c r="AA2" s="50"/>
      <c r="AB2" s="51" t="s">
        <v>33</v>
      </c>
      <c r="AC2" s="51" t="s">
        <v>11</v>
      </c>
      <c r="AD2" s="52">
        <f ca="1">YEAR(TODAY())</f>
        <v>2017</v>
      </c>
    </row>
    <row r="3" spans="1:39" ht="20.100000000000001" customHeight="1" x14ac:dyDescent="0.25">
      <c r="D3" s="53" t="str">
        <f ca="1">UPPER(TEXT(DATE(FYStartYear,FYMonthNo,1),"yyyy 年 m 月"))</f>
        <v>2017 年 1 月</v>
      </c>
      <c r="E3" s="53" t="str">
        <f ca="1">UPPER(TEXT(DATE(FYStartYear,FYMonthNo+1,1),"yyyy 年 m 月"))</f>
        <v>2017 年 2 月</v>
      </c>
      <c r="F3" s="53" t="str">
        <f ca="1">UPPER(TEXT(DATE(FYStartYear,FYMonthNo+2,1),"yyyy 年 m 月"))</f>
        <v>2017 年 3 月</v>
      </c>
      <c r="G3" s="53" t="str">
        <f ca="1">UPPER(TEXT(DATE(FYStartYear,FYMonthNo+3,1),"yyyy 年 m 月"))</f>
        <v>2017 年 4 月</v>
      </c>
      <c r="H3" s="53" t="str">
        <f ca="1">UPPER(TEXT(DATE(FYStartYear,FYMonthNo+4,1),"yyyy 年 m 月"))</f>
        <v>2017 年 5 月</v>
      </c>
      <c r="I3" s="53" t="str">
        <f ca="1">UPPER(TEXT(DATE(FYStartYear,FYMonthNo+5,1),"yyyy 年 m 月"))</f>
        <v>2017 年 6 月</v>
      </c>
      <c r="J3" s="53" t="str">
        <f ca="1">UPPER(TEXT(DATE(FYStartYear,FYMonthNo+6,1),"yyyy 年 m 月"))</f>
        <v>2017 年 7 月</v>
      </c>
      <c r="K3" s="53" t="str">
        <f ca="1">UPPER(TEXT(DATE(FYStartYear,FYMonthNo+7,1),"yyyy 年 m 月"))</f>
        <v>2017 年 8 月</v>
      </c>
      <c r="L3" s="53" t="str">
        <f ca="1">UPPER(TEXT(DATE(FYStartYear,FYMonthNo+8,1),"yyyy 年 m 月"))</f>
        <v>2017 年 9 月</v>
      </c>
      <c r="M3" s="53" t="str">
        <f ca="1">UPPER(TEXT(DATE(FYStartYear,FYMonthNo+9,1),"yyyy 年 m 月"))</f>
        <v>2017 年 10 月</v>
      </c>
      <c r="N3" s="53" t="str">
        <f ca="1">UPPER(TEXT(DATE(FYStartYear,FYMonthNo+10,1),"yyyy 年 m 月"))</f>
        <v>2017 年 11 月</v>
      </c>
      <c r="O3" s="53" t="str">
        <f ca="1">UPPER(TEXT(DATE(FYStartYear,FYMonthNo+11,1),"yyyy 年 m 月"))</f>
        <v>2017 年 12 月</v>
      </c>
      <c r="P3" s="53" t="s">
        <v>23</v>
      </c>
      <c r="Q3" s="53" t="s">
        <v>86</v>
      </c>
      <c r="R3" s="53" t="str">
        <f ca="1">RIGHT(D3,3)&amp;" %"</f>
        <v>1 月 %</v>
      </c>
      <c r="S3" s="53" t="str">
        <f ca="1">RIGHT(E3,3)&amp;" %"</f>
        <v>2 月 %</v>
      </c>
      <c r="T3" s="53" t="str">
        <f t="shared" ref="T3:Z3" ca="1" si="0">RIGHT(F3,3)&amp;" %"</f>
        <v>3 月 %</v>
      </c>
      <c r="U3" s="53" t="str">
        <f t="shared" ca="1" si="0"/>
        <v>4 月 %</v>
      </c>
      <c r="V3" s="53" t="str">
        <f t="shared" ca="1" si="0"/>
        <v>5 月 %</v>
      </c>
      <c r="W3" s="53" t="str">
        <f t="shared" ca="1" si="0"/>
        <v>6 月 %</v>
      </c>
      <c r="X3" s="53" t="str">
        <f t="shared" ca="1" si="0"/>
        <v>7 月 %</v>
      </c>
      <c r="Y3" s="53" t="str">
        <f t="shared" ca="1" si="0"/>
        <v>8 月 %</v>
      </c>
      <c r="Z3" s="53" t="str">
        <f t="shared" ca="1" si="0"/>
        <v>9 月 %</v>
      </c>
      <c r="AA3" s="53" t="str">
        <f ca="1">RIGHT(M3,4)&amp;" %"</f>
        <v>10 月 %</v>
      </c>
      <c r="AB3" s="53" t="str">
        <f t="shared" ref="AB3:AC3" ca="1" si="1">RIGHT(N3,4)&amp;" %"</f>
        <v>11 月 %</v>
      </c>
      <c r="AC3" s="53" t="str">
        <f t="shared" ca="1" si="1"/>
        <v>12 月 %</v>
      </c>
      <c r="AD3" s="53" t="s">
        <v>87</v>
      </c>
    </row>
    <row r="4" spans="1:39" ht="30" customHeight="1" x14ac:dyDescent="0.25">
      <c r="B4" s="54" t="s">
        <v>2</v>
      </c>
      <c r="C4" s="54" t="s">
        <v>10</v>
      </c>
      <c r="D4" s="55" t="s">
        <v>11</v>
      </c>
      <c r="E4" s="55" t="s">
        <v>12</v>
      </c>
      <c r="F4" s="55" t="s">
        <v>13</v>
      </c>
      <c r="G4" s="55" t="s">
        <v>14</v>
      </c>
      <c r="H4" s="55" t="s">
        <v>15</v>
      </c>
      <c r="I4" s="55" t="s">
        <v>16</v>
      </c>
      <c r="J4" s="55" t="s">
        <v>17</v>
      </c>
      <c r="K4" s="55" t="s">
        <v>18</v>
      </c>
      <c r="L4" s="55" t="s">
        <v>19</v>
      </c>
      <c r="M4" s="55" t="s">
        <v>20</v>
      </c>
      <c r="N4" s="55" t="s">
        <v>21</v>
      </c>
      <c r="O4" s="55" t="s">
        <v>22</v>
      </c>
      <c r="P4" s="55" t="s">
        <v>23</v>
      </c>
      <c r="Q4" s="56" t="s">
        <v>86</v>
      </c>
      <c r="R4" s="56" t="s">
        <v>72</v>
      </c>
      <c r="S4" s="56" t="s">
        <v>73</v>
      </c>
      <c r="T4" s="56" t="s">
        <v>74</v>
      </c>
      <c r="U4" s="56" t="s">
        <v>75</v>
      </c>
      <c r="V4" s="56" t="s">
        <v>76</v>
      </c>
      <c r="W4" s="56" t="s">
        <v>77</v>
      </c>
      <c r="X4" s="56" t="s">
        <v>78</v>
      </c>
      <c r="Y4" s="56" t="s">
        <v>79</v>
      </c>
      <c r="Z4" s="56" t="s">
        <v>80</v>
      </c>
      <c r="AA4" s="56" t="s">
        <v>81</v>
      </c>
      <c r="AB4" s="56" t="s">
        <v>82</v>
      </c>
      <c r="AC4" s="56" t="s">
        <v>83</v>
      </c>
      <c r="AD4" s="55" t="s">
        <v>37</v>
      </c>
    </row>
    <row r="5" spans="1:39" ht="30" customHeight="1" x14ac:dyDescent="0.25">
      <c r="B5" s="57" t="s">
        <v>3</v>
      </c>
      <c r="C5" s="58"/>
      <c r="D5" s="59">
        <v>5580</v>
      </c>
      <c r="E5" s="59">
        <v>3240</v>
      </c>
      <c r="F5" s="59">
        <v>2760</v>
      </c>
      <c r="G5" s="59">
        <v>3660</v>
      </c>
      <c r="H5" s="59">
        <v>5700</v>
      </c>
      <c r="I5" s="59">
        <v>2130</v>
      </c>
      <c r="J5" s="59">
        <v>630</v>
      </c>
      <c r="K5" s="59">
        <v>1110</v>
      </c>
      <c r="L5" s="59">
        <v>720</v>
      </c>
      <c r="M5" s="59">
        <v>5340</v>
      </c>
      <c r="N5" s="59">
        <v>2760</v>
      </c>
      <c r="O5" s="59">
        <v>2910</v>
      </c>
      <c r="P5" s="60">
        <f>SUM(營收[[#This Row],[1 月]:[12 月]])</f>
        <v>36540</v>
      </c>
      <c r="Q5" s="61">
        <v>0.12</v>
      </c>
      <c r="R5" s="62">
        <f>IFERROR(營收[[#This Row],[1 月]]/營收[[#Totals],[1 月]],"-")</f>
        <v>0.29807692307692307</v>
      </c>
      <c r="S5" s="62">
        <f>IFERROR(營收[[#This Row],[2 月]]/營收[[#Totals],[2 月]],"-")</f>
        <v>0.14673913043478262</v>
      </c>
      <c r="T5" s="62">
        <f>IFERROR(營收[[#This Row],[3 月]]/營收[[#Totals],[3 月]],"-")</f>
        <v>0.11219512195121951</v>
      </c>
      <c r="U5" s="62">
        <f>IFERROR(營收[[#This Row],[4 月]]/營收[[#Totals],[4 月]],"-")</f>
        <v>0.19967266775777415</v>
      </c>
      <c r="V5" s="62">
        <f>IFERROR(營收[[#This Row],[5 月]]/營收[[#Totals],[5 月]],"-")</f>
        <v>0.23399014778325122</v>
      </c>
      <c r="W5" s="62">
        <f>IFERROR(營收[[#This Row],[6 月]]/營收[[#Totals],[6 月]],"-")</f>
        <v>0.12283737024221453</v>
      </c>
      <c r="X5" s="62">
        <f>IFERROR(營收[[#This Row],[7 月]]/營收[[#Totals],[7 月]],"-")</f>
        <v>3.5175879396984924E-2</v>
      </c>
      <c r="Y5" s="62">
        <f>IFERROR(營收[[#This Row],[8 月]]/營收[[#Totals],[8 月]],"-")</f>
        <v>5.4814814814814816E-2</v>
      </c>
      <c r="Z5" s="62">
        <f>IFERROR(營收[[#This Row],[9 月]]/營收[[#Totals],[9 月]],"-")</f>
        <v>3.2258064516129031E-2</v>
      </c>
      <c r="AA5" s="62">
        <f>IFERROR(營收[[#This Row],[10 月]]/營收[[#Totals],[10 月]],"-")</f>
        <v>0.26138032305433184</v>
      </c>
      <c r="AB5" s="62">
        <f>IFERROR(營收[[#This Row],[11 月]]/營收[[#Totals],[11 月]],"-")</f>
        <v>0.12449255751014884</v>
      </c>
      <c r="AC5" s="62">
        <f>IFERROR(營收[[#This Row],[12 月]]/營收[[#Totals],[12 月]],"-")</f>
        <v>9.3000958772770856E-2</v>
      </c>
      <c r="AD5" s="62">
        <f>IFERROR(營收[[#This Row],[每年]]/營收[[#Totals],[每年]],"-")</f>
        <v>0.14064665127020784</v>
      </c>
    </row>
    <row r="6" spans="1:39" ht="30" customHeight="1" x14ac:dyDescent="0.25">
      <c r="B6" s="57" t="s">
        <v>4</v>
      </c>
      <c r="C6" s="58"/>
      <c r="D6" s="59">
        <v>450</v>
      </c>
      <c r="E6" s="59">
        <v>480</v>
      </c>
      <c r="F6" s="59">
        <v>5940</v>
      </c>
      <c r="G6" s="59">
        <v>1320</v>
      </c>
      <c r="H6" s="59">
        <v>750</v>
      </c>
      <c r="I6" s="59">
        <v>2040</v>
      </c>
      <c r="J6" s="59">
        <v>1290</v>
      </c>
      <c r="K6" s="59">
        <v>3570</v>
      </c>
      <c r="L6" s="59">
        <v>1110</v>
      </c>
      <c r="M6" s="59">
        <v>3540</v>
      </c>
      <c r="N6" s="59">
        <v>870</v>
      </c>
      <c r="O6" s="59">
        <v>5130</v>
      </c>
      <c r="P6" s="60">
        <f>SUM(營收[[#This Row],[1 月]:[12 月]])</f>
        <v>26490</v>
      </c>
      <c r="Q6" s="61">
        <v>0.18</v>
      </c>
      <c r="R6" s="62">
        <f>IFERROR(營收[[#This Row],[1 月]]/營收[[#Totals],[1 月]],"-")</f>
        <v>2.403846153846154E-2</v>
      </c>
      <c r="S6" s="62">
        <f>IFERROR(營收[[#This Row],[2 月]]/營收[[#Totals],[2 月]],"-")</f>
        <v>2.1739130434782608E-2</v>
      </c>
      <c r="T6" s="62">
        <f>IFERROR(營收[[#This Row],[3 月]]/營收[[#Totals],[3 月]],"-")</f>
        <v>0.24146341463414633</v>
      </c>
      <c r="U6" s="62">
        <f>IFERROR(營收[[#This Row],[4 月]]/營收[[#Totals],[4 月]],"-")</f>
        <v>7.2013093289689037E-2</v>
      </c>
      <c r="V6" s="62">
        <f>IFERROR(營收[[#This Row],[5 月]]/營收[[#Totals],[5 月]],"-")</f>
        <v>3.0788177339901478E-2</v>
      </c>
      <c r="W6" s="62">
        <f>IFERROR(營收[[#This Row],[6 月]]/營收[[#Totals],[6 月]],"-")</f>
        <v>0.11764705882352941</v>
      </c>
      <c r="X6" s="62">
        <f>IFERROR(營收[[#This Row],[7 月]]/營收[[#Totals],[7 月]],"-")</f>
        <v>7.2026800670016752E-2</v>
      </c>
      <c r="Y6" s="62">
        <f>IFERROR(營收[[#This Row],[8 月]]/營收[[#Totals],[8 月]],"-")</f>
        <v>0.17629629629629628</v>
      </c>
      <c r="Z6" s="62">
        <f>IFERROR(營收[[#This Row],[9 月]]/營收[[#Totals],[9 月]],"-")</f>
        <v>4.9731182795698922E-2</v>
      </c>
      <c r="AA6" s="62">
        <f>IFERROR(營收[[#This Row],[10 月]]/營收[[#Totals],[10 月]],"-")</f>
        <v>0.17327459618208516</v>
      </c>
      <c r="AB6" s="62">
        <f>IFERROR(營收[[#This Row],[11 月]]/營收[[#Totals],[11 月]],"-")</f>
        <v>3.9242219215155617E-2</v>
      </c>
      <c r="AC6" s="62">
        <f>IFERROR(營收[[#This Row],[12 月]]/營收[[#Totals],[12 月]],"-")</f>
        <v>0.16395014381591563</v>
      </c>
      <c r="AD6" s="62">
        <f>IFERROR(營收[[#This Row],[每年]]/營收[[#Totals],[每年]],"-")</f>
        <v>0.10196304849884527</v>
      </c>
    </row>
    <row r="7" spans="1:39" ht="30" customHeight="1" x14ac:dyDescent="0.25">
      <c r="B7" s="57" t="s">
        <v>5</v>
      </c>
      <c r="C7" s="58"/>
      <c r="D7" s="59">
        <v>4980</v>
      </c>
      <c r="E7" s="59">
        <v>5550</v>
      </c>
      <c r="F7" s="59">
        <v>2670</v>
      </c>
      <c r="G7" s="59">
        <v>5100</v>
      </c>
      <c r="H7" s="59">
        <v>3930</v>
      </c>
      <c r="I7" s="59">
        <v>2100</v>
      </c>
      <c r="J7" s="59">
        <v>1500</v>
      </c>
      <c r="K7" s="59">
        <v>4470</v>
      </c>
      <c r="L7" s="59">
        <v>5370</v>
      </c>
      <c r="M7" s="59">
        <v>3120</v>
      </c>
      <c r="N7" s="59">
        <v>3570</v>
      </c>
      <c r="O7" s="59">
        <v>5610</v>
      </c>
      <c r="P7" s="60">
        <f>SUM(營收[[#This Row],[1 月]:[12 月]])</f>
        <v>47970</v>
      </c>
      <c r="Q7" s="61">
        <v>0.19</v>
      </c>
      <c r="R7" s="62">
        <f>IFERROR(營收[[#This Row],[1 月]]/營收[[#Totals],[1 月]],"-")</f>
        <v>0.26602564102564102</v>
      </c>
      <c r="S7" s="62">
        <f>IFERROR(營收[[#This Row],[2 月]]/營收[[#Totals],[2 月]],"-")</f>
        <v>0.25135869565217389</v>
      </c>
      <c r="T7" s="62">
        <f>IFERROR(營收[[#This Row],[3 月]]/營收[[#Totals],[3 月]],"-")</f>
        <v>0.10853658536585366</v>
      </c>
      <c r="U7" s="62">
        <f>IFERROR(營收[[#This Row],[4 月]]/營收[[#Totals],[4 月]],"-")</f>
        <v>0.27823240589198034</v>
      </c>
      <c r="V7" s="62">
        <f>IFERROR(營收[[#This Row],[5 月]]/營收[[#Totals],[5 月]],"-")</f>
        <v>0.16133004926108374</v>
      </c>
      <c r="W7" s="62">
        <f>IFERROR(營收[[#This Row],[6 月]]/營收[[#Totals],[6 月]],"-")</f>
        <v>0.12110726643598616</v>
      </c>
      <c r="X7" s="62">
        <f>IFERROR(營收[[#This Row],[7 月]]/營收[[#Totals],[7 月]],"-")</f>
        <v>8.3752093802345065E-2</v>
      </c>
      <c r="Y7" s="62">
        <f>IFERROR(營收[[#This Row],[8 月]]/營收[[#Totals],[8 月]],"-")</f>
        <v>0.22074074074074074</v>
      </c>
      <c r="Z7" s="62">
        <f>IFERROR(營收[[#This Row],[9 月]]/營收[[#Totals],[9 月]],"-")</f>
        <v>0.24059139784946237</v>
      </c>
      <c r="AA7" s="62">
        <f>IFERROR(營收[[#This Row],[10 月]]/營收[[#Totals],[10 月]],"-")</f>
        <v>0.1527165932452276</v>
      </c>
      <c r="AB7" s="62">
        <f>IFERROR(營收[[#This Row],[11 月]]/營收[[#Totals],[11 月]],"-")</f>
        <v>0.16102841677943167</v>
      </c>
      <c r="AC7" s="62">
        <f>IFERROR(營收[[#This Row],[12 月]]/營收[[#Totals],[12 月]],"-")</f>
        <v>0.17929050814956854</v>
      </c>
      <c r="AD7" s="62">
        <f>IFERROR(營收[[#This Row],[每年]]/營收[[#Totals],[每年]],"-")</f>
        <v>0.18464203233256352</v>
      </c>
    </row>
    <row r="8" spans="1:39" ht="30" customHeight="1" x14ac:dyDescent="0.25">
      <c r="B8" s="57" t="s">
        <v>6</v>
      </c>
      <c r="C8" s="58"/>
      <c r="D8" s="59">
        <v>630</v>
      </c>
      <c r="E8" s="59">
        <v>3390</v>
      </c>
      <c r="F8" s="59">
        <v>2490</v>
      </c>
      <c r="G8" s="59">
        <v>510</v>
      </c>
      <c r="H8" s="59">
        <v>3900</v>
      </c>
      <c r="I8" s="59">
        <v>780</v>
      </c>
      <c r="J8" s="59">
        <v>5010</v>
      </c>
      <c r="K8" s="59">
        <v>3060</v>
      </c>
      <c r="L8" s="59">
        <v>2460</v>
      </c>
      <c r="M8" s="59">
        <v>990</v>
      </c>
      <c r="N8" s="59">
        <v>2640</v>
      </c>
      <c r="O8" s="59">
        <v>5790</v>
      </c>
      <c r="P8" s="60">
        <f>SUM(營收[[#This Row],[1 月]:[12 月]])</f>
        <v>31650</v>
      </c>
      <c r="Q8" s="61">
        <v>0.11</v>
      </c>
      <c r="R8" s="62">
        <f>IFERROR(營收[[#This Row],[1 月]]/營收[[#Totals],[1 月]],"-")</f>
        <v>3.3653846153846152E-2</v>
      </c>
      <c r="S8" s="62">
        <f>IFERROR(營收[[#This Row],[2 月]]/營收[[#Totals],[2 月]],"-")</f>
        <v>0.15353260869565216</v>
      </c>
      <c r="T8" s="62">
        <f>IFERROR(營收[[#This Row],[3 月]]/營收[[#Totals],[3 月]],"-")</f>
        <v>0.10121951219512196</v>
      </c>
      <c r="U8" s="62">
        <f>IFERROR(營收[[#This Row],[4 月]]/營收[[#Totals],[4 月]],"-")</f>
        <v>2.7823240589198037E-2</v>
      </c>
      <c r="V8" s="62">
        <f>IFERROR(營收[[#This Row],[5 月]]/營收[[#Totals],[5 月]],"-")</f>
        <v>0.16009852216748768</v>
      </c>
      <c r="W8" s="62">
        <f>IFERROR(營收[[#This Row],[6 月]]/營收[[#Totals],[6 月]],"-")</f>
        <v>4.4982698961937718E-2</v>
      </c>
      <c r="X8" s="62">
        <f>IFERROR(營收[[#This Row],[7 月]]/營收[[#Totals],[7 月]],"-")</f>
        <v>0.2797319932998325</v>
      </c>
      <c r="Y8" s="62">
        <f>IFERROR(營收[[#This Row],[8 月]]/營收[[#Totals],[8 月]],"-")</f>
        <v>0.15111111111111111</v>
      </c>
      <c r="Z8" s="62">
        <f>IFERROR(營收[[#This Row],[9 月]]/營收[[#Totals],[9 月]],"-")</f>
        <v>0.11021505376344086</v>
      </c>
      <c r="AA8" s="62">
        <f>IFERROR(營收[[#This Row],[10 月]]/營收[[#Totals],[10 月]],"-")</f>
        <v>4.8458149779735685E-2</v>
      </c>
      <c r="AB8" s="62">
        <f>IFERROR(營收[[#This Row],[11 月]]/營收[[#Totals],[11 月]],"-")</f>
        <v>0.11907983761840325</v>
      </c>
      <c r="AC8" s="62">
        <f>IFERROR(營收[[#This Row],[12 月]]/營收[[#Totals],[12 月]],"-")</f>
        <v>0.18504314477468839</v>
      </c>
      <c r="AD8" s="62">
        <f>IFERROR(營收[[#This Row],[每年]]/營收[[#Totals],[每年]],"-")</f>
        <v>0.12182448036951501</v>
      </c>
    </row>
    <row r="9" spans="1:39" ht="30" customHeight="1" x14ac:dyDescent="0.25">
      <c r="B9" s="57" t="s">
        <v>7</v>
      </c>
      <c r="C9" s="58"/>
      <c r="D9" s="59">
        <v>2100</v>
      </c>
      <c r="E9" s="59">
        <v>4800</v>
      </c>
      <c r="F9" s="59">
        <v>3750</v>
      </c>
      <c r="G9" s="59">
        <v>2520</v>
      </c>
      <c r="H9" s="59">
        <v>5730</v>
      </c>
      <c r="I9" s="59">
        <v>2910</v>
      </c>
      <c r="J9" s="59">
        <v>1560</v>
      </c>
      <c r="K9" s="59">
        <v>1350</v>
      </c>
      <c r="L9" s="59">
        <v>5190</v>
      </c>
      <c r="M9" s="59">
        <v>4080</v>
      </c>
      <c r="N9" s="59">
        <v>4320</v>
      </c>
      <c r="O9" s="59">
        <v>5010</v>
      </c>
      <c r="P9" s="60">
        <f>SUM(營收[[#This Row],[1 月]:[12 月]])</f>
        <v>43320</v>
      </c>
      <c r="Q9" s="61">
        <v>0.2</v>
      </c>
      <c r="R9" s="62">
        <f>IFERROR(營收[[#This Row],[1 月]]/營收[[#Totals],[1 月]],"-")</f>
        <v>0.11217948717948718</v>
      </c>
      <c r="S9" s="62">
        <f>IFERROR(營收[[#This Row],[2 月]]/營收[[#Totals],[2 月]],"-")</f>
        <v>0.21739130434782608</v>
      </c>
      <c r="T9" s="62">
        <f>IFERROR(營收[[#This Row],[3 月]]/營收[[#Totals],[3 月]],"-")</f>
        <v>0.1524390243902439</v>
      </c>
      <c r="U9" s="62">
        <f>IFERROR(營收[[#This Row],[4 月]]/營收[[#Totals],[4 月]],"-")</f>
        <v>0.13747954173486088</v>
      </c>
      <c r="V9" s="62">
        <f>IFERROR(營收[[#This Row],[5 月]]/營收[[#Totals],[5 月]],"-")</f>
        <v>0.23522167487684728</v>
      </c>
      <c r="W9" s="62">
        <f>IFERROR(營收[[#This Row],[6 月]]/營收[[#Totals],[6 月]],"-")</f>
        <v>0.16782006920415224</v>
      </c>
      <c r="X9" s="62">
        <f>IFERROR(營收[[#This Row],[7 月]]/營收[[#Totals],[7 月]],"-")</f>
        <v>8.7102177554438859E-2</v>
      </c>
      <c r="Y9" s="62">
        <f>IFERROR(營收[[#This Row],[8 月]]/營收[[#Totals],[8 月]],"-")</f>
        <v>6.6666666666666666E-2</v>
      </c>
      <c r="Z9" s="62">
        <f>IFERROR(營收[[#This Row],[9 月]]/營收[[#Totals],[9 月]],"-")</f>
        <v>0.2325268817204301</v>
      </c>
      <c r="AA9" s="62">
        <f>IFERROR(營收[[#This Row],[10 月]]/營收[[#Totals],[10 月]],"-")</f>
        <v>0.19970631424375918</v>
      </c>
      <c r="AB9" s="62">
        <f>IFERROR(營收[[#This Row],[11 月]]/營收[[#Totals],[11 月]],"-")</f>
        <v>0.19485791610284167</v>
      </c>
      <c r="AC9" s="62">
        <f>IFERROR(營收[[#This Row],[12 月]]/營收[[#Totals],[12 月]],"-")</f>
        <v>0.1601150527325024</v>
      </c>
      <c r="AD9" s="62">
        <f>IFERROR(營收[[#This Row],[每年]]/營收[[#Totals],[每年]],"-")</f>
        <v>0.16674364896073904</v>
      </c>
    </row>
    <row r="10" spans="1:39" ht="30" customHeight="1" x14ac:dyDescent="0.25">
      <c r="B10" s="57" t="s">
        <v>8</v>
      </c>
      <c r="C10" s="58"/>
      <c r="D10" s="59">
        <v>1830</v>
      </c>
      <c r="E10" s="59">
        <v>2970</v>
      </c>
      <c r="F10" s="59">
        <v>2100</v>
      </c>
      <c r="G10" s="59">
        <v>4860</v>
      </c>
      <c r="H10" s="59">
        <v>840</v>
      </c>
      <c r="I10" s="59">
        <v>4890</v>
      </c>
      <c r="J10" s="59">
        <v>3030</v>
      </c>
      <c r="K10" s="59">
        <v>3090</v>
      </c>
      <c r="L10" s="59">
        <v>2340</v>
      </c>
      <c r="M10" s="59">
        <v>990</v>
      </c>
      <c r="N10" s="59">
        <v>4860</v>
      </c>
      <c r="O10" s="59">
        <v>4770</v>
      </c>
      <c r="P10" s="60">
        <f>SUM(營收[[#This Row],[1 月]:[12 月]])</f>
        <v>36570</v>
      </c>
      <c r="Q10" s="61">
        <v>0.1</v>
      </c>
      <c r="R10" s="62">
        <f>IFERROR(營收[[#This Row],[1 月]]/營收[[#Totals],[1 月]],"-")</f>
        <v>9.7756410256410256E-2</v>
      </c>
      <c r="S10" s="62">
        <f>IFERROR(營收[[#This Row],[2 月]]/營收[[#Totals],[2 月]],"-")</f>
        <v>0.13451086956521738</v>
      </c>
      <c r="T10" s="62">
        <f>IFERROR(營收[[#This Row],[3 月]]/營收[[#Totals],[3 月]],"-")</f>
        <v>8.5365853658536592E-2</v>
      </c>
      <c r="U10" s="62">
        <f>IFERROR(營收[[#This Row],[4 月]]/營收[[#Totals],[4 月]],"-")</f>
        <v>0.265139116202946</v>
      </c>
      <c r="V10" s="62">
        <f>IFERROR(營收[[#This Row],[5 月]]/營收[[#Totals],[5 月]],"-")</f>
        <v>3.4482758620689655E-2</v>
      </c>
      <c r="W10" s="62">
        <f>IFERROR(營收[[#This Row],[6 月]]/營收[[#Totals],[6 月]],"-")</f>
        <v>0.2820069204152249</v>
      </c>
      <c r="X10" s="62">
        <f>IFERROR(營收[[#This Row],[7 月]]/營收[[#Totals],[7 月]],"-")</f>
        <v>0.16917922948073702</v>
      </c>
      <c r="Y10" s="62">
        <f>IFERROR(營收[[#This Row],[8 月]]/營收[[#Totals],[8 月]],"-")</f>
        <v>0.15259259259259259</v>
      </c>
      <c r="Z10" s="62">
        <f>IFERROR(營收[[#This Row],[9 月]]/營收[[#Totals],[9 月]],"-")</f>
        <v>0.10483870967741936</v>
      </c>
      <c r="AA10" s="62">
        <f>IFERROR(營收[[#This Row],[10 月]]/營收[[#Totals],[10 月]],"-")</f>
        <v>4.8458149779735685E-2</v>
      </c>
      <c r="AB10" s="62">
        <f>IFERROR(營收[[#This Row],[11 月]]/營收[[#Totals],[11 月]],"-")</f>
        <v>0.21921515561569688</v>
      </c>
      <c r="AC10" s="62">
        <f>IFERROR(營收[[#This Row],[12 月]]/營收[[#Totals],[12 月]],"-")</f>
        <v>0.15244487056567593</v>
      </c>
      <c r="AD10" s="62">
        <f>IFERROR(營收[[#This Row],[每年]]/營收[[#Totals],[每年]],"-")</f>
        <v>0.14076212471131641</v>
      </c>
      <c r="AM10" s="63"/>
    </row>
    <row r="11" spans="1:39" ht="30" customHeight="1" x14ac:dyDescent="0.25">
      <c r="B11" s="57" t="s">
        <v>9</v>
      </c>
      <c r="C11" s="58"/>
      <c r="D11" s="59">
        <v>3150</v>
      </c>
      <c r="E11" s="59">
        <v>1650</v>
      </c>
      <c r="F11" s="59">
        <v>4890</v>
      </c>
      <c r="G11" s="59">
        <v>360</v>
      </c>
      <c r="H11" s="59">
        <v>3510</v>
      </c>
      <c r="I11" s="59">
        <v>2490</v>
      </c>
      <c r="J11" s="59">
        <v>4890</v>
      </c>
      <c r="K11" s="59">
        <v>3600</v>
      </c>
      <c r="L11" s="59">
        <v>5130</v>
      </c>
      <c r="M11" s="59">
        <v>2370</v>
      </c>
      <c r="N11" s="59">
        <v>3150</v>
      </c>
      <c r="O11" s="59">
        <v>2070</v>
      </c>
      <c r="P11" s="60">
        <f>SUM(營收[[#This Row],[1 月]:[12 月]])</f>
        <v>37260</v>
      </c>
      <c r="Q11" s="61">
        <v>0.1</v>
      </c>
      <c r="R11" s="62">
        <f>IFERROR(營收[[#This Row],[1 月]]/營收[[#Totals],[1 月]],"-")</f>
        <v>0.16826923076923078</v>
      </c>
      <c r="S11" s="62">
        <f>IFERROR(營收[[#This Row],[2 月]]/營收[[#Totals],[2 月]],"-")</f>
        <v>7.4728260869565216E-2</v>
      </c>
      <c r="T11" s="62">
        <f>IFERROR(營收[[#This Row],[3 月]]/營收[[#Totals],[3 月]],"-")</f>
        <v>0.19878048780487806</v>
      </c>
      <c r="U11" s="62">
        <f>IFERROR(營收[[#This Row],[4 月]]/營收[[#Totals],[4 月]],"-")</f>
        <v>1.9639934533551555E-2</v>
      </c>
      <c r="V11" s="62">
        <f>IFERROR(營收[[#This Row],[5 月]]/營收[[#Totals],[5 月]],"-")</f>
        <v>0.14408866995073891</v>
      </c>
      <c r="W11" s="62">
        <f>IFERROR(營收[[#This Row],[6 月]]/營收[[#Totals],[6 月]],"-")</f>
        <v>0.14359861591695502</v>
      </c>
      <c r="X11" s="62">
        <f>IFERROR(營收[[#This Row],[7 月]]/營收[[#Totals],[7 月]],"-")</f>
        <v>0.27303182579564489</v>
      </c>
      <c r="Y11" s="62">
        <f>IFERROR(營收[[#This Row],[8 月]]/營收[[#Totals],[8 月]],"-")</f>
        <v>0.17777777777777778</v>
      </c>
      <c r="Z11" s="62">
        <f>IFERROR(營收[[#This Row],[9 月]]/營收[[#Totals],[9 月]],"-")</f>
        <v>0.22983870967741934</v>
      </c>
      <c r="AA11" s="62">
        <f>IFERROR(營收[[#This Row],[10 月]]/營收[[#Totals],[10 月]],"-")</f>
        <v>0.11600587371512482</v>
      </c>
      <c r="AB11" s="62">
        <f>IFERROR(營收[[#This Row],[11 月]]/營收[[#Totals],[11 月]],"-")</f>
        <v>0.14208389715832206</v>
      </c>
      <c r="AC11" s="62">
        <f>IFERROR(營收[[#This Row],[12 月]]/營收[[#Totals],[12 月]],"-")</f>
        <v>6.6155321188878236E-2</v>
      </c>
      <c r="AD11" s="62">
        <f>IFERROR(營收[[#This Row],[每年]]/營收[[#Totals],[每年]],"-")</f>
        <v>0.14341801385681294</v>
      </c>
    </row>
    <row r="12" spans="1:39" ht="30" customHeight="1" x14ac:dyDescent="0.25">
      <c r="B12" s="29" t="s">
        <v>70</v>
      </c>
      <c r="C12" s="22"/>
      <c r="D12" s="30">
        <f>SUBTOTAL(109,營收[1 月])</f>
        <v>18720</v>
      </c>
      <c r="E12" s="30">
        <f>SUBTOTAL(109,營收[2 月])</f>
        <v>22080</v>
      </c>
      <c r="F12" s="30">
        <f>SUBTOTAL(109,營收[3 月])</f>
        <v>24600</v>
      </c>
      <c r="G12" s="30">
        <f>SUBTOTAL(109,營收[4 月])</f>
        <v>18330</v>
      </c>
      <c r="H12" s="30">
        <f>SUBTOTAL(109,營收[5 月])</f>
        <v>24360</v>
      </c>
      <c r="I12" s="30">
        <f>SUBTOTAL(109,營收[6 月])</f>
        <v>17340</v>
      </c>
      <c r="J12" s="30">
        <f>SUBTOTAL(109,營收[7 月])</f>
        <v>17910</v>
      </c>
      <c r="K12" s="30">
        <f>SUBTOTAL(109,營收[8 月])</f>
        <v>20250</v>
      </c>
      <c r="L12" s="30">
        <f>SUBTOTAL(109,營收[9 月])</f>
        <v>22320</v>
      </c>
      <c r="M12" s="30">
        <f>SUBTOTAL(109,營收[10 月])</f>
        <v>20430</v>
      </c>
      <c r="N12" s="30">
        <f>SUBTOTAL(109,營收[11 月])</f>
        <v>22170</v>
      </c>
      <c r="O12" s="30">
        <f>SUBTOTAL(109,營收[12 月])</f>
        <v>31290</v>
      </c>
      <c r="P12" s="30">
        <f>SUBTOTAL(109,營收[每年])</f>
        <v>259800</v>
      </c>
      <c r="Q12" s="23">
        <f>SUBTOTAL(109,營收[指數 %])</f>
        <v>1</v>
      </c>
      <c r="R12" s="23">
        <f>SUBTOTAL(109,營收[1 月 %])</f>
        <v>1</v>
      </c>
      <c r="S12" s="23">
        <f>SUBTOTAL(109,營收[2 月 %])</f>
        <v>1</v>
      </c>
      <c r="T12" s="23">
        <f>SUBTOTAL(109,營收[3 月 %])</f>
        <v>1</v>
      </c>
      <c r="U12" s="23">
        <f>SUBTOTAL(109,營收[4 月 %])</f>
        <v>0.99999999999999989</v>
      </c>
      <c r="V12" s="23">
        <f>SUBTOTAL(109,營收[5 月 %])</f>
        <v>0.99999999999999989</v>
      </c>
      <c r="W12" s="23">
        <f>SUBTOTAL(109,營收[6 月 %])</f>
        <v>1</v>
      </c>
      <c r="X12" s="23">
        <f>SUBTOTAL(109,營收[7 月 %])</f>
        <v>1</v>
      </c>
      <c r="Y12" s="23">
        <f>SUBTOTAL(109,營收[8 月 %])</f>
        <v>1</v>
      </c>
      <c r="Z12" s="23">
        <f>SUBTOTAL(109,營收[9 月 %])</f>
        <v>1</v>
      </c>
      <c r="AA12" s="23">
        <f>SUBTOTAL(109,營收[10 月 %])</f>
        <v>1</v>
      </c>
      <c r="AB12" s="23">
        <f>SUBTOTAL(109,營收[11 月 %])</f>
        <v>1</v>
      </c>
      <c r="AC12" s="23">
        <f>SUBTOTAL(109,營收[12 月 %])</f>
        <v>0.99999999999999989</v>
      </c>
      <c r="AD12" s="23">
        <f>SUBTOTAL(109,營收[年百分比])</f>
        <v>1</v>
      </c>
    </row>
    <row r="25" spans="36:36" ht="30" customHeight="1" x14ac:dyDescent="0.25">
      <c r="AJ25" s="43">
        <f>IF(FYMonthStart="1月",1,IF(FYMonthStart="2月",2,IF(FYMonthStart="3月",3,IF(FYMonthStart="4月",4,IF(FYMonthStart="5月",5,IF(FYMonthStart="6月",6,IF(FYMonthStart="7月",7,IF(FYMonthStart="8月",8,IF(FYMonthStart="9月",9,IF(FYMonthStart="10月",10,IF(FYMonthStart="11月",11,12)))))))))))</f>
        <v>12</v>
      </c>
    </row>
  </sheetData>
  <phoneticPr fontId="3" type="noConversion"/>
  <dataValidations count="18">
    <dataValidation type="list" errorStyle="warning" allowBlank="1" showInputMessage="1" showErrorMessage="1" error="從下拉式清單中選取月份。選取 [取消]，然後按 ALT+向下鍵。按 ENTER 來選取月份" prompt="在此儲存格中選取月份。按 ALT+向下鍵以開啟下拉式清單，然後按 ENTER 來選取月份" sqref="AC2">
      <formula1>"1 月,2 月,3 月,4 月,5 月,6 月,7 月,8 月,9 月,10 月,11 月,12 月"</formula1>
    </dataValidation>
    <dataValidation errorStyle="information" allowBlank="1" showInputMessage="1" errorTitle="未知的年份" error="從下拉式清單中選取年份。若要從清單中新增或移除年份，請在 [資料] 索引標籤的 [資料工具] 群組中按一下 [資料驗證]。" prompt="在此儲存格中輸入年份" sqref="AD2"/>
    <dataValidation allowBlank="1" showInputMessage="1" showErrorMessage="1" prompt="在儲存格 AC2 中選取會計年度的開始月份，並在此標籤右側的儲存格 AD2 中輸入年份" sqref="AB2"/>
    <dataValidation allowBlank="1" showInputMessage="1" showErrorMessage="1" prompt="此欄會自動計算年度營收" sqref="P3"/>
    <dataValidation allowBlank="1" showInputMessage="1" showErrorMessage="1" prompt="輸入預測期間的標題以計算銷售總額" sqref="B1"/>
    <dataValidation allowBlank="1" showInputMessage="1" showErrorMessage="1" prompt="此儲存格為預測標題。在下方的 [營收] 表格中輸入值以計算銷售總額" sqref="B2"/>
    <dataValidation allowBlank="1" showInputMessage="1" showErrorMessage="1" prompt="在此儲存格中輸入公司名稱" sqref="AD1"/>
    <dataValidation allowBlank="1" showInputMessage="1" showErrorMessage="1" prompt="此列中的日期會根據會計年度的開始月份自動更新。若要變更開始月份，請修改儲存格 AC2" sqref="D3"/>
    <dataValidation allowBlank="1" showInputMessage="1" showErrorMessage="1" prompt="在此欄中輸入索引百分比" sqref="Q4"/>
    <dataValidation allowBlank="1" showInputMessage="1" showErrorMessage="1" prompt="此工作表會計算來自不同來源的每月和每年銷售總額，以及年度銷售總額。在儲存格 AC2 中選取會計年度的開始月份，並在儲存格 AD2 中選取年份" sqref="A2 A4:A12"/>
    <dataValidation allowBlank="1" showInputMessage="1" showErrorMessage="1" prompt="此工作表會計算來自不同來源的每月和每年銷售總額，以及年度銷售總額。在儲存格 AC2 中輸入會計年度的開始月份，並在儲存格 AD2 中輸入年份" sqref="A1"/>
    <dataValidation allowBlank="1" showInputMessage="1" showErrorMessage="1" prompt="月份會自動更新" sqref="E3:O3"/>
    <dataValidation allowBlank="1" showInputMessage="1" showErrorMessage="1" prompt="系統會自動計算來自不同來源的銷售比例，以在此欄中加總此儲存格之月份的銷售額" sqref="R3:AC3"/>
    <dataValidation allowBlank="1" showInputMessage="1" showErrorMessage="1" prompt="系統會自動計算來自不同來源的銷售比例，以在此欄中加總年度的銷售額" sqref="AD3"/>
    <dataValidation allowBlank="1" showInputMessage="1" showErrorMessage="1" prompt="在此欄中輸入銷售所產生的營收" sqref="B4"/>
    <dataValidation allowBlank="1" showInputMessage="1" showErrorMessage="1" prompt="此欄為一段時間的營收趨勢圖" sqref="C4"/>
    <dataValidation allowBlank="1" showInputMessage="1" showErrorMessage="1" prompt="在此欄中輸入欄 B 中所列的營收來源" sqref="D4:O4"/>
    <dataValidation allowBlank="1" showInputMessage="1" showErrorMessage="1" prompt="此欄為指數百分比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'營收 (銷售額)'!$D$5:$O$5</xm:f>
              <xm:sqref>C5</xm:sqref>
            </x14:sparkline>
            <x14:sparkline>
              <xm:f>'營收 (銷售額)'!$D$6:$O$6</xm:f>
              <xm:sqref>C6</xm:sqref>
            </x14:sparkline>
            <x14:sparkline>
              <xm:f>'營收 (銷售額)'!$D$7:$O$7</xm:f>
              <xm:sqref>C7</xm:sqref>
            </x14:sparkline>
            <x14:sparkline>
              <xm:f>'營收 (銷售額)'!$D$8:$O$8</xm:f>
              <xm:sqref>C8</xm:sqref>
            </x14:sparkline>
            <x14:sparkline>
              <xm:f>'營收 (銷售額)'!$D$9:$O$9</xm:f>
              <xm:sqref>C9</xm:sqref>
            </x14:sparkline>
            <x14:sparkline>
              <xm:f>'營收 (銷售額)'!$D$10:$O$10</xm:f>
              <xm:sqref>C10</xm:sqref>
            </x14:sparkline>
            <x14:sparkline>
              <xm:f>'營收 (銷售額)'!$D$11:$O$11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'營收 (銷售額)'!D12:O12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25"/>
  <cols>
    <col min="1" max="1" width="2.77734375" customWidth="1"/>
    <col min="2" max="2" width="15.21875" customWidth="1"/>
    <col min="3" max="3" width="12.77734375" customWidth="1"/>
    <col min="4" max="15" width="15.88671875" customWidth="1"/>
    <col min="16" max="16" width="14.21875" customWidth="1"/>
    <col min="17" max="17" width="13.88671875" customWidth="1"/>
    <col min="18" max="30" width="10.77734375" customWidth="1"/>
    <col min="31" max="31" width="2.77734375" customWidth="1"/>
  </cols>
  <sheetData>
    <row r="1" spans="1:30" ht="35.1" customHeight="1" x14ac:dyDescent="0.25">
      <c r="A1" s="4"/>
      <c r="B1" s="17" t="str">
        <f>預測_期間_標題</f>
        <v>十二個月</v>
      </c>
      <c r="C1" s="7"/>
      <c r="J1" s="5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 t="str">
        <f>公司_名稱</f>
        <v>公司名稱</v>
      </c>
    </row>
    <row r="2" spans="1:30" ht="60" customHeight="1" x14ac:dyDescent="0.25">
      <c r="B2" s="36" t="str">
        <f>工作表_標題</f>
        <v>損益預測</v>
      </c>
      <c r="C2" s="37"/>
      <c r="D2" s="37"/>
      <c r="E2" s="32"/>
      <c r="F2" s="37"/>
      <c r="G2" s="32"/>
      <c r="H2" s="37"/>
      <c r="I2" s="37"/>
      <c r="J2" s="37"/>
      <c r="K2" s="32"/>
      <c r="L2" s="32"/>
      <c r="M2" s="32"/>
      <c r="N2" s="32"/>
      <c r="O2" s="32"/>
      <c r="P2" s="37"/>
      <c r="Q2" s="37"/>
      <c r="R2" s="37"/>
      <c r="S2" s="37"/>
      <c r="T2" s="37"/>
      <c r="U2" s="37"/>
      <c r="V2" s="37"/>
      <c r="W2" s="37"/>
      <c r="X2" s="35"/>
      <c r="Y2" s="35"/>
      <c r="Z2" s="35"/>
      <c r="AA2" s="35"/>
      <c r="AB2" s="15" t="s">
        <v>47</v>
      </c>
      <c r="AC2" s="15" t="str">
        <f>FYMonthStart</f>
        <v>1 月</v>
      </c>
      <c r="AD2" s="15">
        <f ca="1">FYStartYear</f>
        <v>2017</v>
      </c>
    </row>
    <row r="3" spans="1:30" ht="20.100000000000001" customHeight="1" x14ac:dyDescent="0.25">
      <c r="D3" s="16" t="str">
        <f ca="1">UPPER(TEXT(DATE(FYStartYear,FYMonthNo,1),"yyyy 年 m 月"))</f>
        <v>2017 年 1 月</v>
      </c>
      <c r="E3" s="16" t="str">
        <f ca="1">UPPER(TEXT(DATE(FYStartYear,FYMonthNo+1,1),"yyyy 年 m 月"))</f>
        <v>2017 年 2 月</v>
      </c>
      <c r="F3" s="16" t="str">
        <f ca="1">UPPER(TEXT(DATE(FYStartYear,FYMonthNo+2,1),"yyyy 年 m 月"))</f>
        <v>2017 年 3 月</v>
      </c>
      <c r="G3" s="16" t="str">
        <f ca="1">UPPER(TEXT(DATE(FYStartYear,FYMonthNo+3,1),"yyyy 年 m 月"))</f>
        <v>2017 年 4 月</v>
      </c>
      <c r="H3" s="16" t="str">
        <f ca="1">UPPER(TEXT(DATE(FYStartYear,FYMonthNo+4,1),"yyyy 年 m 月"))</f>
        <v>2017 年 5 月</v>
      </c>
      <c r="I3" s="16" t="str">
        <f ca="1">UPPER(TEXT(DATE(FYStartYear,FYMonthNo+5,1),"yyyy 年 m 月"))</f>
        <v>2017 年 6 月</v>
      </c>
      <c r="J3" s="16" t="str">
        <f ca="1">UPPER(TEXT(DATE(FYStartYear,FYMonthNo+6,1),"yyyy 年 m 月"))</f>
        <v>2017 年 7 月</v>
      </c>
      <c r="K3" s="16" t="str">
        <f ca="1">UPPER(TEXT(DATE(FYStartYear,FYMonthNo+7,1),"yyyy 年 m 月"))</f>
        <v>2017 年 8 月</v>
      </c>
      <c r="L3" s="16" t="str">
        <f ca="1">UPPER(TEXT(DATE(FYStartYear,FYMonthNo+8,1),"yyyy 年 m 月"))</f>
        <v>2017 年 9 月</v>
      </c>
      <c r="M3" s="16" t="str">
        <f ca="1">UPPER(TEXT(DATE(FYStartYear,FYMonthNo+9,1),"yyyy 年 m 月"))</f>
        <v>2017 年 10 月</v>
      </c>
      <c r="N3" s="16" t="str">
        <f ca="1">UPPER(TEXT(DATE(FYStartYear,FYMonthNo+10,1),"yyyy 年 m 月"))</f>
        <v>2017 年 11 月</v>
      </c>
      <c r="O3" s="16" t="str">
        <f ca="1">UPPER(TEXT(DATE(FYStartYear,FYMonthNo+11,1),"yyyy 年 m 月"))</f>
        <v>2017 年 12 月</v>
      </c>
      <c r="P3" s="16" t="s">
        <v>23</v>
      </c>
      <c r="Q3" s="16" t="s">
        <v>86</v>
      </c>
      <c r="R3" s="16" t="str">
        <f ca="1">RIGHT(D3,3)&amp;" %"</f>
        <v>1 月 %</v>
      </c>
      <c r="S3" s="16" t="str">
        <f ca="1">RIGHT(E3,3)&amp;" %"</f>
        <v>2 月 %</v>
      </c>
      <c r="T3" s="16" t="str">
        <f t="shared" ref="T3:Z3" ca="1" si="0">RIGHT(F3,3)&amp;" %"</f>
        <v>3 月 %</v>
      </c>
      <c r="U3" s="16" t="str">
        <f t="shared" ca="1" si="0"/>
        <v>4 月 %</v>
      </c>
      <c r="V3" s="16" t="str">
        <f t="shared" ca="1" si="0"/>
        <v>5 月 %</v>
      </c>
      <c r="W3" s="16" t="str">
        <f t="shared" ca="1" si="0"/>
        <v>6 月 %</v>
      </c>
      <c r="X3" s="16" t="str">
        <f t="shared" ca="1" si="0"/>
        <v>7 月 %</v>
      </c>
      <c r="Y3" s="16" t="str">
        <f t="shared" ca="1" si="0"/>
        <v>8 月 %</v>
      </c>
      <c r="Z3" s="16" t="str">
        <f t="shared" ca="1" si="0"/>
        <v>9 月 %</v>
      </c>
      <c r="AA3" s="16" t="str">
        <f ca="1">RIGHT(M3,4)&amp;" %"</f>
        <v>10 月 %</v>
      </c>
      <c r="AB3" s="16" t="str">
        <f t="shared" ref="AB3:AC3" ca="1" si="1">RIGHT(N3,4)&amp;" %"</f>
        <v>11 月 %</v>
      </c>
      <c r="AC3" s="16" t="str">
        <f t="shared" ca="1" si="1"/>
        <v>12 月 %</v>
      </c>
      <c r="AD3" s="16" t="s">
        <v>87</v>
      </c>
    </row>
    <row r="4" spans="1:30" ht="30" customHeight="1" x14ac:dyDescent="0.25">
      <c r="B4" s="24" t="s">
        <v>38</v>
      </c>
      <c r="C4" s="24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19" t="s">
        <v>86</v>
      </c>
      <c r="R4" s="19" t="s">
        <v>84</v>
      </c>
      <c r="S4" s="19" t="s">
        <v>73</v>
      </c>
      <c r="T4" s="19" t="s">
        <v>74</v>
      </c>
      <c r="U4" s="19" t="s">
        <v>75</v>
      </c>
      <c r="V4" s="19" t="s">
        <v>76</v>
      </c>
      <c r="W4" s="19" t="s">
        <v>77</v>
      </c>
      <c r="X4" s="19" t="s">
        <v>78</v>
      </c>
      <c r="Y4" s="19" t="s">
        <v>79</v>
      </c>
      <c r="Z4" s="19" t="s">
        <v>80</v>
      </c>
      <c r="AA4" s="19" t="s">
        <v>81</v>
      </c>
      <c r="AB4" s="19" t="s">
        <v>82</v>
      </c>
      <c r="AC4" s="19" t="s">
        <v>83</v>
      </c>
      <c r="AD4" s="18" t="s">
        <v>37</v>
      </c>
    </row>
    <row r="5" spans="1:30" ht="30" customHeight="1" x14ac:dyDescent="0.25">
      <c r="B5" s="20" t="s">
        <v>39</v>
      </c>
      <c r="C5" s="25"/>
      <c r="D5" s="13">
        <v>1830</v>
      </c>
      <c r="E5" s="13">
        <v>2340</v>
      </c>
      <c r="F5" s="13">
        <v>1950</v>
      </c>
      <c r="G5" s="13">
        <v>870</v>
      </c>
      <c r="H5" s="13">
        <v>3750</v>
      </c>
      <c r="I5" s="13">
        <v>1470</v>
      </c>
      <c r="J5" s="13">
        <v>420</v>
      </c>
      <c r="K5" s="13">
        <v>780</v>
      </c>
      <c r="L5" s="13">
        <v>420</v>
      </c>
      <c r="M5" s="13">
        <v>3870</v>
      </c>
      <c r="N5" s="13">
        <v>1800</v>
      </c>
      <c r="O5" s="13">
        <v>1950</v>
      </c>
      <c r="P5" s="39">
        <f>SUM(銷售成本[[#This Row],[1 月]:[12 月]])</f>
        <v>21450</v>
      </c>
      <c r="Q5" s="21">
        <v>0.12</v>
      </c>
      <c r="R5" s="40">
        <f>IFERROR(銷售成本[[#This Row],[1 月]]/銷售成本[[#Totals],[1 月]],"-")</f>
        <v>0.23018867924528302</v>
      </c>
      <c r="S5" s="40">
        <f>IFERROR(銷售成本[[#This Row],[2 月]]/銷售成本[[#Totals],[2 月]],"-")</f>
        <v>0.21910112359550563</v>
      </c>
      <c r="T5" s="40">
        <f>IFERROR(銷售成本[[#This Row],[3 月]]/銷售成本[[#Totals],[3 月]],"-")</f>
        <v>0.20634920634920634</v>
      </c>
      <c r="U5" s="40">
        <f>IFERROR(銷售成本[[#This Row],[4 月]]/銷售成本[[#Totals],[4 月]],"-")</f>
        <v>0.12033195020746888</v>
      </c>
      <c r="V5" s="40">
        <f>IFERROR(銷售成本[[#This Row],[5 月]]/銷售成本[[#Totals],[5 月]],"-")</f>
        <v>0.31328320802005011</v>
      </c>
      <c r="W5" s="40">
        <f>IFERROR(銷售成本[[#This Row],[6 月]]/銷售成本[[#Totals],[6 月]],"-")</f>
        <v>0.15705128205128205</v>
      </c>
      <c r="X5" s="40">
        <f>IFERROR(銷售成本[[#This Row],[7 月]]/銷售成本[[#Totals],[7 月]],"-")</f>
        <v>4.6822742474916385E-2</v>
      </c>
      <c r="Y5" s="40">
        <f>IFERROR(銷售成本[[#This Row],[8 月]]/銷售成本[[#Totals],[8 月]],"-")</f>
        <v>0.11504424778761062</v>
      </c>
      <c r="Z5" s="40">
        <f>IFERROR(銷售成本[[#This Row],[9 月]]/銷售成本[[#Totals],[9 月]],"-")</f>
        <v>3.3816425120772944E-2</v>
      </c>
      <c r="AA5" s="40">
        <f>IFERROR(銷售成本[[#This Row],[10 月]]/銷售成本[[#Totals],[10 月]],"-")</f>
        <v>0.47080291970802918</v>
      </c>
      <c r="AB5" s="40">
        <f>IFERROR(銷售成本[[#This Row],[11 月]]/銷售成本[[#Totals],[11 月]],"-")</f>
        <v>0.22727272727272727</v>
      </c>
      <c r="AC5" s="40">
        <f>IFERROR(銷售成本[[#This Row],[12 月]]/銷售成本[[#Totals],[12 月]],"-")</f>
        <v>0.14348785871964681</v>
      </c>
      <c r="AD5" s="40">
        <f>IFERROR(銷售成本[[#This Row],[每年]]/銷售成本[[#Totals],[每年]],"-")</f>
        <v>0.18727082242011525</v>
      </c>
    </row>
    <row r="6" spans="1:30" ht="30" customHeight="1" x14ac:dyDescent="0.25">
      <c r="B6" s="20" t="s">
        <v>40</v>
      </c>
      <c r="C6" s="25"/>
      <c r="D6" s="13">
        <v>210</v>
      </c>
      <c r="E6" s="13">
        <v>150</v>
      </c>
      <c r="F6" s="13">
        <v>2070</v>
      </c>
      <c r="G6" s="13">
        <v>960</v>
      </c>
      <c r="H6" s="13">
        <v>330</v>
      </c>
      <c r="I6" s="13">
        <v>900</v>
      </c>
      <c r="J6" s="13">
        <v>810</v>
      </c>
      <c r="K6" s="13">
        <v>960</v>
      </c>
      <c r="L6" s="13">
        <v>300</v>
      </c>
      <c r="M6" s="13">
        <v>1230</v>
      </c>
      <c r="N6" s="13">
        <v>390</v>
      </c>
      <c r="O6" s="13">
        <v>3150</v>
      </c>
      <c r="P6" s="39">
        <f>SUM(銷售成本[[#This Row],[1 月]:[12 月]])</f>
        <v>11460</v>
      </c>
      <c r="Q6" s="21">
        <v>0.18</v>
      </c>
      <c r="R6" s="40">
        <f>IFERROR(銷售成本[[#This Row],[1 月]]/銷售成本[[#Totals],[1 月]],"-")</f>
        <v>2.6415094339622643E-2</v>
      </c>
      <c r="S6" s="40">
        <f>IFERROR(銷售成本[[#This Row],[2 月]]/銷售成本[[#Totals],[2 月]],"-")</f>
        <v>1.4044943820224719E-2</v>
      </c>
      <c r="T6" s="40">
        <f>IFERROR(銷售成本[[#This Row],[3 月]]/銷售成本[[#Totals],[3 月]],"-")</f>
        <v>0.21904761904761905</v>
      </c>
      <c r="U6" s="40">
        <f>IFERROR(銷售成本[[#This Row],[4 月]]/銷售成本[[#Totals],[4 月]],"-")</f>
        <v>0.13278008298755187</v>
      </c>
      <c r="V6" s="40">
        <f>IFERROR(銷售成本[[#This Row],[5 月]]/銷售成本[[#Totals],[5 月]],"-")</f>
        <v>2.7568922305764409E-2</v>
      </c>
      <c r="W6" s="40">
        <f>IFERROR(銷售成本[[#This Row],[6 月]]/銷售成本[[#Totals],[6 月]],"-")</f>
        <v>9.6153846153846159E-2</v>
      </c>
      <c r="X6" s="40">
        <f>IFERROR(銷售成本[[#This Row],[7 月]]/銷售成本[[#Totals],[7 月]],"-")</f>
        <v>9.0301003344481601E-2</v>
      </c>
      <c r="Y6" s="40">
        <f>IFERROR(銷售成本[[#This Row],[8 月]]/銷售成本[[#Totals],[8 月]],"-")</f>
        <v>0.1415929203539823</v>
      </c>
      <c r="Z6" s="40">
        <f>IFERROR(銷售成本[[#This Row],[9 月]]/銷售成本[[#Totals],[9 月]],"-")</f>
        <v>2.4154589371980676E-2</v>
      </c>
      <c r="AA6" s="40">
        <f>IFERROR(銷售成本[[#This Row],[10 月]]/銷售成本[[#Totals],[10 月]],"-")</f>
        <v>0.14963503649635038</v>
      </c>
      <c r="AB6" s="40">
        <f>IFERROR(銷售成本[[#This Row],[11 月]]/銷售成本[[#Totals],[11 月]],"-")</f>
        <v>4.924242424242424E-2</v>
      </c>
      <c r="AC6" s="40">
        <f>IFERROR(銷售成本[[#This Row],[12 月]]/銷售成本[[#Totals],[12 月]],"-")</f>
        <v>0.23178807947019867</v>
      </c>
      <c r="AD6" s="40">
        <f>IFERROR(銷售成本[[#This Row],[每年]]/銷售成本[[#Totals],[每年]],"-")</f>
        <v>0.1000523834468308</v>
      </c>
    </row>
    <row r="7" spans="1:30" ht="30" customHeight="1" x14ac:dyDescent="0.25">
      <c r="B7" s="20" t="s">
        <v>41</v>
      </c>
      <c r="C7" s="25"/>
      <c r="D7" s="13">
        <v>2970</v>
      </c>
      <c r="E7" s="13">
        <v>2850</v>
      </c>
      <c r="F7" s="13">
        <v>1530</v>
      </c>
      <c r="G7" s="13">
        <v>2700</v>
      </c>
      <c r="H7" s="13">
        <v>630</v>
      </c>
      <c r="I7" s="13">
        <v>1020</v>
      </c>
      <c r="J7" s="13">
        <v>900</v>
      </c>
      <c r="K7" s="13">
        <v>720</v>
      </c>
      <c r="L7" s="13">
        <v>3270</v>
      </c>
      <c r="M7" s="13">
        <v>480</v>
      </c>
      <c r="N7" s="13">
        <v>630</v>
      </c>
      <c r="O7" s="13">
        <v>1560</v>
      </c>
      <c r="P7" s="39">
        <f>SUM(銷售成本[[#This Row],[1 月]:[12 月]])</f>
        <v>19260</v>
      </c>
      <c r="Q7" s="21">
        <v>0.19</v>
      </c>
      <c r="R7" s="40">
        <f>IFERROR(銷售成本[[#This Row],[1 月]]/銷售成本[[#Totals],[1 月]],"-")</f>
        <v>0.37358490566037733</v>
      </c>
      <c r="S7" s="40">
        <f>IFERROR(銷售成本[[#This Row],[2 月]]/銷售成本[[#Totals],[2 月]],"-")</f>
        <v>0.26685393258426965</v>
      </c>
      <c r="T7" s="40">
        <f>IFERROR(銷售成本[[#This Row],[3 月]]/銷售成本[[#Totals],[3 月]],"-")</f>
        <v>0.16190476190476191</v>
      </c>
      <c r="U7" s="40">
        <f>IFERROR(銷售成本[[#This Row],[4 月]]/銷售成本[[#Totals],[4 月]],"-")</f>
        <v>0.37344398340248963</v>
      </c>
      <c r="V7" s="40">
        <f>IFERROR(銷售成本[[#This Row],[5 月]]/銷售成本[[#Totals],[5 月]],"-")</f>
        <v>5.2631578947368418E-2</v>
      </c>
      <c r="W7" s="40">
        <f>IFERROR(銷售成本[[#This Row],[6 月]]/銷售成本[[#Totals],[6 月]],"-")</f>
        <v>0.10897435897435898</v>
      </c>
      <c r="X7" s="40">
        <f>IFERROR(銷售成本[[#This Row],[7 月]]/銷售成本[[#Totals],[7 月]],"-")</f>
        <v>0.10033444816053512</v>
      </c>
      <c r="Y7" s="40">
        <f>IFERROR(銷售成本[[#This Row],[8 月]]/銷售成本[[#Totals],[8 月]],"-")</f>
        <v>0.10619469026548672</v>
      </c>
      <c r="Z7" s="40">
        <f>IFERROR(銷售成本[[#This Row],[9 月]]/銷售成本[[#Totals],[9 月]],"-")</f>
        <v>0.26328502415458938</v>
      </c>
      <c r="AA7" s="40">
        <f>IFERROR(銷售成本[[#This Row],[10 月]]/銷售成本[[#Totals],[10 月]],"-")</f>
        <v>5.8394160583941604E-2</v>
      </c>
      <c r="AB7" s="40">
        <f>IFERROR(銷售成本[[#This Row],[11 月]]/銷售成本[[#Totals],[11 月]],"-")</f>
        <v>7.9545454545454544E-2</v>
      </c>
      <c r="AC7" s="40">
        <f>IFERROR(銷售成本[[#This Row],[12 月]]/銷售成本[[#Totals],[12 月]],"-")</f>
        <v>0.11479028697571744</v>
      </c>
      <c r="AD7" s="40">
        <f>IFERROR(銷售成本[[#This Row],[每年]]/銷售成本[[#Totals],[每年]],"-")</f>
        <v>0.16815086432687271</v>
      </c>
    </row>
    <row r="8" spans="1:30" ht="30" customHeight="1" x14ac:dyDescent="0.25">
      <c r="B8" s="20" t="s">
        <v>42</v>
      </c>
      <c r="C8" s="25"/>
      <c r="D8" s="13">
        <v>390</v>
      </c>
      <c r="E8" s="13">
        <v>840</v>
      </c>
      <c r="F8" s="13">
        <v>450</v>
      </c>
      <c r="G8" s="13">
        <v>240</v>
      </c>
      <c r="H8" s="13">
        <v>2520</v>
      </c>
      <c r="I8" s="13">
        <v>360</v>
      </c>
      <c r="J8" s="13">
        <v>1620</v>
      </c>
      <c r="K8" s="13">
        <v>2160</v>
      </c>
      <c r="L8" s="13">
        <v>1470</v>
      </c>
      <c r="M8" s="13">
        <v>720</v>
      </c>
      <c r="N8" s="13">
        <v>1800</v>
      </c>
      <c r="O8" s="13">
        <v>1170</v>
      </c>
      <c r="P8" s="39">
        <f>SUM(銷售成本[[#This Row],[1 月]:[12 月]])</f>
        <v>13740</v>
      </c>
      <c r="Q8" s="21">
        <v>0.11</v>
      </c>
      <c r="R8" s="40">
        <f>IFERROR(銷售成本[[#This Row],[1 月]]/銷售成本[[#Totals],[1 月]],"-")</f>
        <v>4.9056603773584909E-2</v>
      </c>
      <c r="S8" s="40">
        <f>IFERROR(銷售成本[[#This Row],[2 月]]/銷售成本[[#Totals],[2 月]],"-")</f>
        <v>7.8651685393258425E-2</v>
      </c>
      <c r="T8" s="40">
        <f>IFERROR(銷售成本[[#This Row],[3 月]]/銷售成本[[#Totals],[3 月]],"-")</f>
        <v>4.7619047619047616E-2</v>
      </c>
      <c r="U8" s="40">
        <f>IFERROR(銷售成本[[#This Row],[4 月]]/銷售成本[[#Totals],[4 月]],"-")</f>
        <v>3.3195020746887967E-2</v>
      </c>
      <c r="V8" s="40">
        <f>IFERROR(銷售成本[[#This Row],[5 月]]/銷售成本[[#Totals],[5 月]],"-")</f>
        <v>0.21052631578947367</v>
      </c>
      <c r="W8" s="40">
        <f>IFERROR(銷售成本[[#This Row],[6 月]]/銷售成本[[#Totals],[6 月]],"-")</f>
        <v>3.8461538461538464E-2</v>
      </c>
      <c r="X8" s="40">
        <f>IFERROR(銷售成本[[#This Row],[7 月]]/銷售成本[[#Totals],[7 月]],"-")</f>
        <v>0.1806020066889632</v>
      </c>
      <c r="Y8" s="40">
        <f>IFERROR(銷售成本[[#This Row],[8 月]]/銷售成本[[#Totals],[8 月]],"-")</f>
        <v>0.31858407079646017</v>
      </c>
      <c r="Z8" s="40">
        <f>IFERROR(銷售成本[[#This Row],[9 月]]/銷售成本[[#Totals],[9 月]],"-")</f>
        <v>0.11835748792270531</v>
      </c>
      <c r="AA8" s="40">
        <f>IFERROR(銷售成本[[#This Row],[10 月]]/銷售成本[[#Totals],[10 月]],"-")</f>
        <v>8.7591240875912413E-2</v>
      </c>
      <c r="AB8" s="40">
        <f>IFERROR(銷售成本[[#This Row],[11 月]]/銷售成本[[#Totals],[11 月]],"-")</f>
        <v>0.22727272727272727</v>
      </c>
      <c r="AC8" s="40">
        <f>IFERROR(銷售成本[[#This Row],[12 月]]/銷售成本[[#Totals],[12 月]],"-")</f>
        <v>8.6092715231788075E-2</v>
      </c>
      <c r="AD8" s="40">
        <f>IFERROR(銷售成本[[#This Row],[每年]]/銷售成本[[#Totals],[每年]],"-")</f>
        <v>0.11995809324253535</v>
      </c>
    </row>
    <row r="9" spans="1:30" ht="30" customHeight="1" x14ac:dyDescent="0.25">
      <c r="B9" s="20" t="s">
        <v>43</v>
      </c>
      <c r="C9" s="25"/>
      <c r="D9" s="13">
        <v>1020</v>
      </c>
      <c r="E9" s="13">
        <v>2340</v>
      </c>
      <c r="F9" s="13">
        <v>1290</v>
      </c>
      <c r="G9" s="13">
        <v>900</v>
      </c>
      <c r="H9" s="13">
        <v>2310</v>
      </c>
      <c r="I9" s="13">
        <v>1620</v>
      </c>
      <c r="J9" s="13">
        <v>780</v>
      </c>
      <c r="K9" s="13">
        <v>390</v>
      </c>
      <c r="L9" s="13">
        <v>1680</v>
      </c>
      <c r="M9" s="13">
        <v>900</v>
      </c>
      <c r="N9" s="13">
        <v>1200</v>
      </c>
      <c r="O9" s="13">
        <v>1890</v>
      </c>
      <c r="P9" s="39">
        <f>SUM(銷售成本[[#This Row],[1 月]:[12 月]])</f>
        <v>16320</v>
      </c>
      <c r="Q9" s="21">
        <v>0.2</v>
      </c>
      <c r="R9" s="40">
        <f>IFERROR(銷售成本[[#This Row],[1 月]]/銷售成本[[#Totals],[1 月]],"-")</f>
        <v>0.12830188679245283</v>
      </c>
      <c r="S9" s="40">
        <f>IFERROR(銷售成本[[#This Row],[2 月]]/銷售成本[[#Totals],[2 月]],"-")</f>
        <v>0.21910112359550563</v>
      </c>
      <c r="T9" s="40">
        <f>IFERROR(銷售成本[[#This Row],[3 月]]/銷售成本[[#Totals],[3 月]],"-")</f>
        <v>0.13650793650793649</v>
      </c>
      <c r="U9" s="40">
        <f>IFERROR(銷售成本[[#This Row],[4 月]]/銷售成本[[#Totals],[4 月]],"-")</f>
        <v>0.12448132780082988</v>
      </c>
      <c r="V9" s="40">
        <f>IFERROR(銷售成本[[#This Row],[5 月]]/銷售成本[[#Totals],[5 月]],"-")</f>
        <v>0.19298245614035087</v>
      </c>
      <c r="W9" s="40">
        <f>IFERROR(銷售成本[[#This Row],[6 月]]/銷售成本[[#Totals],[6 月]],"-")</f>
        <v>0.17307692307692307</v>
      </c>
      <c r="X9" s="40">
        <f>IFERROR(銷售成本[[#This Row],[7 月]]/銷售成本[[#Totals],[7 月]],"-")</f>
        <v>8.6956521739130432E-2</v>
      </c>
      <c r="Y9" s="40">
        <f>IFERROR(銷售成本[[#This Row],[8 月]]/銷售成本[[#Totals],[8 月]],"-")</f>
        <v>5.7522123893805309E-2</v>
      </c>
      <c r="Z9" s="40">
        <f>IFERROR(銷售成本[[#This Row],[9 月]]/銷售成本[[#Totals],[9 月]],"-")</f>
        <v>0.13526570048309178</v>
      </c>
      <c r="AA9" s="40">
        <f>IFERROR(銷售成本[[#This Row],[10 月]]/銷售成本[[#Totals],[10 月]],"-")</f>
        <v>0.10948905109489052</v>
      </c>
      <c r="AB9" s="40">
        <f>IFERROR(銷售成本[[#This Row],[11 月]]/銷售成本[[#Totals],[11 月]],"-")</f>
        <v>0.15151515151515152</v>
      </c>
      <c r="AC9" s="40">
        <f>IFERROR(銷售成本[[#This Row],[12 月]]/銷售成本[[#Totals],[12 月]],"-")</f>
        <v>0.13907284768211919</v>
      </c>
      <c r="AD9" s="40">
        <f>IFERROR(銷售成本[[#This Row],[每年]]/銷售成本[[#Totals],[每年]],"-")</f>
        <v>0.14248297537978</v>
      </c>
    </row>
    <row r="10" spans="1:30" ht="30" customHeight="1" x14ac:dyDescent="0.25">
      <c r="B10" s="20" t="s">
        <v>44</v>
      </c>
      <c r="C10" s="25"/>
      <c r="D10" s="13">
        <v>990</v>
      </c>
      <c r="E10" s="13">
        <v>1830</v>
      </c>
      <c r="F10" s="13">
        <v>1260</v>
      </c>
      <c r="G10" s="13">
        <v>1290</v>
      </c>
      <c r="H10" s="13">
        <v>570</v>
      </c>
      <c r="I10" s="13">
        <v>2820</v>
      </c>
      <c r="J10" s="13">
        <v>1380</v>
      </c>
      <c r="K10" s="13">
        <v>450</v>
      </c>
      <c r="L10" s="13">
        <v>1650</v>
      </c>
      <c r="M10" s="13">
        <v>450</v>
      </c>
      <c r="N10" s="13">
        <v>1110</v>
      </c>
      <c r="O10" s="13">
        <v>2670</v>
      </c>
      <c r="P10" s="39">
        <f>SUM(銷售成本[[#This Row],[1 月]:[12 月]])</f>
        <v>16470</v>
      </c>
      <c r="Q10" s="21">
        <v>0.1</v>
      </c>
      <c r="R10" s="40">
        <f>IFERROR(銷售成本[[#This Row],[1 月]]/銷售成本[[#Totals],[1 月]],"-")</f>
        <v>0.12452830188679245</v>
      </c>
      <c r="S10" s="40">
        <f>IFERROR(銷售成本[[#This Row],[2 月]]/銷售成本[[#Totals],[2 月]],"-")</f>
        <v>0.17134831460674158</v>
      </c>
      <c r="T10" s="40">
        <f>IFERROR(銷售成本[[#This Row],[3 月]]/銷售成本[[#Totals],[3 月]],"-")</f>
        <v>0.13333333333333333</v>
      </c>
      <c r="U10" s="40">
        <f>IFERROR(銷售成本[[#This Row],[4 月]]/銷售成本[[#Totals],[4 月]],"-")</f>
        <v>0.17842323651452283</v>
      </c>
      <c r="V10" s="40">
        <f>IFERROR(銷售成本[[#This Row],[5 月]]/銷售成本[[#Totals],[5 月]],"-")</f>
        <v>4.7619047619047616E-2</v>
      </c>
      <c r="W10" s="40">
        <f>IFERROR(銷售成本[[#This Row],[6 月]]/銷售成本[[#Totals],[6 月]],"-")</f>
        <v>0.30128205128205127</v>
      </c>
      <c r="X10" s="40">
        <f>IFERROR(銷售成本[[#This Row],[7 月]]/銷售成本[[#Totals],[7 月]],"-")</f>
        <v>0.15384615384615385</v>
      </c>
      <c r="Y10" s="40">
        <f>IFERROR(銷售成本[[#This Row],[8 月]]/銷售成本[[#Totals],[8 月]],"-")</f>
        <v>6.637168141592921E-2</v>
      </c>
      <c r="Z10" s="40">
        <f>IFERROR(銷售成本[[#This Row],[9 月]]/銷售成本[[#Totals],[9 月]],"-")</f>
        <v>0.13285024154589373</v>
      </c>
      <c r="AA10" s="40">
        <f>IFERROR(銷售成本[[#This Row],[10 月]]/銷售成本[[#Totals],[10 月]],"-")</f>
        <v>5.4744525547445258E-2</v>
      </c>
      <c r="AB10" s="40">
        <f>IFERROR(銷售成本[[#This Row],[11 月]]/銷售成本[[#Totals],[11 月]],"-")</f>
        <v>0.14015151515151514</v>
      </c>
      <c r="AC10" s="40">
        <f>IFERROR(銷售成本[[#This Row],[12 月]]/銷售成本[[#Totals],[12 月]],"-")</f>
        <v>0.19646799116997793</v>
      </c>
      <c r="AD10" s="40">
        <f>IFERROR(銷售成本[[#This Row],[每年]]/銷售成本[[#Totals],[每年]],"-")</f>
        <v>0.14379256155055004</v>
      </c>
    </row>
    <row r="11" spans="1:30" ht="30" customHeight="1" x14ac:dyDescent="0.25">
      <c r="A11" s="2"/>
      <c r="B11" s="20" t="s">
        <v>45</v>
      </c>
      <c r="C11" s="25"/>
      <c r="D11" s="13">
        <v>540</v>
      </c>
      <c r="E11" s="13">
        <v>330</v>
      </c>
      <c r="F11" s="13">
        <v>900</v>
      </c>
      <c r="G11" s="13">
        <v>270</v>
      </c>
      <c r="H11" s="13">
        <v>1860</v>
      </c>
      <c r="I11" s="13">
        <v>1170</v>
      </c>
      <c r="J11" s="13">
        <v>3060</v>
      </c>
      <c r="K11" s="13">
        <v>1320</v>
      </c>
      <c r="L11" s="13">
        <v>3630</v>
      </c>
      <c r="M11" s="13">
        <v>570</v>
      </c>
      <c r="N11" s="13">
        <v>990</v>
      </c>
      <c r="O11" s="13">
        <v>1200</v>
      </c>
      <c r="P11" s="39">
        <f>SUM(銷售成本[[#This Row],[1 月]:[12 月]])</f>
        <v>15840</v>
      </c>
      <c r="Q11" s="21">
        <v>0.1</v>
      </c>
      <c r="R11" s="40">
        <f>IFERROR(銷售成本[[#This Row],[1 月]]/銷售成本[[#Totals],[1 月]],"-")</f>
        <v>6.7924528301886791E-2</v>
      </c>
      <c r="S11" s="40">
        <f>IFERROR(銷售成本[[#This Row],[2 月]]/銷售成本[[#Totals],[2 月]],"-")</f>
        <v>3.0898876404494381E-2</v>
      </c>
      <c r="T11" s="40">
        <f>IFERROR(銷售成本[[#This Row],[3 月]]/銷售成本[[#Totals],[3 月]],"-")</f>
        <v>9.5238095238095233E-2</v>
      </c>
      <c r="U11" s="40">
        <f>IFERROR(銷售成本[[#This Row],[4 月]]/銷售成本[[#Totals],[4 月]],"-")</f>
        <v>3.7344398340248962E-2</v>
      </c>
      <c r="V11" s="40">
        <f>IFERROR(銷售成本[[#This Row],[5 月]]/銷售成本[[#Totals],[5 月]],"-")</f>
        <v>0.15538847117794485</v>
      </c>
      <c r="W11" s="40">
        <f>IFERROR(銷售成本[[#This Row],[6 月]]/銷售成本[[#Totals],[6 月]],"-")</f>
        <v>0.125</v>
      </c>
      <c r="X11" s="40">
        <f>IFERROR(銷售成本[[#This Row],[7 月]]/銷售成本[[#Totals],[7 月]],"-")</f>
        <v>0.34113712374581939</v>
      </c>
      <c r="Y11" s="40">
        <f>IFERROR(銷售成本[[#This Row],[8 月]]/銷售成本[[#Totals],[8 月]],"-")</f>
        <v>0.19469026548672566</v>
      </c>
      <c r="Z11" s="40">
        <f>IFERROR(銷售成本[[#This Row],[9 月]]/銷售成本[[#Totals],[9 月]],"-")</f>
        <v>0.2922705314009662</v>
      </c>
      <c r="AA11" s="40">
        <f>IFERROR(銷售成本[[#This Row],[10 月]]/銷售成本[[#Totals],[10 月]],"-")</f>
        <v>6.9343065693430656E-2</v>
      </c>
      <c r="AB11" s="40">
        <f>IFERROR(銷售成本[[#This Row],[11 月]]/銷售成本[[#Totals],[11 月]],"-")</f>
        <v>0.125</v>
      </c>
      <c r="AC11" s="40">
        <f>IFERROR(銷售成本[[#This Row],[12 月]]/銷售成本[[#Totals],[12 月]],"-")</f>
        <v>8.8300220750551883E-2</v>
      </c>
      <c r="AD11" s="40">
        <f>IFERROR(銷售成本[[#This Row],[每年]]/銷售成本[[#Totals],[每年]],"-")</f>
        <v>0.13829229963331588</v>
      </c>
    </row>
    <row r="12" spans="1:30" ht="30" customHeight="1" x14ac:dyDescent="0.25">
      <c r="A12" s="8"/>
      <c r="B12" s="6" t="s">
        <v>71</v>
      </c>
      <c r="C12" s="22"/>
      <c r="D12" s="30">
        <f>SUBTOTAL(109,銷售成本[1 月])</f>
        <v>7950</v>
      </c>
      <c r="E12" s="30">
        <f>SUBTOTAL(109,銷售成本[2 月])</f>
        <v>10680</v>
      </c>
      <c r="F12" s="30">
        <f>SUBTOTAL(109,銷售成本[3 月])</f>
        <v>9450</v>
      </c>
      <c r="G12" s="30">
        <f>SUBTOTAL(109,銷售成本[4 月])</f>
        <v>7230</v>
      </c>
      <c r="H12" s="30">
        <f>SUBTOTAL(109,銷售成本[5 月])</f>
        <v>11970</v>
      </c>
      <c r="I12" s="30">
        <f>SUBTOTAL(109,銷售成本[6 月])</f>
        <v>9360</v>
      </c>
      <c r="J12" s="30">
        <f>SUBTOTAL(109,銷售成本[7 月])</f>
        <v>8970</v>
      </c>
      <c r="K12" s="30">
        <f>SUBTOTAL(109,銷售成本[8 月])</f>
        <v>6780</v>
      </c>
      <c r="L12" s="30">
        <f>SUBTOTAL(109,銷售成本[9 月])</f>
        <v>12420</v>
      </c>
      <c r="M12" s="30">
        <f>SUBTOTAL(109,銷售成本[10 月])</f>
        <v>8220</v>
      </c>
      <c r="N12" s="30">
        <f>SUBTOTAL(109,銷售成本[11 月])</f>
        <v>7920</v>
      </c>
      <c r="O12" s="30">
        <f>SUBTOTAL(109,銷售成本[12 月])</f>
        <v>13590</v>
      </c>
      <c r="P12" s="30">
        <f>SUBTOTAL(109,銷售成本[每年])</f>
        <v>114540</v>
      </c>
      <c r="Q12" s="38">
        <f>SUBTOTAL(109,銷售成本[指數 %])</f>
        <v>1</v>
      </c>
      <c r="R12" s="38">
        <f>SUBTOTAL(109,銷售成本[1 月 %])</f>
        <v>0.99999999999999989</v>
      </c>
      <c r="S12" s="38">
        <f>SUBTOTAL(109,銷售成本[2 月 %])</f>
        <v>1</v>
      </c>
      <c r="T12" s="38">
        <f>SUBTOTAL(109,銷售成本[3 月 %])</f>
        <v>0.99999999999999989</v>
      </c>
      <c r="U12" s="38">
        <f>SUBTOTAL(109,銷售成本[4 月 %])</f>
        <v>1</v>
      </c>
      <c r="V12" s="38">
        <f>SUBTOTAL(109,銷售成本[5 月 %])</f>
        <v>0.99999999999999989</v>
      </c>
      <c r="W12" s="38">
        <f>SUBTOTAL(109,銷售成本[6 月 %])</f>
        <v>1</v>
      </c>
      <c r="X12" s="38">
        <f>SUBTOTAL(109,銷售成本[7 月 %])</f>
        <v>1</v>
      </c>
      <c r="Y12" s="38">
        <f>SUBTOTAL(109,銷售成本[8 月 %])</f>
        <v>0.99999999999999989</v>
      </c>
      <c r="Z12" s="38">
        <f>SUBTOTAL(109,銷售成本[9 月 %])</f>
        <v>1</v>
      </c>
      <c r="AA12" s="38">
        <f>SUBTOTAL(109,銷售成本[10 月 %])</f>
        <v>1</v>
      </c>
      <c r="AB12" s="38">
        <f>SUBTOTAL(109,銷售成本[11 月 %])</f>
        <v>0.99999999999999989</v>
      </c>
      <c r="AC12" s="38">
        <f>SUBTOTAL(109,銷售成本[12 月 %])</f>
        <v>1</v>
      </c>
      <c r="AD12" s="38">
        <f>SUBTOTAL(109,銷售成本[年百分比])</f>
        <v>0.99999999999999989</v>
      </c>
    </row>
    <row r="13" spans="1:30" ht="30" customHeight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30" customHeight="1" x14ac:dyDescent="0.25">
      <c r="B14" s="9" t="s">
        <v>46</v>
      </c>
      <c r="C14" s="9"/>
      <c r="D14" s="10">
        <f>營收[[#Totals],[1 月]]-銷售成本[[#Totals],[1 月]]</f>
        <v>10770</v>
      </c>
      <c r="E14" s="10">
        <f>營收[[#Totals],[2 月]]-銷售成本[[#Totals],[2 月]]</f>
        <v>11400</v>
      </c>
      <c r="F14" s="10">
        <f>營收[[#Totals],[3 月]]-銷售成本[[#Totals],[3 月]]</f>
        <v>15150</v>
      </c>
      <c r="G14" s="10">
        <f>營收[[#Totals],[4 月]]-銷售成本[[#Totals],[4 月]]</f>
        <v>11100</v>
      </c>
      <c r="H14" s="10">
        <f>營收[[#Totals],[5 月]]-銷售成本[[#Totals],[5 月]]</f>
        <v>12390</v>
      </c>
      <c r="I14" s="10">
        <f>營收[[#Totals],[6 月]]-銷售成本[[#Totals],[6 月]]</f>
        <v>7980</v>
      </c>
      <c r="J14" s="10">
        <f>營收[[#Totals],[7 月]]-銷售成本[[#Totals],[7 月]]</f>
        <v>8940</v>
      </c>
      <c r="K14" s="10">
        <f>營收[[#Totals],[8 月]]-銷售成本[[#Totals],[8 月]]</f>
        <v>13470</v>
      </c>
      <c r="L14" s="10">
        <f>營收[[#Totals],[9 月]]-銷售成本[[#Totals],[9 月]]</f>
        <v>9900</v>
      </c>
      <c r="M14" s="10">
        <f>營收[[#Totals],[10 月]]-銷售成本[[#Totals],[10 月]]</f>
        <v>12210</v>
      </c>
      <c r="N14" s="10">
        <f>營收[[#Totals],[11 月]]-銷售成本[[#Totals],[11 月]]</f>
        <v>14250</v>
      </c>
      <c r="O14" s="10">
        <f>營收[[#Totals],[12 月]]-銷售成本[[#Totals],[12 月]]</f>
        <v>17700</v>
      </c>
      <c r="P14" s="10">
        <f>營收[[#Totals],[每年]]-銷售成本[[#Totals],[每年]]</f>
        <v>145260</v>
      </c>
      <c r="Q14" s="9"/>
      <c r="R14" s="11">
        <f t="shared" ref="R14:AD14" si="2">D14/$P$14</f>
        <v>7.4142916150351096E-2</v>
      </c>
      <c r="S14" s="11">
        <f t="shared" si="2"/>
        <v>7.8479966955803393E-2</v>
      </c>
      <c r="T14" s="11">
        <f t="shared" si="2"/>
        <v>0.10429574555968608</v>
      </c>
      <c r="U14" s="11">
        <f t="shared" si="2"/>
        <v>7.6414704667492769E-2</v>
      </c>
      <c r="V14" s="11">
        <f t="shared" si="2"/>
        <v>8.5295332507228414E-2</v>
      </c>
      <c r="W14" s="11">
        <f t="shared" si="2"/>
        <v>5.4935976869062368E-2</v>
      </c>
      <c r="X14" s="11">
        <f t="shared" si="2"/>
        <v>6.1544816191656339E-2</v>
      </c>
      <c r="Y14" s="11">
        <f t="shared" si="2"/>
        <v>9.2730276745146639E-2</v>
      </c>
      <c r="Z14" s="11">
        <f t="shared" si="2"/>
        <v>6.8153655514250316E-2</v>
      </c>
      <c r="AA14" s="11">
        <f t="shared" si="2"/>
        <v>8.4056175134242045E-2</v>
      </c>
      <c r="AB14" s="11">
        <f t="shared" si="2"/>
        <v>9.8099958694754227E-2</v>
      </c>
      <c r="AC14" s="11">
        <f t="shared" si="2"/>
        <v>0.12185047501032631</v>
      </c>
      <c r="AD14" s="11">
        <f t="shared" si="2"/>
        <v>1</v>
      </c>
    </row>
    <row r="16" spans="1:30" ht="30" customHeigh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3:15" ht="30" customHeigh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</sheetData>
  <phoneticPr fontId="3" type="noConversion"/>
  <dataValidations count="18">
    <dataValidation allowBlank="1" showInputMessage="1" showErrorMessage="1" prompt="此列會根據銷售總額和總銷售成本自動計算每月和每年的毛利" sqref="B14"/>
    <dataValidation allowBlank="1" showInputMessage="1" showErrorMessage="1" prompt="此工作表會計算各項目的每月和每年的總銷售成本，以及年度銷售成本。系統會根據項目自動計算毛利" sqref="A1"/>
    <dataValidation allowBlank="1" showInputMessage="1" showErrorMessage="1" prompt="此儲存格會根據 [營收 (銷售額)] 工作表中的預測期間標題自動更新" sqref="B1"/>
    <dataValidation allowBlank="1" showInputMessage="1" showErrorMessage="1" prompt="公司名稱會使用 [營收 (銷售額)] 工作表中的項目自動更新" sqref="AD1"/>
    <dataValidation allowBlank="1" showInputMessage="1" showErrorMessage="1" prompt="從 [營收 (銷售額)] 工作表自動更新的標題。在下方的 [銷售成本] 表格中輸入值以計算總銷售成本" sqref="B2"/>
    <dataValidation allowBlank="1" showInputMessage="1" showErrorMessage="1" prompt="此儲存格右側的月份和年份會自動更新。若要變更月份或年份，請修改 [營收 (銷售額)] 工作表中的儲存格 AC2 和 AD2" sqref="AB2"/>
    <dataValidation allowBlank="1" showInputMessage="1" showErrorMessage="1" prompt="在此欄中輸入索引百分比" sqref="Q4"/>
    <dataValidation allowBlank="1" showInputMessage="1" showErrorMessage="1" prompt="在此欄中輸入欄 B 中所列的成本來源" sqref="D4:O4"/>
    <dataValidation allowBlank="1" showInputMessage="1" showErrorMessage="1" prompt="此欄為一段時間的成本趨勢圖" sqref="C4"/>
    <dataValidation allowBlank="1" showInputMessage="1" showErrorMessage="1" prompt="在此欄中輸入銷售成本" sqref="B4"/>
    <dataValidation allowBlank="1" showInputMessage="1" showErrorMessage="1" prompt="系統會自動計算來自不同來源的銷售比例，以在此欄中加總年度的銷售額" sqref="AD3"/>
    <dataValidation allowBlank="1" showInputMessage="1" showErrorMessage="1" prompt="月份會自動更新" sqref="E3:O3"/>
    <dataValidation allowBlank="1" showInputMessage="1" showErrorMessage="1" prompt="此列中的日期會根據會計年度的開始月份自動更新。若要變更開始月份，請修改 [營收 (銷售額)] 工作表中的儲存格 AC2" sqref="D3"/>
    <dataValidation allowBlank="1" showInputMessage="1" showErrorMessage="1" prompt="此欄會自動計算年度成本" sqref="P3"/>
    <dataValidation allowBlank="1" showInputMessage="1" showErrorMessage="1" prompt="此欄為指數百分比" sqref="Q3"/>
    <dataValidation allowBlank="1" showInputMessage="1" showErrorMessage="1" prompt="月份會自動更新。若要變更，請修改 [營收 (銷售額)] 工作表中的儲存格 AC2" sqref="AC2"/>
    <dataValidation allowBlank="1" showInputMessage="1" showErrorMessage="1" prompt="年份會自動更新。若要變更，請修改 [營收 (銷售額)] 工作表中的儲存格 AD2" sqref="AD2"/>
    <dataValidation allowBlank="1" showInputMessage="1" showErrorMessage="1" prompt="系統會自動計算來自不同來源的銷售比例，以在此欄中加總此儲存格之月份的銷售額" sqref="R3:AC3"/>
  </dataValidations>
  <printOptions horizontalCentered="1"/>
  <pageMargins left="0.25" right="0.25" top="0.75" bottom="0.75" header="0.3" footer="0.3"/>
  <pageSetup paperSize="9" scale="32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銷售成本!D5:O5</xm:f>
              <xm:sqref>C5</xm:sqref>
            </x14:sparkline>
            <x14:sparkline>
              <xm:f>銷售成本!D6:O6</xm:f>
              <xm:sqref>C6</xm:sqref>
            </x14:sparkline>
            <x14:sparkline>
              <xm:f>銷售成本!D7:O7</xm:f>
              <xm:sqref>C7</xm:sqref>
            </x14:sparkline>
            <x14:sparkline>
              <xm:f>銷售成本!D8:O8</xm:f>
              <xm:sqref>C8</xm:sqref>
            </x14:sparkline>
            <x14:sparkline>
              <xm:f>銷售成本!D9:O9</xm:f>
              <xm:sqref>C9</xm:sqref>
            </x14:sparkline>
            <x14:sparkline>
              <xm:f>銷售成本!D10:O10</xm:f>
              <xm:sqref>C10</xm:sqref>
            </x14:sparkline>
            <x14:sparkline>
              <xm:f>銷售成本!D11:O11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銷售成本!D12:O12</xm:f>
              <xm:sqref>C12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33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25"/>
  <cols>
    <col min="1" max="1" width="2.77734375" customWidth="1"/>
    <col min="2" max="2" width="15.21875" customWidth="1"/>
    <col min="3" max="3" width="12.77734375" customWidth="1"/>
    <col min="4" max="15" width="15.88671875" customWidth="1"/>
    <col min="16" max="16" width="14.21875" customWidth="1"/>
    <col min="17" max="17" width="13.88671875" customWidth="1"/>
    <col min="18" max="30" width="10.77734375" customWidth="1"/>
    <col min="31" max="31" width="2.77734375" customWidth="1"/>
  </cols>
  <sheetData>
    <row r="1" spans="1:30" ht="35.1" customHeight="1" x14ac:dyDescent="0.25">
      <c r="A1" s="4"/>
      <c r="B1" s="17" t="str">
        <f>預測_期間_標題</f>
        <v>十二個月</v>
      </c>
      <c r="C1" s="7"/>
      <c r="J1" s="5"/>
      <c r="K1" s="8"/>
      <c r="L1" s="8"/>
      <c r="M1" s="8"/>
      <c r="N1" s="8"/>
      <c r="O1" s="8"/>
      <c r="P1" s="8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 t="str">
        <f>公司_名稱</f>
        <v>公司名稱</v>
      </c>
    </row>
    <row r="2" spans="1:30" ht="60" customHeight="1" x14ac:dyDescent="0.25">
      <c r="B2" s="3" t="str">
        <f>'營收 (銷售額)'!$B$2</f>
        <v>損益預測</v>
      </c>
      <c r="E2" s="32"/>
      <c r="G2" s="32"/>
      <c r="K2" s="32"/>
      <c r="L2" s="32"/>
      <c r="M2" s="32"/>
      <c r="N2" s="32"/>
      <c r="O2" s="32"/>
      <c r="P2" s="8"/>
      <c r="Q2" s="8"/>
      <c r="X2" s="35"/>
      <c r="Y2" s="35"/>
      <c r="Z2" s="35"/>
      <c r="AA2" s="35"/>
      <c r="AB2" s="15" t="s">
        <v>47</v>
      </c>
      <c r="AC2" s="15" t="str">
        <f>FYMonthStart</f>
        <v>1 月</v>
      </c>
      <c r="AD2" s="15">
        <f ca="1">FYStartYear</f>
        <v>2017</v>
      </c>
    </row>
    <row r="3" spans="1:30" ht="20.100000000000001" customHeight="1" x14ac:dyDescent="0.25">
      <c r="D3" s="16" t="str">
        <f ca="1">UPPER(TEXT(DATE(FYStartYear,FYMonthNo,1),"yyyy 年 m 月"))</f>
        <v>2017 年 1 月</v>
      </c>
      <c r="E3" s="16" t="str">
        <f ca="1">UPPER(TEXT(DATE(FYStartYear,FYMonthNo+1,1),"yyyy 年 m 月"))</f>
        <v>2017 年 2 月</v>
      </c>
      <c r="F3" s="16" t="str">
        <f ca="1">UPPER(TEXT(DATE(FYStartYear,FYMonthNo+2,1),"yyyy 年 m 月"))</f>
        <v>2017 年 3 月</v>
      </c>
      <c r="G3" s="16" t="str">
        <f ca="1">UPPER(TEXT(DATE(FYStartYear,FYMonthNo+3,1),"yyyy 年 m 月"))</f>
        <v>2017 年 4 月</v>
      </c>
      <c r="H3" s="16" t="str">
        <f ca="1">UPPER(TEXT(DATE(FYStartYear,FYMonthNo+4,1),"yyyy 年 m 月"))</f>
        <v>2017 年 5 月</v>
      </c>
      <c r="I3" s="16" t="str">
        <f ca="1">UPPER(TEXT(DATE(FYStartYear,FYMonthNo+5,1),"yyyy 年 m 月"))</f>
        <v>2017 年 6 月</v>
      </c>
      <c r="J3" s="16" t="str">
        <f ca="1">UPPER(TEXT(DATE(FYStartYear,FYMonthNo+6,1),"yyyy 年 m 月"))</f>
        <v>2017 年 7 月</v>
      </c>
      <c r="K3" s="16" t="str">
        <f ca="1">UPPER(TEXT(DATE(FYStartYear,FYMonthNo+7,1),"yyyy 年 m 月"))</f>
        <v>2017 年 8 月</v>
      </c>
      <c r="L3" s="16" t="str">
        <f ca="1">UPPER(TEXT(DATE(FYStartYear,FYMonthNo+8,1),"yyyy 年 m 月"))</f>
        <v>2017 年 9 月</v>
      </c>
      <c r="M3" s="16" t="str">
        <f ca="1">UPPER(TEXT(DATE(FYStartYear,FYMonthNo+9,1),"yyyy 年 m 月"))</f>
        <v>2017 年 10 月</v>
      </c>
      <c r="N3" s="16" t="str">
        <f ca="1">UPPER(TEXT(DATE(FYStartYear,FYMonthNo+10,1),"yyyy 年 m 月"))</f>
        <v>2017 年 11 月</v>
      </c>
      <c r="O3" s="16" t="str">
        <f ca="1">UPPER(TEXT(DATE(FYStartYear,FYMonthNo+11,1),"yyyy 年 m 月"))</f>
        <v>2017 年 12 月</v>
      </c>
      <c r="P3" s="16" t="s">
        <v>23</v>
      </c>
      <c r="Q3" s="16" t="s">
        <v>86</v>
      </c>
      <c r="R3" s="16" t="str">
        <f ca="1">RIGHT(D3,3)&amp;" %"</f>
        <v>1 月 %</v>
      </c>
      <c r="S3" s="16" t="str">
        <f ca="1">RIGHT(E3,3)&amp;" %"</f>
        <v>2 月 %</v>
      </c>
      <c r="T3" s="16" t="str">
        <f t="shared" ref="T3:Z3" ca="1" si="0">RIGHT(F3,3)&amp;" %"</f>
        <v>3 月 %</v>
      </c>
      <c r="U3" s="16" t="str">
        <f t="shared" ca="1" si="0"/>
        <v>4 月 %</v>
      </c>
      <c r="V3" s="16" t="str">
        <f t="shared" ca="1" si="0"/>
        <v>5 月 %</v>
      </c>
      <c r="W3" s="16" t="str">
        <f t="shared" ca="1" si="0"/>
        <v>6 月 %</v>
      </c>
      <c r="X3" s="16" t="str">
        <f t="shared" ca="1" si="0"/>
        <v>7 月 %</v>
      </c>
      <c r="Y3" s="16" t="str">
        <f t="shared" ca="1" si="0"/>
        <v>8 月 %</v>
      </c>
      <c r="Z3" s="16" t="str">
        <f t="shared" ca="1" si="0"/>
        <v>9 月 %</v>
      </c>
      <c r="AA3" s="16" t="str">
        <f ca="1">RIGHT(M3,4)&amp;" %"</f>
        <v>10 月 %</v>
      </c>
      <c r="AB3" s="16" t="str">
        <f t="shared" ref="AB3:AC3" ca="1" si="1">RIGHT(N3,4)&amp;" %"</f>
        <v>11 月 %</v>
      </c>
      <c r="AC3" s="16" t="str">
        <f t="shared" ca="1" si="1"/>
        <v>12 月 %</v>
      </c>
      <c r="AD3" s="16" t="s">
        <v>87</v>
      </c>
    </row>
    <row r="4" spans="1:30" ht="30" customHeight="1" x14ac:dyDescent="0.25">
      <c r="B4" s="24" t="s">
        <v>48</v>
      </c>
      <c r="C4" s="24" t="s">
        <v>10</v>
      </c>
      <c r="D4" s="18" t="s">
        <v>69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19</v>
      </c>
      <c r="M4" s="18" t="s">
        <v>20</v>
      </c>
      <c r="N4" s="18" t="s">
        <v>21</v>
      </c>
      <c r="O4" s="18" t="s">
        <v>22</v>
      </c>
      <c r="P4" s="18" t="s">
        <v>23</v>
      </c>
      <c r="Q4" s="19" t="s">
        <v>86</v>
      </c>
      <c r="R4" s="19" t="s">
        <v>85</v>
      </c>
      <c r="S4" s="19" t="s">
        <v>24</v>
      </c>
      <c r="T4" s="19" t="s">
        <v>25</v>
      </c>
      <c r="U4" s="19" t="s">
        <v>26</v>
      </c>
      <c r="V4" s="19" t="s">
        <v>27</v>
      </c>
      <c r="W4" s="19" t="s">
        <v>28</v>
      </c>
      <c r="X4" s="19" t="s">
        <v>29</v>
      </c>
      <c r="Y4" s="19" t="s">
        <v>30</v>
      </c>
      <c r="Z4" s="19" t="s">
        <v>31</v>
      </c>
      <c r="AA4" s="19" t="s">
        <v>32</v>
      </c>
      <c r="AB4" s="19" t="s">
        <v>34</v>
      </c>
      <c r="AC4" s="19" t="s">
        <v>35</v>
      </c>
      <c r="AD4" s="18" t="s">
        <v>37</v>
      </c>
    </row>
    <row r="5" spans="1:30" ht="30" customHeight="1" x14ac:dyDescent="0.25">
      <c r="B5" s="12" t="s">
        <v>49</v>
      </c>
      <c r="C5" s="26" t="s">
        <v>68</v>
      </c>
      <c r="D5" s="31">
        <v>300</v>
      </c>
      <c r="E5" s="31">
        <v>540</v>
      </c>
      <c r="F5" s="31">
        <v>390</v>
      </c>
      <c r="G5" s="31">
        <v>240</v>
      </c>
      <c r="H5" s="31">
        <v>660</v>
      </c>
      <c r="I5" s="31">
        <v>540</v>
      </c>
      <c r="J5" s="31">
        <v>240</v>
      </c>
      <c r="K5" s="31">
        <v>510</v>
      </c>
      <c r="L5" s="31">
        <v>600</v>
      </c>
      <c r="M5" s="31">
        <v>240</v>
      </c>
      <c r="N5" s="31">
        <v>120</v>
      </c>
      <c r="O5" s="31">
        <v>360</v>
      </c>
      <c r="P5" s="27">
        <f>SUM(tblExpenses[[#This Row],[欄1]:[12 月]])</f>
        <v>4740</v>
      </c>
      <c r="Q5" s="21">
        <v>0.12</v>
      </c>
      <c r="R5" s="28">
        <f>tblExpenses[[#This Row],[欄1]]/tblExpenses[[#Totals],[欄1]]</f>
        <v>4.2372881355932202E-2</v>
      </c>
      <c r="S5" s="28">
        <f>tblExpenses[[#This Row],[2 月]]/tblExpenses[[#Totals],[2 月]]</f>
        <v>8.7804878048780483E-2</v>
      </c>
      <c r="T5" s="28">
        <f>tblExpenses[[#This Row],[3 月]]/tblExpenses[[#Totals],[3 月]]</f>
        <v>5.2208835341365459E-2</v>
      </c>
      <c r="U5" s="28">
        <f>tblExpenses[[#This Row],[4 月]]/tblExpenses[[#Totals],[4 月]]</f>
        <v>3.0651340996168581E-2</v>
      </c>
      <c r="V5" s="28">
        <f>tblExpenses[[#This Row],[5 月]]/tblExpenses[[#Totals],[5 月]]</f>
        <v>8.5603112840466927E-2</v>
      </c>
      <c r="W5" s="28">
        <f>tblExpenses[[#This Row],[6 月]]/tblExpenses[[#Totals],[6 月]]</f>
        <v>6.569343065693431E-2</v>
      </c>
      <c r="X5" s="28">
        <f>tblExpenses[[#This Row],[7 月]]/tblExpenses[[#Totals],[7 月]]</f>
        <v>3.007518796992481E-2</v>
      </c>
      <c r="Y5" s="28">
        <f>tblExpenses[[#This Row],[8 月]]/tblExpenses[[#Totals],[8 月]]</f>
        <v>7.2340425531914887E-2</v>
      </c>
      <c r="Z5" s="28">
        <f>tblExpenses[[#This Row],[9 月]]/tblExpenses[[#Totals],[9 月]]</f>
        <v>8.6956521739130432E-2</v>
      </c>
      <c r="AA5" s="28">
        <f>tblExpenses[[#This Row],[10 月]]/tblExpenses[[#Totals],[10 月]]</f>
        <v>3.0888030888030889E-2</v>
      </c>
      <c r="AB5" s="28">
        <f>tblExpenses[[#This Row],[11 月]]/tblExpenses[[#Totals],[11 月]]</f>
        <v>1.3513513513513514E-2</v>
      </c>
      <c r="AC5" s="28">
        <f>tblExpenses[[#This Row],[12 月]]/tblExpenses[[#Totals],[12 月]]</f>
        <v>5.1948051948051951E-2</v>
      </c>
      <c r="AD5" s="28">
        <f>tblExpenses[[#This Row],[每年]]/tblExpenses[[#Totals],[每年]]</f>
        <v>5.2684228076025338E-2</v>
      </c>
    </row>
    <row r="6" spans="1:30" ht="30" customHeight="1" x14ac:dyDescent="0.25">
      <c r="B6" s="12" t="s">
        <v>50</v>
      </c>
      <c r="C6" s="26" t="s">
        <v>68</v>
      </c>
      <c r="D6" s="31">
        <v>690</v>
      </c>
      <c r="E6" s="31">
        <v>330</v>
      </c>
      <c r="F6" s="31">
        <v>210</v>
      </c>
      <c r="G6" s="31">
        <v>420</v>
      </c>
      <c r="H6" s="31">
        <v>360</v>
      </c>
      <c r="I6" s="31">
        <v>570</v>
      </c>
      <c r="J6" s="31">
        <v>570</v>
      </c>
      <c r="K6" s="31">
        <v>120</v>
      </c>
      <c r="L6" s="31">
        <v>210</v>
      </c>
      <c r="M6" s="31">
        <v>390</v>
      </c>
      <c r="N6" s="31">
        <v>750</v>
      </c>
      <c r="O6" s="31">
        <v>150</v>
      </c>
      <c r="P6" s="27">
        <f>SUM(tblExpenses[[#This Row],[欄1]:[12 月]])</f>
        <v>4770</v>
      </c>
      <c r="Q6" s="21">
        <v>0.09</v>
      </c>
      <c r="R6" s="28">
        <f>tblExpenses[[#This Row],[欄1]]/tblExpenses[[#Totals],[欄1]]</f>
        <v>9.7457627118644072E-2</v>
      </c>
      <c r="S6" s="28">
        <f>tblExpenses[[#This Row],[2 月]]/tblExpenses[[#Totals],[2 月]]</f>
        <v>5.3658536585365853E-2</v>
      </c>
      <c r="T6" s="28">
        <f>tblExpenses[[#This Row],[3 月]]/tblExpenses[[#Totals],[3 月]]</f>
        <v>2.8112449799196786E-2</v>
      </c>
      <c r="U6" s="28">
        <f>tblExpenses[[#This Row],[4 月]]/tblExpenses[[#Totals],[4 月]]</f>
        <v>5.3639846743295021E-2</v>
      </c>
      <c r="V6" s="28">
        <f>tblExpenses[[#This Row],[5 月]]/tblExpenses[[#Totals],[5 月]]</f>
        <v>4.6692607003891051E-2</v>
      </c>
      <c r="W6" s="28">
        <f>tblExpenses[[#This Row],[6 月]]/tblExpenses[[#Totals],[6 月]]</f>
        <v>6.9343065693430656E-2</v>
      </c>
      <c r="X6" s="28">
        <f>tblExpenses[[#This Row],[7 月]]/tblExpenses[[#Totals],[7 月]]</f>
        <v>7.1428571428571425E-2</v>
      </c>
      <c r="Y6" s="28">
        <f>tblExpenses[[#This Row],[8 月]]/tblExpenses[[#Totals],[8 月]]</f>
        <v>1.7021276595744681E-2</v>
      </c>
      <c r="Z6" s="28">
        <f>tblExpenses[[#This Row],[9 月]]/tblExpenses[[#Totals],[9 月]]</f>
        <v>3.0434782608695653E-2</v>
      </c>
      <c r="AA6" s="28">
        <f>tblExpenses[[#This Row],[10 月]]/tblExpenses[[#Totals],[10 月]]</f>
        <v>5.019305019305019E-2</v>
      </c>
      <c r="AB6" s="28">
        <f>tblExpenses[[#This Row],[11 月]]/tblExpenses[[#Totals],[11 月]]</f>
        <v>8.4459459459459457E-2</v>
      </c>
      <c r="AC6" s="28">
        <f>tblExpenses[[#This Row],[12 月]]/tblExpenses[[#Totals],[12 月]]</f>
        <v>2.1645021645021644E-2</v>
      </c>
      <c r="AD6" s="28">
        <f>tblExpenses[[#This Row],[每年]]/tblExpenses[[#Totals],[每年]]</f>
        <v>5.3017672557519172E-2</v>
      </c>
    </row>
    <row r="7" spans="1:30" ht="30" customHeight="1" x14ac:dyDescent="0.25">
      <c r="B7" s="12" t="s">
        <v>51</v>
      </c>
      <c r="C7" s="26" t="s">
        <v>68</v>
      </c>
      <c r="D7" s="31">
        <v>690</v>
      </c>
      <c r="E7" s="31">
        <v>600</v>
      </c>
      <c r="F7" s="31">
        <v>90</v>
      </c>
      <c r="G7" s="31">
        <v>480</v>
      </c>
      <c r="H7" s="31">
        <v>300</v>
      </c>
      <c r="I7" s="31">
        <v>150</v>
      </c>
      <c r="J7" s="31">
        <v>600</v>
      </c>
      <c r="K7" s="31">
        <v>210</v>
      </c>
      <c r="L7" s="31">
        <v>120</v>
      </c>
      <c r="M7" s="31">
        <v>660</v>
      </c>
      <c r="N7" s="31">
        <v>390</v>
      </c>
      <c r="O7" s="31">
        <v>420</v>
      </c>
      <c r="P7" s="27">
        <f>SUM(tblExpenses[[#This Row],[欄1]:[12 月]])</f>
        <v>4710</v>
      </c>
      <c r="Q7" s="21">
        <v>0.02</v>
      </c>
      <c r="R7" s="28">
        <f>tblExpenses[[#This Row],[欄1]]/tblExpenses[[#Totals],[欄1]]</f>
        <v>9.7457627118644072E-2</v>
      </c>
      <c r="S7" s="28">
        <f>tblExpenses[[#This Row],[2 月]]/tblExpenses[[#Totals],[2 月]]</f>
        <v>9.7560975609756101E-2</v>
      </c>
      <c r="T7" s="28">
        <f>tblExpenses[[#This Row],[3 月]]/tblExpenses[[#Totals],[3 月]]</f>
        <v>1.2048192771084338E-2</v>
      </c>
      <c r="U7" s="28">
        <f>tblExpenses[[#This Row],[4 月]]/tblExpenses[[#Totals],[4 月]]</f>
        <v>6.1302681992337162E-2</v>
      </c>
      <c r="V7" s="28">
        <f>tblExpenses[[#This Row],[5 月]]/tblExpenses[[#Totals],[5 月]]</f>
        <v>3.8910505836575876E-2</v>
      </c>
      <c r="W7" s="28">
        <f>tblExpenses[[#This Row],[6 月]]/tblExpenses[[#Totals],[6 月]]</f>
        <v>1.824817518248175E-2</v>
      </c>
      <c r="X7" s="28">
        <f>tblExpenses[[#This Row],[7 月]]/tblExpenses[[#Totals],[7 月]]</f>
        <v>7.5187969924812026E-2</v>
      </c>
      <c r="Y7" s="28">
        <f>tblExpenses[[#This Row],[8 月]]/tblExpenses[[#Totals],[8 月]]</f>
        <v>2.9787234042553193E-2</v>
      </c>
      <c r="Z7" s="28">
        <f>tblExpenses[[#This Row],[9 月]]/tblExpenses[[#Totals],[9 月]]</f>
        <v>1.7391304347826087E-2</v>
      </c>
      <c r="AA7" s="28">
        <f>tblExpenses[[#This Row],[10 月]]/tblExpenses[[#Totals],[10 月]]</f>
        <v>8.4942084942084939E-2</v>
      </c>
      <c r="AB7" s="28">
        <f>tblExpenses[[#This Row],[11 月]]/tblExpenses[[#Totals],[11 月]]</f>
        <v>4.3918918918918921E-2</v>
      </c>
      <c r="AC7" s="28">
        <f>tblExpenses[[#This Row],[12 月]]/tblExpenses[[#Totals],[12 月]]</f>
        <v>6.0606060606060608E-2</v>
      </c>
      <c r="AD7" s="28">
        <f>tblExpenses[[#This Row],[每年]]/tblExpenses[[#Totals],[每年]]</f>
        <v>5.2350783594531512E-2</v>
      </c>
    </row>
    <row r="8" spans="1:30" ht="30" customHeight="1" x14ac:dyDescent="0.25">
      <c r="B8" s="12" t="s">
        <v>52</v>
      </c>
      <c r="C8" s="26" t="s">
        <v>68</v>
      </c>
      <c r="D8" s="31">
        <v>570</v>
      </c>
      <c r="E8" s="31">
        <v>120</v>
      </c>
      <c r="F8" s="31">
        <v>210</v>
      </c>
      <c r="G8" s="31">
        <v>420</v>
      </c>
      <c r="H8" s="31">
        <v>660</v>
      </c>
      <c r="I8" s="31">
        <v>300</v>
      </c>
      <c r="J8" s="31">
        <v>660</v>
      </c>
      <c r="K8" s="31">
        <v>150</v>
      </c>
      <c r="L8" s="31">
        <v>120</v>
      </c>
      <c r="M8" s="31">
        <v>360</v>
      </c>
      <c r="N8" s="31">
        <v>540</v>
      </c>
      <c r="O8" s="31">
        <v>720</v>
      </c>
      <c r="P8" s="27">
        <f>SUM(tblExpenses[[#This Row],[欄1]:[12 月]])</f>
        <v>4830</v>
      </c>
      <c r="Q8" s="21">
        <v>0.08</v>
      </c>
      <c r="R8" s="28">
        <f>tblExpenses[[#This Row],[欄1]]/tblExpenses[[#Totals],[欄1]]</f>
        <v>8.050847457627118E-2</v>
      </c>
      <c r="S8" s="28">
        <f>tblExpenses[[#This Row],[2 月]]/tblExpenses[[#Totals],[2 月]]</f>
        <v>1.9512195121951219E-2</v>
      </c>
      <c r="T8" s="28">
        <f>tblExpenses[[#This Row],[3 月]]/tblExpenses[[#Totals],[3 月]]</f>
        <v>2.8112449799196786E-2</v>
      </c>
      <c r="U8" s="28">
        <f>tblExpenses[[#This Row],[4 月]]/tblExpenses[[#Totals],[4 月]]</f>
        <v>5.3639846743295021E-2</v>
      </c>
      <c r="V8" s="28">
        <f>tblExpenses[[#This Row],[5 月]]/tblExpenses[[#Totals],[5 月]]</f>
        <v>8.5603112840466927E-2</v>
      </c>
      <c r="W8" s="28">
        <f>tblExpenses[[#This Row],[6 月]]/tblExpenses[[#Totals],[6 月]]</f>
        <v>3.6496350364963501E-2</v>
      </c>
      <c r="X8" s="28">
        <f>tblExpenses[[#This Row],[7 月]]/tblExpenses[[#Totals],[7 月]]</f>
        <v>8.2706766917293228E-2</v>
      </c>
      <c r="Y8" s="28">
        <f>tblExpenses[[#This Row],[8 月]]/tblExpenses[[#Totals],[8 月]]</f>
        <v>2.1276595744680851E-2</v>
      </c>
      <c r="Z8" s="28">
        <f>tblExpenses[[#This Row],[9 月]]/tblExpenses[[#Totals],[9 月]]</f>
        <v>1.7391304347826087E-2</v>
      </c>
      <c r="AA8" s="28">
        <f>tblExpenses[[#This Row],[10 月]]/tblExpenses[[#Totals],[10 月]]</f>
        <v>4.633204633204633E-2</v>
      </c>
      <c r="AB8" s="28">
        <f>tblExpenses[[#This Row],[11 月]]/tblExpenses[[#Totals],[11 月]]</f>
        <v>6.0810810810810814E-2</v>
      </c>
      <c r="AC8" s="28">
        <f>tblExpenses[[#This Row],[12 月]]/tblExpenses[[#Totals],[12 月]]</f>
        <v>0.1038961038961039</v>
      </c>
      <c r="AD8" s="28">
        <f>tblExpenses[[#This Row],[每年]]/tblExpenses[[#Totals],[每年]]</f>
        <v>5.3684561520506838E-2</v>
      </c>
    </row>
    <row r="9" spans="1:30" ht="30" customHeight="1" x14ac:dyDescent="0.25">
      <c r="B9" s="12" t="s">
        <v>53</v>
      </c>
      <c r="C9" s="26" t="s">
        <v>68</v>
      </c>
      <c r="D9" s="31">
        <v>330</v>
      </c>
      <c r="E9" s="31">
        <v>330</v>
      </c>
      <c r="F9" s="31">
        <v>510</v>
      </c>
      <c r="G9" s="31">
        <v>360</v>
      </c>
      <c r="H9" s="31">
        <v>60</v>
      </c>
      <c r="I9" s="31">
        <v>420</v>
      </c>
      <c r="J9" s="31">
        <v>360</v>
      </c>
      <c r="K9" s="31">
        <v>300</v>
      </c>
      <c r="L9" s="31">
        <v>540</v>
      </c>
      <c r="M9" s="31">
        <v>330</v>
      </c>
      <c r="N9" s="31">
        <v>690</v>
      </c>
      <c r="O9" s="31">
        <v>330</v>
      </c>
      <c r="P9" s="27">
        <f>SUM(tblExpenses[[#This Row],[欄1]:[12 月]])</f>
        <v>4560</v>
      </c>
      <c r="Q9" s="21">
        <v>0.03</v>
      </c>
      <c r="R9" s="28">
        <f>tblExpenses[[#This Row],[欄1]]/tblExpenses[[#Totals],[欄1]]</f>
        <v>4.6610169491525424E-2</v>
      </c>
      <c r="S9" s="28">
        <f>tblExpenses[[#This Row],[2 月]]/tblExpenses[[#Totals],[2 月]]</f>
        <v>5.3658536585365853E-2</v>
      </c>
      <c r="T9" s="28">
        <f>tblExpenses[[#This Row],[3 月]]/tblExpenses[[#Totals],[3 月]]</f>
        <v>6.8273092369477914E-2</v>
      </c>
      <c r="U9" s="28">
        <f>tblExpenses[[#This Row],[4 月]]/tblExpenses[[#Totals],[4 月]]</f>
        <v>4.5977011494252873E-2</v>
      </c>
      <c r="V9" s="28">
        <f>tblExpenses[[#This Row],[5 月]]/tblExpenses[[#Totals],[5 月]]</f>
        <v>7.7821011673151752E-3</v>
      </c>
      <c r="W9" s="28">
        <f>tblExpenses[[#This Row],[6 月]]/tblExpenses[[#Totals],[6 月]]</f>
        <v>5.1094890510948905E-2</v>
      </c>
      <c r="X9" s="28">
        <f>tblExpenses[[#This Row],[7 月]]/tblExpenses[[#Totals],[7 月]]</f>
        <v>4.5112781954887216E-2</v>
      </c>
      <c r="Y9" s="28">
        <f>tblExpenses[[#This Row],[8 月]]/tblExpenses[[#Totals],[8 月]]</f>
        <v>4.2553191489361701E-2</v>
      </c>
      <c r="Z9" s="28">
        <f>tblExpenses[[#This Row],[9 月]]/tblExpenses[[#Totals],[9 月]]</f>
        <v>7.8260869565217397E-2</v>
      </c>
      <c r="AA9" s="28">
        <f>tblExpenses[[#This Row],[10 月]]/tblExpenses[[#Totals],[10 月]]</f>
        <v>4.2471042471042469E-2</v>
      </c>
      <c r="AB9" s="28">
        <f>tblExpenses[[#This Row],[11 月]]/tblExpenses[[#Totals],[11 月]]</f>
        <v>7.77027027027027E-2</v>
      </c>
      <c r="AC9" s="28">
        <f>tblExpenses[[#This Row],[12 月]]/tblExpenses[[#Totals],[12 月]]</f>
        <v>4.7619047619047616E-2</v>
      </c>
      <c r="AD9" s="28">
        <f>tblExpenses[[#This Row],[每年]]/tblExpenses[[#Totals],[每年]]</f>
        <v>5.0683561187062354E-2</v>
      </c>
    </row>
    <row r="10" spans="1:30" ht="30" customHeight="1" x14ac:dyDescent="0.25">
      <c r="B10" s="12" t="s">
        <v>54</v>
      </c>
      <c r="C10" s="26" t="s">
        <v>68</v>
      </c>
      <c r="D10" s="31">
        <v>60</v>
      </c>
      <c r="E10" s="31">
        <v>480</v>
      </c>
      <c r="F10" s="31">
        <v>180</v>
      </c>
      <c r="G10" s="31">
        <v>390</v>
      </c>
      <c r="H10" s="31">
        <v>330</v>
      </c>
      <c r="I10" s="31">
        <v>660</v>
      </c>
      <c r="J10" s="31">
        <v>630</v>
      </c>
      <c r="K10" s="31">
        <v>90</v>
      </c>
      <c r="L10" s="31">
        <v>360</v>
      </c>
      <c r="M10" s="31">
        <v>210</v>
      </c>
      <c r="N10" s="31">
        <v>510</v>
      </c>
      <c r="O10" s="31">
        <v>600</v>
      </c>
      <c r="P10" s="27">
        <f>SUM(tblExpenses[[#This Row],[欄1]:[12 月]])</f>
        <v>4500</v>
      </c>
      <c r="Q10" s="21">
        <v>0.15</v>
      </c>
      <c r="R10" s="28">
        <f>tblExpenses[[#This Row],[欄1]]/tblExpenses[[#Totals],[欄1]]</f>
        <v>8.4745762711864406E-3</v>
      </c>
      <c r="S10" s="28">
        <f>tblExpenses[[#This Row],[2 月]]/tblExpenses[[#Totals],[2 月]]</f>
        <v>7.8048780487804878E-2</v>
      </c>
      <c r="T10" s="28">
        <f>tblExpenses[[#This Row],[3 月]]/tblExpenses[[#Totals],[3 月]]</f>
        <v>2.4096385542168676E-2</v>
      </c>
      <c r="U10" s="28">
        <f>tblExpenses[[#This Row],[4 月]]/tblExpenses[[#Totals],[4 月]]</f>
        <v>4.9808429118773943E-2</v>
      </c>
      <c r="V10" s="28">
        <f>tblExpenses[[#This Row],[5 月]]/tblExpenses[[#Totals],[5 月]]</f>
        <v>4.2801556420233464E-2</v>
      </c>
      <c r="W10" s="28">
        <f>tblExpenses[[#This Row],[6 月]]/tblExpenses[[#Totals],[6 月]]</f>
        <v>8.0291970802919707E-2</v>
      </c>
      <c r="X10" s="28">
        <f>tblExpenses[[#This Row],[7 月]]/tblExpenses[[#Totals],[7 月]]</f>
        <v>7.8947368421052627E-2</v>
      </c>
      <c r="Y10" s="28">
        <f>tblExpenses[[#This Row],[8 月]]/tblExpenses[[#Totals],[8 月]]</f>
        <v>1.276595744680851E-2</v>
      </c>
      <c r="Z10" s="28">
        <f>tblExpenses[[#This Row],[9 月]]/tblExpenses[[#Totals],[9 月]]</f>
        <v>5.2173913043478258E-2</v>
      </c>
      <c r="AA10" s="28">
        <f>tblExpenses[[#This Row],[10 月]]/tblExpenses[[#Totals],[10 月]]</f>
        <v>2.7027027027027029E-2</v>
      </c>
      <c r="AB10" s="28">
        <f>tblExpenses[[#This Row],[11 月]]/tblExpenses[[#Totals],[11 月]]</f>
        <v>5.7432432432432436E-2</v>
      </c>
      <c r="AC10" s="28">
        <f>tblExpenses[[#This Row],[12 月]]/tblExpenses[[#Totals],[12 月]]</f>
        <v>8.6580086580086577E-2</v>
      </c>
      <c r="AD10" s="28">
        <f>tblExpenses[[#This Row],[每年]]/tblExpenses[[#Totals],[每年]]</f>
        <v>5.0016672224074694E-2</v>
      </c>
    </row>
    <row r="11" spans="1:30" ht="30" customHeight="1" x14ac:dyDescent="0.25">
      <c r="B11" s="12" t="s">
        <v>55</v>
      </c>
      <c r="C11" s="26" t="s">
        <v>68</v>
      </c>
      <c r="D11" s="31">
        <v>240</v>
      </c>
      <c r="E11" s="31">
        <v>510</v>
      </c>
      <c r="F11" s="31">
        <v>330</v>
      </c>
      <c r="G11" s="31">
        <v>330</v>
      </c>
      <c r="H11" s="31">
        <v>630</v>
      </c>
      <c r="I11" s="31">
        <v>270</v>
      </c>
      <c r="J11" s="31">
        <v>600</v>
      </c>
      <c r="K11" s="31">
        <v>90</v>
      </c>
      <c r="L11" s="31">
        <v>420</v>
      </c>
      <c r="M11" s="31">
        <v>660</v>
      </c>
      <c r="N11" s="31">
        <v>480</v>
      </c>
      <c r="O11" s="31">
        <v>360</v>
      </c>
      <c r="P11" s="27">
        <f>SUM(tblExpenses[[#This Row],[欄1]:[12 月]])</f>
        <v>4920</v>
      </c>
      <c r="Q11" s="21">
        <v>0.12</v>
      </c>
      <c r="R11" s="28">
        <f>tblExpenses[[#This Row],[欄1]]/tblExpenses[[#Totals],[欄1]]</f>
        <v>3.3898305084745763E-2</v>
      </c>
      <c r="S11" s="28">
        <f>tblExpenses[[#This Row],[2 月]]/tblExpenses[[#Totals],[2 月]]</f>
        <v>8.2926829268292687E-2</v>
      </c>
      <c r="T11" s="28">
        <f>tblExpenses[[#This Row],[3 月]]/tblExpenses[[#Totals],[3 月]]</f>
        <v>4.4176706827309238E-2</v>
      </c>
      <c r="U11" s="28">
        <f>tblExpenses[[#This Row],[4 月]]/tblExpenses[[#Totals],[4 月]]</f>
        <v>4.2145593869731802E-2</v>
      </c>
      <c r="V11" s="28">
        <f>tblExpenses[[#This Row],[5 月]]/tblExpenses[[#Totals],[5 月]]</f>
        <v>8.171206225680934E-2</v>
      </c>
      <c r="W11" s="28">
        <f>tblExpenses[[#This Row],[6 月]]/tblExpenses[[#Totals],[6 月]]</f>
        <v>3.2846715328467155E-2</v>
      </c>
      <c r="X11" s="28">
        <f>tblExpenses[[#This Row],[7 月]]/tblExpenses[[#Totals],[7 月]]</f>
        <v>7.5187969924812026E-2</v>
      </c>
      <c r="Y11" s="28">
        <f>tblExpenses[[#This Row],[8 月]]/tblExpenses[[#Totals],[8 月]]</f>
        <v>1.276595744680851E-2</v>
      </c>
      <c r="Z11" s="28">
        <f>tblExpenses[[#This Row],[9 月]]/tblExpenses[[#Totals],[9 月]]</f>
        <v>6.0869565217391307E-2</v>
      </c>
      <c r="AA11" s="28">
        <f>tblExpenses[[#This Row],[10 月]]/tblExpenses[[#Totals],[10 月]]</f>
        <v>8.4942084942084939E-2</v>
      </c>
      <c r="AB11" s="28">
        <f>tblExpenses[[#This Row],[11 月]]/tblExpenses[[#Totals],[11 月]]</f>
        <v>5.4054054054054057E-2</v>
      </c>
      <c r="AC11" s="28">
        <f>tblExpenses[[#This Row],[12 月]]/tblExpenses[[#Totals],[12 月]]</f>
        <v>5.1948051948051951E-2</v>
      </c>
      <c r="AD11" s="28">
        <f>tblExpenses[[#This Row],[每年]]/tblExpenses[[#Totals],[每年]]</f>
        <v>5.468489496498833E-2</v>
      </c>
    </row>
    <row r="12" spans="1:30" ht="30" customHeight="1" x14ac:dyDescent="0.25">
      <c r="B12" s="12" t="s">
        <v>56</v>
      </c>
      <c r="C12" s="26" t="s">
        <v>68</v>
      </c>
      <c r="D12" s="31">
        <v>150</v>
      </c>
      <c r="E12" s="31">
        <v>390</v>
      </c>
      <c r="F12" s="31">
        <v>180</v>
      </c>
      <c r="G12" s="31">
        <v>450</v>
      </c>
      <c r="H12" s="31">
        <v>570</v>
      </c>
      <c r="I12" s="31">
        <v>300</v>
      </c>
      <c r="J12" s="31">
        <v>360</v>
      </c>
      <c r="K12" s="31">
        <v>270</v>
      </c>
      <c r="L12" s="31">
        <v>450</v>
      </c>
      <c r="M12" s="31">
        <v>480</v>
      </c>
      <c r="N12" s="31">
        <v>120</v>
      </c>
      <c r="O12" s="31">
        <v>270</v>
      </c>
      <c r="P12" s="27">
        <f>SUM(tblExpenses[[#This Row],[欄1]:[12 月]])</f>
        <v>3990</v>
      </c>
      <c r="Q12" s="21">
        <v>0.09</v>
      </c>
      <c r="R12" s="28">
        <f>tblExpenses[[#This Row],[欄1]]/tblExpenses[[#Totals],[欄1]]</f>
        <v>2.1186440677966101E-2</v>
      </c>
      <c r="S12" s="28">
        <f>tblExpenses[[#This Row],[2 月]]/tblExpenses[[#Totals],[2 月]]</f>
        <v>6.3414634146341464E-2</v>
      </c>
      <c r="T12" s="28">
        <f>tblExpenses[[#This Row],[3 月]]/tblExpenses[[#Totals],[3 月]]</f>
        <v>2.4096385542168676E-2</v>
      </c>
      <c r="U12" s="28">
        <f>tblExpenses[[#This Row],[4 月]]/tblExpenses[[#Totals],[4 月]]</f>
        <v>5.7471264367816091E-2</v>
      </c>
      <c r="V12" s="28">
        <f>tblExpenses[[#This Row],[5 月]]/tblExpenses[[#Totals],[5 月]]</f>
        <v>7.3929961089494164E-2</v>
      </c>
      <c r="W12" s="28">
        <f>tblExpenses[[#This Row],[6 月]]/tblExpenses[[#Totals],[6 月]]</f>
        <v>3.6496350364963501E-2</v>
      </c>
      <c r="X12" s="28">
        <f>tblExpenses[[#This Row],[7 月]]/tblExpenses[[#Totals],[7 月]]</f>
        <v>4.5112781954887216E-2</v>
      </c>
      <c r="Y12" s="28">
        <f>tblExpenses[[#This Row],[8 月]]/tblExpenses[[#Totals],[8 月]]</f>
        <v>3.8297872340425532E-2</v>
      </c>
      <c r="Z12" s="28">
        <f>tblExpenses[[#This Row],[9 月]]/tblExpenses[[#Totals],[9 月]]</f>
        <v>6.5217391304347824E-2</v>
      </c>
      <c r="AA12" s="28">
        <f>tblExpenses[[#This Row],[10 月]]/tblExpenses[[#Totals],[10 月]]</f>
        <v>6.1776061776061778E-2</v>
      </c>
      <c r="AB12" s="28">
        <f>tblExpenses[[#This Row],[11 月]]/tblExpenses[[#Totals],[11 月]]</f>
        <v>1.3513513513513514E-2</v>
      </c>
      <c r="AC12" s="28">
        <f>tblExpenses[[#This Row],[12 月]]/tblExpenses[[#Totals],[12 月]]</f>
        <v>3.896103896103896E-2</v>
      </c>
      <c r="AD12" s="28">
        <f>tblExpenses[[#This Row],[每年]]/tblExpenses[[#Totals],[每年]]</f>
        <v>4.4348116038679559E-2</v>
      </c>
    </row>
    <row r="13" spans="1:30" ht="30" customHeight="1" x14ac:dyDescent="0.25">
      <c r="B13" s="12" t="s">
        <v>57</v>
      </c>
      <c r="C13" s="26" t="s">
        <v>68</v>
      </c>
      <c r="D13" s="31">
        <v>240</v>
      </c>
      <c r="E13" s="31">
        <v>120</v>
      </c>
      <c r="F13" s="31">
        <v>690</v>
      </c>
      <c r="G13" s="31">
        <v>750</v>
      </c>
      <c r="H13" s="31">
        <v>300</v>
      </c>
      <c r="I13" s="31">
        <v>720</v>
      </c>
      <c r="J13" s="31">
        <v>660</v>
      </c>
      <c r="K13" s="31">
        <v>150</v>
      </c>
      <c r="L13" s="31">
        <v>360</v>
      </c>
      <c r="M13" s="31">
        <v>720</v>
      </c>
      <c r="N13" s="31">
        <v>720</v>
      </c>
      <c r="O13" s="31">
        <v>360</v>
      </c>
      <c r="P13" s="27">
        <f>SUM(tblExpenses[[#This Row],[欄1]:[12 月]])</f>
        <v>5790</v>
      </c>
      <c r="Q13" s="21">
        <v>0.01</v>
      </c>
      <c r="R13" s="28">
        <f>tblExpenses[[#This Row],[欄1]]/tblExpenses[[#Totals],[欄1]]</f>
        <v>3.3898305084745763E-2</v>
      </c>
      <c r="S13" s="28">
        <f>tblExpenses[[#This Row],[2 月]]/tblExpenses[[#Totals],[2 月]]</f>
        <v>1.9512195121951219E-2</v>
      </c>
      <c r="T13" s="28">
        <f>tblExpenses[[#This Row],[3 月]]/tblExpenses[[#Totals],[3 月]]</f>
        <v>9.2369477911646583E-2</v>
      </c>
      <c r="U13" s="28">
        <f>tblExpenses[[#This Row],[4 月]]/tblExpenses[[#Totals],[4 月]]</f>
        <v>9.5785440613026823E-2</v>
      </c>
      <c r="V13" s="28">
        <f>tblExpenses[[#This Row],[5 月]]/tblExpenses[[#Totals],[5 月]]</f>
        <v>3.8910505836575876E-2</v>
      </c>
      <c r="W13" s="28">
        <f>tblExpenses[[#This Row],[6 月]]/tblExpenses[[#Totals],[6 月]]</f>
        <v>8.7591240875912413E-2</v>
      </c>
      <c r="X13" s="28">
        <f>tblExpenses[[#This Row],[7 月]]/tblExpenses[[#Totals],[7 月]]</f>
        <v>8.2706766917293228E-2</v>
      </c>
      <c r="Y13" s="28">
        <f>tblExpenses[[#This Row],[8 月]]/tblExpenses[[#Totals],[8 月]]</f>
        <v>2.1276595744680851E-2</v>
      </c>
      <c r="Z13" s="28">
        <f>tblExpenses[[#This Row],[9 月]]/tblExpenses[[#Totals],[9 月]]</f>
        <v>5.2173913043478258E-2</v>
      </c>
      <c r="AA13" s="28">
        <f>tblExpenses[[#This Row],[10 月]]/tblExpenses[[#Totals],[10 月]]</f>
        <v>9.2664092664092659E-2</v>
      </c>
      <c r="AB13" s="28">
        <f>tblExpenses[[#This Row],[11 月]]/tblExpenses[[#Totals],[11 月]]</f>
        <v>8.1081081081081086E-2</v>
      </c>
      <c r="AC13" s="28">
        <f>tblExpenses[[#This Row],[12 月]]/tblExpenses[[#Totals],[12 月]]</f>
        <v>5.1948051948051951E-2</v>
      </c>
      <c r="AD13" s="28">
        <f>tblExpenses[[#This Row],[每年]]/tblExpenses[[#Totals],[每年]]</f>
        <v>6.4354784928309441E-2</v>
      </c>
    </row>
    <row r="14" spans="1:30" ht="30" customHeight="1" x14ac:dyDescent="0.25">
      <c r="B14" s="12" t="s">
        <v>58</v>
      </c>
      <c r="C14" s="26" t="s">
        <v>68</v>
      </c>
      <c r="D14" s="31">
        <v>750</v>
      </c>
      <c r="E14" s="31">
        <v>60</v>
      </c>
      <c r="F14" s="31">
        <v>360</v>
      </c>
      <c r="G14" s="31">
        <v>750</v>
      </c>
      <c r="H14" s="31">
        <v>300</v>
      </c>
      <c r="I14" s="31">
        <v>720</v>
      </c>
      <c r="J14" s="31">
        <v>90</v>
      </c>
      <c r="K14" s="31">
        <v>600</v>
      </c>
      <c r="L14" s="31">
        <v>90</v>
      </c>
      <c r="M14" s="31">
        <v>270</v>
      </c>
      <c r="N14" s="31">
        <v>600</v>
      </c>
      <c r="O14" s="31">
        <v>540</v>
      </c>
      <c r="P14" s="27">
        <f>SUM(tblExpenses[[#This Row],[欄1]:[12 月]])</f>
        <v>5130</v>
      </c>
      <c r="Q14" s="21">
        <v>0.01</v>
      </c>
      <c r="R14" s="28">
        <f>tblExpenses[[#This Row],[欄1]]/tblExpenses[[#Totals],[欄1]]</f>
        <v>0.1059322033898305</v>
      </c>
      <c r="S14" s="28">
        <f>tblExpenses[[#This Row],[2 月]]/tblExpenses[[#Totals],[2 月]]</f>
        <v>9.7560975609756097E-3</v>
      </c>
      <c r="T14" s="28">
        <f>tblExpenses[[#This Row],[3 月]]/tblExpenses[[#Totals],[3 月]]</f>
        <v>4.8192771084337352E-2</v>
      </c>
      <c r="U14" s="28">
        <f>tblExpenses[[#This Row],[4 月]]/tblExpenses[[#Totals],[4 月]]</f>
        <v>9.5785440613026823E-2</v>
      </c>
      <c r="V14" s="28">
        <f>tblExpenses[[#This Row],[5 月]]/tblExpenses[[#Totals],[5 月]]</f>
        <v>3.8910505836575876E-2</v>
      </c>
      <c r="W14" s="28">
        <f>tblExpenses[[#This Row],[6 月]]/tblExpenses[[#Totals],[6 月]]</f>
        <v>8.7591240875912413E-2</v>
      </c>
      <c r="X14" s="28">
        <f>tblExpenses[[#This Row],[7 月]]/tblExpenses[[#Totals],[7 月]]</f>
        <v>1.1278195488721804E-2</v>
      </c>
      <c r="Y14" s="28">
        <f>tblExpenses[[#This Row],[8 月]]/tblExpenses[[#Totals],[8 月]]</f>
        <v>8.5106382978723402E-2</v>
      </c>
      <c r="Z14" s="28">
        <f>tblExpenses[[#This Row],[9 月]]/tblExpenses[[#Totals],[9 月]]</f>
        <v>1.3043478260869565E-2</v>
      </c>
      <c r="AA14" s="28">
        <f>tblExpenses[[#This Row],[10 月]]/tblExpenses[[#Totals],[10 月]]</f>
        <v>3.4749034749034749E-2</v>
      </c>
      <c r="AB14" s="28">
        <f>tblExpenses[[#This Row],[11 月]]/tblExpenses[[#Totals],[11 月]]</f>
        <v>6.7567567567567571E-2</v>
      </c>
      <c r="AC14" s="28">
        <f>tblExpenses[[#This Row],[12 月]]/tblExpenses[[#Totals],[12 月]]</f>
        <v>7.792207792207792E-2</v>
      </c>
      <c r="AD14" s="28">
        <f>tblExpenses[[#This Row],[每年]]/tblExpenses[[#Totals],[每年]]</f>
        <v>5.7019006335445148E-2</v>
      </c>
    </row>
    <row r="15" spans="1:30" ht="30" customHeight="1" x14ac:dyDescent="0.25">
      <c r="B15" s="12" t="s">
        <v>59</v>
      </c>
      <c r="C15" s="26" t="s">
        <v>68</v>
      </c>
      <c r="D15" s="31">
        <v>480</v>
      </c>
      <c r="E15" s="31">
        <v>570</v>
      </c>
      <c r="F15" s="31">
        <v>270</v>
      </c>
      <c r="G15" s="31">
        <v>480</v>
      </c>
      <c r="H15" s="31">
        <v>390</v>
      </c>
      <c r="I15" s="31">
        <v>60</v>
      </c>
      <c r="J15" s="31">
        <v>120</v>
      </c>
      <c r="K15" s="31">
        <v>720</v>
      </c>
      <c r="L15" s="31">
        <v>480</v>
      </c>
      <c r="M15" s="31">
        <v>660</v>
      </c>
      <c r="N15" s="31">
        <v>210</v>
      </c>
      <c r="O15" s="31">
        <v>540</v>
      </c>
      <c r="P15" s="27">
        <f>SUM(tblExpenses[[#This Row],[欄1]:[12 月]])</f>
        <v>4980</v>
      </c>
      <c r="Q15" s="21">
        <v>0.01</v>
      </c>
      <c r="R15" s="28">
        <f>tblExpenses[[#This Row],[欄1]]/tblExpenses[[#Totals],[欄1]]</f>
        <v>6.7796610169491525E-2</v>
      </c>
      <c r="S15" s="28">
        <f>tblExpenses[[#This Row],[2 月]]/tblExpenses[[#Totals],[2 月]]</f>
        <v>9.2682926829268292E-2</v>
      </c>
      <c r="T15" s="28">
        <f>tblExpenses[[#This Row],[3 月]]/tblExpenses[[#Totals],[3 月]]</f>
        <v>3.614457831325301E-2</v>
      </c>
      <c r="U15" s="28">
        <f>tblExpenses[[#This Row],[4 月]]/tblExpenses[[#Totals],[4 月]]</f>
        <v>6.1302681992337162E-2</v>
      </c>
      <c r="V15" s="28">
        <f>tblExpenses[[#This Row],[5 月]]/tblExpenses[[#Totals],[5 月]]</f>
        <v>5.0583657587548639E-2</v>
      </c>
      <c r="W15" s="28">
        <f>tblExpenses[[#This Row],[6 月]]/tblExpenses[[#Totals],[6 月]]</f>
        <v>7.2992700729927005E-3</v>
      </c>
      <c r="X15" s="28">
        <f>tblExpenses[[#This Row],[7 月]]/tblExpenses[[#Totals],[7 月]]</f>
        <v>1.5037593984962405E-2</v>
      </c>
      <c r="Y15" s="28">
        <f>tblExpenses[[#This Row],[8 月]]/tblExpenses[[#Totals],[8 月]]</f>
        <v>0.10212765957446808</v>
      </c>
      <c r="Z15" s="28">
        <f>tblExpenses[[#This Row],[9 月]]/tblExpenses[[#Totals],[9 月]]</f>
        <v>6.9565217391304349E-2</v>
      </c>
      <c r="AA15" s="28">
        <f>tblExpenses[[#This Row],[10 月]]/tblExpenses[[#Totals],[10 月]]</f>
        <v>8.4942084942084939E-2</v>
      </c>
      <c r="AB15" s="28">
        <f>tblExpenses[[#This Row],[11 月]]/tblExpenses[[#Totals],[11 月]]</f>
        <v>2.364864864864865E-2</v>
      </c>
      <c r="AC15" s="28">
        <f>tblExpenses[[#This Row],[12 月]]/tblExpenses[[#Totals],[12 月]]</f>
        <v>7.792207792207792E-2</v>
      </c>
      <c r="AD15" s="28">
        <f>tblExpenses[[#This Row],[每年]]/tblExpenses[[#Totals],[每年]]</f>
        <v>5.5351783927975989E-2</v>
      </c>
    </row>
    <row r="16" spans="1:30" ht="30" customHeight="1" x14ac:dyDescent="0.25">
      <c r="B16" s="12" t="s">
        <v>60</v>
      </c>
      <c r="C16" s="26" t="s">
        <v>68</v>
      </c>
      <c r="D16" s="31">
        <v>360</v>
      </c>
      <c r="E16" s="31">
        <v>270</v>
      </c>
      <c r="F16" s="31">
        <v>480</v>
      </c>
      <c r="G16" s="31">
        <v>570</v>
      </c>
      <c r="H16" s="31">
        <v>750</v>
      </c>
      <c r="I16" s="31">
        <v>510</v>
      </c>
      <c r="J16" s="31">
        <v>600</v>
      </c>
      <c r="K16" s="31">
        <v>420</v>
      </c>
      <c r="L16" s="31">
        <v>150</v>
      </c>
      <c r="M16" s="31">
        <v>420</v>
      </c>
      <c r="N16" s="31">
        <v>150</v>
      </c>
      <c r="O16" s="31">
        <v>60</v>
      </c>
      <c r="P16" s="27">
        <f>SUM(tblExpenses[[#This Row],[欄1]:[12 月]])</f>
        <v>4740</v>
      </c>
      <c r="Q16" s="21">
        <v>0.01</v>
      </c>
      <c r="R16" s="28">
        <f>tblExpenses[[#This Row],[欄1]]/tblExpenses[[#Totals],[欄1]]</f>
        <v>5.0847457627118647E-2</v>
      </c>
      <c r="S16" s="28">
        <f>tblExpenses[[#This Row],[2 月]]/tblExpenses[[#Totals],[2 月]]</f>
        <v>4.3902439024390241E-2</v>
      </c>
      <c r="T16" s="28">
        <f>tblExpenses[[#This Row],[3 月]]/tblExpenses[[#Totals],[3 月]]</f>
        <v>6.4257028112449793E-2</v>
      </c>
      <c r="U16" s="28">
        <f>tblExpenses[[#This Row],[4 月]]/tblExpenses[[#Totals],[4 月]]</f>
        <v>7.2796934865900387E-2</v>
      </c>
      <c r="V16" s="28">
        <f>tblExpenses[[#This Row],[5 月]]/tblExpenses[[#Totals],[5 月]]</f>
        <v>9.727626459143969E-2</v>
      </c>
      <c r="W16" s="28">
        <f>tblExpenses[[#This Row],[6 月]]/tblExpenses[[#Totals],[6 月]]</f>
        <v>6.2043795620437957E-2</v>
      </c>
      <c r="X16" s="28">
        <f>tblExpenses[[#This Row],[7 月]]/tblExpenses[[#Totals],[7 月]]</f>
        <v>7.5187969924812026E-2</v>
      </c>
      <c r="Y16" s="28">
        <f>tblExpenses[[#This Row],[8 月]]/tblExpenses[[#Totals],[8 月]]</f>
        <v>5.9574468085106386E-2</v>
      </c>
      <c r="Z16" s="28">
        <f>tblExpenses[[#This Row],[9 月]]/tblExpenses[[#Totals],[9 月]]</f>
        <v>2.1739130434782608E-2</v>
      </c>
      <c r="AA16" s="28">
        <f>tblExpenses[[#This Row],[10 月]]/tblExpenses[[#Totals],[10 月]]</f>
        <v>5.4054054054054057E-2</v>
      </c>
      <c r="AB16" s="28">
        <f>tblExpenses[[#This Row],[11 月]]/tblExpenses[[#Totals],[11 月]]</f>
        <v>1.6891891891891893E-2</v>
      </c>
      <c r="AC16" s="28">
        <f>tblExpenses[[#This Row],[12 月]]/tblExpenses[[#Totals],[12 月]]</f>
        <v>8.658008658008658E-3</v>
      </c>
      <c r="AD16" s="28">
        <f>tblExpenses[[#This Row],[每年]]/tblExpenses[[#Totals],[每年]]</f>
        <v>5.2684228076025338E-2</v>
      </c>
    </row>
    <row r="17" spans="1:30" ht="30" customHeight="1" x14ac:dyDescent="0.25">
      <c r="B17" s="12" t="s">
        <v>61</v>
      </c>
      <c r="C17" s="26" t="s">
        <v>68</v>
      </c>
      <c r="D17" s="31">
        <v>480</v>
      </c>
      <c r="E17" s="31">
        <v>390</v>
      </c>
      <c r="F17" s="31">
        <v>300</v>
      </c>
      <c r="G17" s="31">
        <v>210</v>
      </c>
      <c r="H17" s="31">
        <v>390</v>
      </c>
      <c r="I17" s="31">
        <v>90</v>
      </c>
      <c r="J17" s="31">
        <v>390</v>
      </c>
      <c r="K17" s="31">
        <v>510</v>
      </c>
      <c r="L17" s="31">
        <v>270</v>
      </c>
      <c r="M17" s="31">
        <v>120</v>
      </c>
      <c r="N17" s="31">
        <v>660</v>
      </c>
      <c r="O17" s="31">
        <v>540</v>
      </c>
      <c r="P17" s="27">
        <f>SUM(tblExpenses[[#This Row],[欄1]:[12 月]])</f>
        <v>4350</v>
      </c>
      <c r="Q17" s="21">
        <v>0.14000000000000001</v>
      </c>
      <c r="R17" s="28">
        <f>tblExpenses[[#This Row],[欄1]]/tblExpenses[[#Totals],[欄1]]</f>
        <v>6.7796610169491525E-2</v>
      </c>
      <c r="S17" s="28">
        <f>tblExpenses[[#This Row],[2 月]]/tblExpenses[[#Totals],[2 月]]</f>
        <v>6.3414634146341464E-2</v>
      </c>
      <c r="T17" s="28">
        <f>tblExpenses[[#This Row],[3 月]]/tblExpenses[[#Totals],[3 月]]</f>
        <v>4.0160642570281124E-2</v>
      </c>
      <c r="U17" s="28">
        <f>tblExpenses[[#This Row],[4 月]]/tblExpenses[[#Totals],[4 月]]</f>
        <v>2.681992337164751E-2</v>
      </c>
      <c r="V17" s="28">
        <f>tblExpenses[[#This Row],[5 月]]/tblExpenses[[#Totals],[5 月]]</f>
        <v>5.0583657587548639E-2</v>
      </c>
      <c r="W17" s="28">
        <f>tblExpenses[[#This Row],[6 月]]/tblExpenses[[#Totals],[6 月]]</f>
        <v>1.0948905109489052E-2</v>
      </c>
      <c r="X17" s="28">
        <f>tblExpenses[[#This Row],[7 月]]/tblExpenses[[#Totals],[7 月]]</f>
        <v>4.8872180451127817E-2</v>
      </c>
      <c r="Y17" s="28">
        <f>tblExpenses[[#This Row],[8 月]]/tblExpenses[[#Totals],[8 月]]</f>
        <v>7.2340425531914887E-2</v>
      </c>
      <c r="Z17" s="28">
        <f>tblExpenses[[#This Row],[9 月]]/tblExpenses[[#Totals],[9 月]]</f>
        <v>3.9130434782608699E-2</v>
      </c>
      <c r="AA17" s="28">
        <f>tblExpenses[[#This Row],[10 月]]/tblExpenses[[#Totals],[10 月]]</f>
        <v>1.5444015444015444E-2</v>
      </c>
      <c r="AB17" s="28">
        <f>tblExpenses[[#This Row],[11 月]]/tblExpenses[[#Totals],[11 月]]</f>
        <v>7.4324324324324328E-2</v>
      </c>
      <c r="AC17" s="28">
        <f>tblExpenses[[#This Row],[12 月]]/tblExpenses[[#Totals],[12 月]]</f>
        <v>7.792207792207792E-2</v>
      </c>
      <c r="AD17" s="28">
        <f>tblExpenses[[#This Row],[每年]]/tblExpenses[[#Totals],[每年]]</f>
        <v>4.8349449816605536E-2</v>
      </c>
    </row>
    <row r="18" spans="1:30" ht="30" customHeight="1" x14ac:dyDescent="0.25">
      <c r="B18" s="12" t="s">
        <v>62</v>
      </c>
      <c r="C18" s="26" t="s">
        <v>68</v>
      </c>
      <c r="D18" s="31">
        <v>90</v>
      </c>
      <c r="E18" s="31">
        <v>60</v>
      </c>
      <c r="F18" s="31">
        <v>570</v>
      </c>
      <c r="G18" s="31">
        <v>630</v>
      </c>
      <c r="H18" s="31">
        <v>390</v>
      </c>
      <c r="I18" s="31">
        <v>270</v>
      </c>
      <c r="J18" s="31">
        <v>210</v>
      </c>
      <c r="K18" s="31">
        <v>390</v>
      </c>
      <c r="L18" s="31">
        <v>90</v>
      </c>
      <c r="M18" s="31">
        <v>180</v>
      </c>
      <c r="N18" s="31">
        <v>300</v>
      </c>
      <c r="O18" s="31">
        <v>390</v>
      </c>
      <c r="P18" s="27">
        <f>SUM(tblExpenses[[#This Row],[欄1]:[12 月]])</f>
        <v>3570</v>
      </c>
      <c r="Q18" s="21">
        <v>0.06</v>
      </c>
      <c r="R18" s="28">
        <f>tblExpenses[[#This Row],[欄1]]/tblExpenses[[#Totals],[欄1]]</f>
        <v>1.2711864406779662E-2</v>
      </c>
      <c r="S18" s="28">
        <f>tblExpenses[[#This Row],[2 月]]/tblExpenses[[#Totals],[2 月]]</f>
        <v>9.7560975609756097E-3</v>
      </c>
      <c r="T18" s="28">
        <f>tblExpenses[[#This Row],[3 月]]/tblExpenses[[#Totals],[3 月]]</f>
        <v>7.6305220883534142E-2</v>
      </c>
      <c r="U18" s="28">
        <f>tblExpenses[[#This Row],[4 月]]/tblExpenses[[#Totals],[4 月]]</f>
        <v>8.0459770114942528E-2</v>
      </c>
      <c r="V18" s="28">
        <f>tblExpenses[[#This Row],[5 月]]/tblExpenses[[#Totals],[5 月]]</f>
        <v>5.0583657587548639E-2</v>
      </c>
      <c r="W18" s="28">
        <f>tblExpenses[[#This Row],[6 月]]/tblExpenses[[#Totals],[6 月]]</f>
        <v>3.2846715328467155E-2</v>
      </c>
      <c r="X18" s="28">
        <f>tblExpenses[[#This Row],[7 月]]/tblExpenses[[#Totals],[7 月]]</f>
        <v>2.6315789473684209E-2</v>
      </c>
      <c r="Y18" s="28">
        <f>tblExpenses[[#This Row],[8 月]]/tblExpenses[[#Totals],[8 月]]</f>
        <v>5.5319148936170209E-2</v>
      </c>
      <c r="Z18" s="28">
        <f>tblExpenses[[#This Row],[9 月]]/tblExpenses[[#Totals],[9 月]]</f>
        <v>1.3043478260869565E-2</v>
      </c>
      <c r="AA18" s="28">
        <f>tblExpenses[[#This Row],[10 月]]/tblExpenses[[#Totals],[10 月]]</f>
        <v>2.3166023166023165E-2</v>
      </c>
      <c r="AB18" s="28">
        <f>tblExpenses[[#This Row],[11 月]]/tblExpenses[[#Totals],[11 月]]</f>
        <v>3.3783783783783786E-2</v>
      </c>
      <c r="AC18" s="28">
        <f>tblExpenses[[#This Row],[12 月]]/tblExpenses[[#Totals],[12 月]]</f>
        <v>5.627705627705628E-2</v>
      </c>
      <c r="AD18" s="28">
        <f>tblExpenses[[#This Row],[每年]]/tblExpenses[[#Totals],[每年]]</f>
        <v>3.9679893297765924E-2</v>
      </c>
    </row>
    <row r="19" spans="1:30" ht="30" customHeight="1" x14ac:dyDescent="0.25">
      <c r="B19" s="12" t="s">
        <v>63</v>
      </c>
      <c r="C19" s="26" t="s">
        <v>68</v>
      </c>
      <c r="D19" s="31">
        <v>240</v>
      </c>
      <c r="E19" s="31">
        <v>210</v>
      </c>
      <c r="F19" s="31">
        <v>180</v>
      </c>
      <c r="G19" s="31">
        <v>210</v>
      </c>
      <c r="H19" s="31">
        <v>210</v>
      </c>
      <c r="I19" s="31">
        <v>180</v>
      </c>
      <c r="J19" s="31">
        <v>450</v>
      </c>
      <c r="K19" s="31">
        <v>690</v>
      </c>
      <c r="L19" s="31">
        <v>630</v>
      </c>
      <c r="M19" s="31">
        <v>480</v>
      </c>
      <c r="N19" s="31">
        <v>570</v>
      </c>
      <c r="O19" s="31">
        <v>210</v>
      </c>
      <c r="P19" s="27">
        <f>SUM(tblExpenses[[#This Row],[欄1]:[12 月]])</f>
        <v>4260</v>
      </c>
      <c r="Q19" s="21">
        <v>0.01</v>
      </c>
      <c r="R19" s="28">
        <f>tblExpenses[[#This Row],[欄1]]/tblExpenses[[#Totals],[欄1]]</f>
        <v>3.3898305084745763E-2</v>
      </c>
      <c r="S19" s="28">
        <f>tblExpenses[[#This Row],[2 月]]/tblExpenses[[#Totals],[2 月]]</f>
        <v>3.4146341463414637E-2</v>
      </c>
      <c r="T19" s="28">
        <f>tblExpenses[[#This Row],[3 月]]/tblExpenses[[#Totals],[3 月]]</f>
        <v>2.4096385542168676E-2</v>
      </c>
      <c r="U19" s="28">
        <f>tblExpenses[[#This Row],[4 月]]/tblExpenses[[#Totals],[4 月]]</f>
        <v>2.681992337164751E-2</v>
      </c>
      <c r="V19" s="28">
        <f>tblExpenses[[#This Row],[5 月]]/tblExpenses[[#Totals],[5 月]]</f>
        <v>2.7237354085603113E-2</v>
      </c>
      <c r="W19" s="28">
        <f>tblExpenses[[#This Row],[6 月]]/tblExpenses[[#Totals],[6 月]]</f>
        <v>2.1897810218978103E-2</v>
      </c>
      <c r="X19" s="28">
        <f>tblExpenses[[#This Row],[7 月]]/tblExpenses[[#Totals],[7 月]]</f>
        <v>5.6390977443609019E-2</v>
      </c>
      <c r="Y19" s="28">
        <f>tblExpenses[[#This Row],[8 月]]/tblExpenses[[#Totals],[8 月]]</f>
        <v>9.7872340425531917E-2</v>
      </c>
      <c r="Z19" s="28">
        <f>tblExpenses[[#This Row],[9 月]]/tblExpenses[[#Totals],[9 月]]</f>
        <v>9.1304347826086957E-2</v>
      </c>
      <c r="AA19" s="28">
        <f>tblExpenses[[#This Row],[10 月]]/tblExpenses[[#Totals],[10 月]]</f>
        <v>6.1776061776061778E-2</v>
      </c>
      <c r="AB19" s="28">
        <f>tblExpenses[[#This Row],[11 月]]/tblExpenses[[#Totals],[11 月]]</f>
        <v>6.4189189189189186E-2</v>
      </c>
      <c r="AC19" s="28">
        <f>tblExpenses[[#This Row],[12 月]]/tblExpenses[[#Totals],[12 月]]</f>
        <v>3.0303030303030304E-2</v>
      </c>
      <c r="AD19" s="28">
        <f>tblExpenses[[#This Row],[每年]]/tblExpenses[[#Totals],[每年]]</f>
        <v>4.7349116372124044E-2</v>
      </c>
    </row>
    <row r="20" spans="1:30" ht="30" customHeight="1" x14ac:dyDescent="0.25">
      <c r="B20" s="12" t="s">
        <v>64</v>
      </c>
      <c r="C20" s="26" t="s">
        <v>68</v>
      </c>
      <c r="D20" s="31">
        <v>420</v>
      </c>
      <c r="E20" s="31">
        <v>120</v>
      </c>
      <c r="F20" s="31">
        <v>720</v>
      </c>
      <c r="G20" s="31">
        <v>180</v>
      </c>
      <c r="H20" s="31">
        <v>600</v>
      </c>
      <c r="I20" s="31">
        <v>420</v>
      </c>
      <c r="J20" s="31">
        <v>630</v>
      </c>
      <c r="K20" s="31">
        <v>600</v>
      </c>
      <c r="L20" s="31">
        <v>660</v>
      </c>
      <c r="M20" s="31">
        <v>90</v>
      </c>
      <c r="N20" s="31">
        <v>420</v>
      </c>
      <c r="O20" s="31">
        <v>180</v>
      </c>
      <c r="P20" s="27">
        <f>SUM(tblExpenses[[#This Row],[欄1]:[12 月]])</f>
        <v>5040</v>
      </c>
      <c r="Q20" s="21">
        <v>0.01</v>
      </c>
      <c r="R20" s="28">
        <f>tblExpenses[[#This Row],[欄1]]/tblExpenses[[#Totals],[欄1]]</f>
        <v>5.9322033898305086E-2</v>
      </c>
      <c r="S20" s="28">
        <f>tblExpenses[[#This Row],[2 月]]/tblExpenses[[#Totals],[2 月]]</f>
        <v>1.9512195121951219E-2</v>
      </c>
      <c r="T20" s="28">
        <f>tblExpenses[[#This Row],[3 月]]/tblExpenses[[#Totals],[3 月]]</f>
        <v>9.6385542168674704E-2</v>
      </c>
      <c r="U20" s="28">
        <f>tblExpenses[[#This Row],[4 月]]/tblExpenses[[#Totals],[4 月]]</f>
        <v>2.2988505747126436E-2</v>
      </c>
      <c r="V20" s="28">
        <f>tblExpenses[[#This Row],[5 月]]/tblExpenses[[#Totals],[5 月]]</f>
        <v>7.7821011673151752E-2</v>
      </c>
      <c r="W20" s="28">
        <f>tblExpenses[[#This Row],[6 月]]/tblExpenses[[#Totals],[6 月]]</f>
        <v>5.1094890510948905E-2</v>
      </c>
      <c r="X20" s="28">
        <f>tblExpenses[[#This Row],[7 月]]/tblExpenses[[#Totals],[7 月]]</f>
        <v>7.8947368421052627E-2</v>
      </c>
      <c r="Y20" s="28">
        <f>tblExpenses[[#This Row],[8 月]]/tblExpenses[[#Totals],[8 月]]</f>
        <v>8.5106382978723402E-2</v>
      </c>
      <c r="Z20" s="28">
        <f>tblExpenses[[#This Row],[9 月]]/tblExpenses[[#Totals],[9 月]]</f>
        <v>9.5652173913043481E-2</v>
      </c>
      <c r="AA20" s="28">
        <f>tblExpenses[[#This Row],[10 月]]/tblExpenses[[#Totals],[10 月]]</f>
        <v>1.1583011583011582E-2</v>
      </c>
      <c r="AB20" s="28">
        <f>tblExpenses[[#This Row],[11 月]]/tblExpenses[[#Totals],[11 月]]</f>
        <v>4.72972972972973E-2</v>
      </c>
      <c r="AC20" s="28">
        <f>tblExpenses[[#This Row],[12 月]]/tblExpenses[[#Totals],[12 月]]</f>
        <v>2.5974025974025976E-2</v>
      </c>
      <c r="AD20" s="28">
        <f>tblExpenses[[#This Row],[每年]]/tblExpenses[[#Totals],[每年]]</f>
        <v>5.6018672890963656E-2</v>
      </c>
    </row>
    <row r="21" spans="1:30" ht="30" customHeight="1" x14ac:dyDescent="0.25">
      <c r="B21" s="12" t="s">
        <v>64</v>
      </c>
      <c r="C21" s="26" t="s">
        <v>68</v>
      </c>
      <c r="D21" s="31">
        <v>420</v>
      </c>
      <c r="E21" s="31">
        <v>210</v>
      </c>
      <c r="F21" s="31">
        <v>720</v>
      </c>
      <c r="G21" s="31">
        <v>300</v>
      </c>
      <c r="H21" s="31">
        <v>210</v>
      </c>
      <c r="I21" s="31">
        <v>720</v>
      </c>
      <c r="J21" s="31">
        <v>60</v>
      </c>
      <c r="K21" s="31">
        <v>330</v>
      </c>
      <c r="L21" s="31">
        <v>630</v>
      </c>
      <c r="M21" s="31">
        <v>570</v>
      </c>
      <c r="N21" s="31">
        <v>570</v>
      </c>
      <c r="O21" s="31">
        <v>600</v>
      </c>
      <c r="P21" s="27">
        <f>SUM(tblExpenses[[#This Row],[欄1]:[12 月]])</f>
        <v>5340</v>
      </c>
      <c r="Q21" s="21">
        <v>0.01</v>
      </c>
      <c r="R21" s="28">
        <f>tblExpenses[[#This Row],[欄1]]/tblExpenses[[#Totals],[欄1]]</f>
        <v>5.9322033898305086E-2</v>
      </c>
      <c r="S21" s="28">
        <f>tblExpenses[[#This Row],[2 月]]/tblExpenses[[#Totals],[2 月]]</f>
        <v>3.4146341463414637E-2</v>
      </c>
      <c r="T21" s="28">
        <f>tblExpenses[[#This Row],[3 月]]/tblExpenses[[#Totals],[3 月]]</f>
        <v>9.6385542168674704E-2</v>
      </c>
      <c r="U21" s="28">
        <f>tblExpenses[[#This Row],[4 月]]/tblExpenses[[#Totals],[4 月]]</f>
        <v>3.8314176245210725E-2</v>
      </c>
      <c r="V21" s="28">
        <f>tblExpenses[[#This Row],[5 月]]/tblExpenses[[#Totals],[5 月]]</f>
        <v>2.7237354085603113E-2</v>
      </c>
      <c r="W21" s="28">
        <f>tblExpenses[[#This Row],[6 月]]/tblExpenses[[#Totals],[6 月]]</f>
        <v>8.7591240875912413E-2</v>
      </c>
      <c r="X21" s="28">
        <f>tblExpenses[[#This Row],[7 月]]/tblExpenses[[#Totals],[7 月]]</f>
        <v>7.5187969924812026E-3</v>
      </c>
      <c r="Y21" s="28">
        <f>tblExpenses[[#This Row],[8 月]]/tblExpenses[[#Totals],[8 月]]</f>
        <v>4.6808510638297871E-2</v>
      </c>
      <c r="Z21" s="28">
        <f>tblExpenses[[#This Row],[9 月]]/tblExpenses[[#Totals],[9 月]]</f>
        <v>9.1304347826086957E-2</v>
      </c>
      <c r="AA21" s="28">
        <f>tblExpenses[[#This Row],[10 月]]/tblExpenses[[#Totals],[10 月]]</f>
        <v>7.3359073359073365E-2</v>
      </c>
      <c r="AB21" s="28">
        <f>tblExpenses[[#This Row],[11 月]]/tblExpenses[[#Totals],[11 月]]</f>
        <v>6.4189189189189186E-2</v>
      </c>
      <c r="AC21" s="28">
        <f>tblExpenses[[#This Row],[12 月]]/tblExpenses[[#Totals],[12 月]]</f>
        <v>8.6580086580086577E-2</v>
      </c>
      <c r="AD21" s="28">
        <f>tblExpenses[[#This Row],[每年]]/tblExpenses[[#Totals],[每年]]</f>
        <v>5.9353117705901966E-2</v>
      </c>
    </row>
    <row r="22" spans="1:30" ht="30" customHeight="1" x14ac:dyDescent="0.25">
      <c r="A22" s="1"/>
      <c r="B22" s="12" t="s">
        <v>64</v>
      </c>
      <c r="C22" s="26" t="s">
        <v>68</v>
      </c>
      <c r="D22" s="31">
        <v>330</v>
      </c>
      <c r="E22" s="31">
        <v>240</v>
      </c>
      <c r="F22" s="31">
        <v>750</v>
      </c>
      <c r="G22" s="31">
        <v>330</v>
      </c>
      <c r="H22" s="31">
        <v>270</v>
      </c>
      <c r="I22" s="31">
        <v>720</v>
      </c>
      <c r="J22" s="31">
        <v>390</v>
      </c>
      <c r="K22" s="31">
        <v>420</v>
      </c>
      <c r="L22" s="31">
        <v>570</v>
      </c>
      <c r="M22" s="31">
        <v>720</v>
      </c>
      <c r="N22" s="31">
        <v>450</v>
      </c>
      <c r="O22" s="31">
        <v>210</v>
      </c>
      <c r="P22" s="27">
        <f>SUM(tblExpenses[[#This Row],[欄1]:[12 月]])</f>
        <v>5400</v>
      </c>
      <c r="Q22" s="21">
        <v>0.01</v>
      </c>
      <c r="R22" s="28">
        <f>tblExpenses[[#This Row],[欄1]]/tblExpenses[[#Totals],[欄1]]</f>
        <v>4.6610169491525424E-2</v>
      </c>
      <c r="S22" s="28">
        <f>tblExpenses[[#This Row],[2 月]]/tblExpenses[[#Totals],[2 月]]</f>
        <v>3.9024390243902439E-2</v>
      </c>
      <c r="T22" s="28">
        <f>tblExpenses[[#This Row],[3 月]]/tblExpenses[[#Totals],[3 月]]</f>
        <v>0.10040160642570281</v>
      </c>
      <c r="U22" s="28">
        <f>tblExpenses[[#This Row],[4 月]]/tblExpenses[[#Totals],[4 月]]</f>
        <v>4.2145593869731802E-2</v>
      </c>
      <c r="V22" s="28">
        <f>tblExpenses[[#This Row],[5 月]]/tblExpenses[[#Totals],[5 月]]</f>
        <v>3.5019455252918288E-2</v>
      </c>
      <c r="W22" s="28">
        <f>tblExpenses[[#This Row],[6 月]]/tblExpenses[[#Totals],[6 月]]</f>
        <v>8.7591240875912413E-2</v>
      </c>
      <c r="X22" s="28">
        <f>tblExpenses[[#This Row],[7 月]]/tblExpenses[[#Totals],[7 月]]</f>
        <v>4.8872180451127817E-2</v>
      </c>
      <c r="Y22" s="28">
        <f>tblExpenses[[#This Row],[8 月]]/tblExpenses[[#Totals],[8 月]]</f>
        <v>5.9574468085106386E-2</v>
      </c>
      <c r="Z22" s="28">
        <f>tblExpenses[[#This Row],[9 月]]/tblExpenses[[#Totals],[9 月]]</f>
        <v>8.2608695652173908E-2</v>
      </c>
      <c r="AA22" s="28">
        <f>tblExpenses[[#This Row],[10 月]]/tblExpenses[[#Totals],[10 月]]</f>
        <v>9.2664092664092659E-2</v>
      </c>
      <c r="AB22" s="28">
        <f>tblExpenses[[#This Row],[11 月]]/tblExpenses[[#Totals],[11 月]]</f>
        <v>5.0675675675675678E-2</v>
      </c>
      <c r="AC22" s="28">
        <f>tblExpenses[[#This Row],[12 月]]/tblExpenses[[#Totals],[12 月]]</f>
        <v>3.0303030303030304E-2</v>
      </c>
      <c r="AD22" s="28">
        <f>tblExpenses[[#This Row],[每年]]/tblExpenses[[#Totals],[每年]]</f>
        <v>6.0020006668889632E-2</v>
      </c>
    </row>
    <row r="23" spans="1:30" ht="30" customHeight="1" x14ac:dyDescent="0.25">
      <c r="A23" s="2"/>
      <c r="B23" s="12" t="s">
        <v>65</v>
      </c>
      <c r="C23" s="26" t="s">
        <v>68</v>
      </c>
      <c r="D23" s="31">
        <v>240</v>
      </c>
      <c r="E23" s="31">
        <v>600</v>
      </c>
      <c r="F23" s="31">
        <v>330</v>
      </c>
      <c r="G23" s="31">
        <v>330</v>
      </c>
      <c r="H23" s="31">
        <v>330</v>
      </c>
      <c r="I23" s="31">
        <v>600</v>
      </c>
      <c r="J23" s="31">
        <v>360</v>
      </c>
      <c r="K23" s="31">
        <v>480</v>
      </c>
      <c r="L23" s="31">
        <v>150</v>
      </c>
      <c r="M23" s="31">
        <v>210</v>
      </c>
      <c r="N23" s="31">
        <v>630</v>
      </c>
      <c r="O23" s="31">
        <v>90</v>
      </c>
      <c r="P23" s="27">
        <f>SUM(tblExpenses[[#This Row],[欄1]:[12 月]])</f>
        <v>4350</v>
      </c>
      <c r="Q23" s="21">
        <v>0.02</v>
      </c>
      <c r="R23" s="28">
        <f>tblExpenses[[#This Row],[欄1]]/tblExpenses[[#Totals],[欄1]]</f>
        <v>3.3898305084745763E-2</v>
      </c>
      <c r="S23" s="28">
        <f>tblExpenses[[#This Row],[2 月]]/tblExpenses[[#Totals],[2 月]]</f>
        <v>9.7560975609756101E-2</v>
      </c>
      <c r="T23" s="28">
        <f>tblExpenses[[#This Row],[3 月]]/tblExpenses[[#Totals],[3 月]]</f>
        <v>4.4176706827309238E-2</v>
      </c>
      <c r="U23" s="28">
        <f>tblExpenses[[#This Row],[4 月]]/tblExpenses[[#Totals],[4 月]]</f>
        <v>4.2145593869731802E-2</v>
      </c>
      <c r="V23" s="28">
        <f>tblExpenses[[#This Row],[5 月]]/tblExpenses[[#Totals],[5 月]]</f>
        <v>4.2801556420233464E-2</v>
      </c>
      <c r="W23" s="28">
        <f>tblExpenses[[#This Row],[6 月]]/tblExpenses[[#Totals],[6 月]]</f>
        <v>7.2992700729927001E-2</v>
      </c>
      <c r="X23" s="28">
        <f>tblExpenses[[#This Row],[7 月]]/tblExpenses[[#Totals],[7 月]]</f>
        <v>4.5112781954887216E-2</v>
      </c>
      <c r="Y23" s="28">
        <f>tblExpenses[[#This Row],[8 月]]/tblExpenses[[#Totals],[8 月]]</f>
        <v>6.8085106382978725E-2</v>
      </c>
      <c r="Z23" s="28">
        <f>tblExpenses[[#This Row],[9 月]]/tblExpenses[[#Totals],[9 月]]</f>
        <v>2.1739130434782608E-2</v>
      </c>
      <c r="AA23" s="28">
        <f>tblExpenses[[#This Row],[10 月]]/tblExpenses[[#Totals],[10 月]]</f>
        <v>2.7027027027027029E-2</v>
      </c>
      <c r="AB23" s="28">
        <f>tblExpenses[[#This Row],[11 月]]/tblExpenses[[#Totals],[11 月]]</f>
        <v>7.0945945945945943E-2</v>
      </c>
      <c r="AC23" s="28">
        <f>tblExpenses[[#This Row],[12 月]]/tblExpenses[[#Totals],[12 月]]</f>
        <v>1.2987012987012988E-2</v>
      </c>
      <c r="AD23" s="28">
        <f>tblExpenses[[#This Row],[每年]]/tblExpenses[[#Totals],[每年]]</f>
        <v>4.8349449816605536E-2</v>
      </c>
    </row>
    <row r="24" spans="1:30" s="8" customFormat="1" ht="30" customHeight="1" x14ac:dyDescent="0.25">
      <c r="B24" s="6" t="s">
        <v>66</v>
      </c>
      <c r="C24" s="64"/>
      <c r="D24" s="30">
        <f>SUBTOTAL(109,tblExpenses[欄1])</f>
        <v>7080</v>
      </c>
      <c r="E24" s="30">
        <f>SUBTOTAL(109,tblExpenses[2 月])</f>
        <v>6150</v>
      </c>
      <c r="F24" s="30">
        <f>SUBTOTAL(109,tblExpenses[3 月])</f>
        <v>7470</v>
      </c>
      <c r="G24" s="30">
        <f>SUBTOTAL(109,tblExpenses[4 月])</f>
        <v>7830</v>
      </c>
      <c r="H24" s="30">
        <f>SUBTOTAL(109,tblExpenses[5 月])</f>
        <v>7710</v>
      </c>
      <c r="I24" s="30">
        <f>SUBTOTAL(109,tblExpenses[6 月])</f>
        <v>8220</v>
      </c>
      <c r="J24" s="30">
        <f>SUBTOTAL(109,tblExpenses[7 月])</f>
        <v>7980</v>
      </c>
      <c r="K24" s="30">
        <f>SUBTOTAL(109,tblExpenses[8 月])</f>
        <v>7050</v>
      </c>
      <c r="L24" s="30">
        <f>SUBTOTAL(109,tblExpenses[9 月])</f>
        <v>6900</v>
      </c>
      <c r="M24" s="30">
        <f>SUBTOTAL(109,tblExpenses[10 月])</f>
        <v>7770</v>
      </c>
      <c r="N24" s="30">
        <f>SUBTOTAL(109,tblExpenses[11 月])</f>
        <v>8880</v>
      </c>
      <c r="O24" s="30">
        <f>SUBTOTAL(109,tblExpenses[12 月])</f>
        <v>6930</v>
      </c>
      <c r="P24" s="30">
        <f>SUBTOTAL(109,tblExpenses[每年])</f>
        <v>89970</v>
      </c>
      <c r="Q24" s="38">
        <f>SUBTOTAL(109,tblExpenses[指數 %])</f>
        <v>1</v>
      </c>
      <c r="R24" s="38">
        <f>SUBTOTAL(109,tblExpenses[1 月 %])</f>
        <v>1</v>
      </c>
      <c r="S24" s="38">
        <f>SUBTOTAL(109,tblExpenses[2 月百分比])</f>
        <v>1.0000000000000002</v>
      </c>
      <c r="T24" s="38">
        <f>SUBTOTAL(109,tblExpenses[3 月百分比])</f>
        <v>1.0000000000000002</v>
      </c>
      <c r="U24" s="38">
        <f>SUBTOTAL(109,tblExpenses[4 月百分比])</f>
        <v>1</v>
      </c>
      <c r="V24" s="38">
        <f>SUBTOTAL(109,tblExpenses[5 月百分比])</f>
        <v>1.0000000000000002</v>
      </c>
      <c r="W24" s="38">
        <f>SUBTOTAL(109,tblExpenses[6 月百分比])</f>
        <v>1</v>
      </c>
      <c r="X24" s="38">
        <f>SUBTOTAL(109,tblExpenses[7 月百分比])</f>
        <v>1</v>
      </c>
      <c r="Y24" s="38">
        <f>SUBTOTAL(109,tblExpenses[8 月百分比])</f>
        <v>0.99999999999999989</v>
      </c>
      <c r="Z24" s="38">
        <f>SUBTOTAL(109,tblExpenses[9 月百分比])</f>
        <v>1</v>
      </c>
      <c r="AA24" s="38">
        <f>SUBTOTAL(109,tblExpenses[10 月百分比])</f>
        <v>1</v>
      </c>
      <c r="AB24" s="38">
        <f>SUBTOTAL(109,tblExpenses[11 月百分比])</f>
        <v>0.99999999999999989</v>
      </c>
      <c r="AC24" s="38">
        <f>SUBTOTAL(109,tblExpenses[12 月百分比])</f>
        <v>1</v>
      </c>
      <c r="AD24" s="38">
        <f>SUBTOTAL(109,tblExpenses[年百分比])</f>
        <v>0.99999999999999989</v>
      </c>
    </row>
    <row r="25" spans="1:30" ht="30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30" customHeight="1" x14ac:dyDescent="0.25">
      <c r="B26" s="9" t="s">
        <v>67</v>
      </c>
      <c r="C26" s="9"/>
      <c r="D26" s="10">
        <f>銷售成本!$D$14-tblExpenses[[#Totals],[欄1]]</f>
        <v>3690</v>
      </c>
      <c r="E26" s="10">
        <f>銷售成本!$E$14-tblExpenses[[#Totals],[2 月]]</f>
        <v>5250</v>
      </c>
      <c r="F26" s="10">
        <f>銷售成本!$F$14-tblExpenses[[#Totals],[3 月]]</f>
        <v>7680</v>
      </c>
      <c r="G26" s="10">
        <f>銷售成本!$G$14-tblExpenses[[#Totals],[4 月]]</f>
        <v>3270</v>
      </c>
      <c r="H26" s="10">
        <f>銷售成本!$H$14-tblExpenses[[#Totals],[5 月]]</f>
        <v>4680</v>
      </c>
      <c r="I26" s="10">
        <f>銷售成本!$I$14-tblExpenses[[#Totals],[6 月]]</f>
        <v>-240</v>
      </c>
      <c r="J26" s="10">
        <f>銷售成本!$J$14-tblExpenses[[#Totals],[7 月]]</f>
        <v>960</v>
      </c>
      <c r="K26" s="10">
        <f>銷售成本!$K$14-tblExpenses[[#Totals],[8 月]]</f>
        <v>6420</v>
      </c>
      <c r="L26" s="10">
        <f>銷售成本!$L$14-tblExpenses[[#Totals],[9 月]]</f>
        <v>3000</v>
      </c>
      <c r="M26" s="10">
        <f>銷售成本!$M$14-tblExpenses[[#Totals],[10 月]]</f>
        <v>4440</v>
      </c>
      <c r="N26" s="10">
        <f>銷售成本!$N$14-tblExpenses[[#Totals],[11 月]]</f>
        <v>5370</v>
      </c>
      <c r="O26" s="10">
        <f>銷售成本!$O$14-tblExpenses[[#Totals],[12 月]]</f>
        <v>10770</v>
      </c>
      <c r="P26" s="10">
        <f>銷售成本!$P$14-tblExpenses[[#Totals],[每年]]</f>
        <v>55290</v>
      </c>
      <c r="Q26" s="9"/>
      <c r="R26" s="11">
        <f>D26/$P$26</f>
        <v>6.6739012479652735E-2</v>
      </c>
      <c r="S26" s="11">
        <f t="shared" ref="S26:AD26" si="2">E26/$P$26</f>
        <v>9.4953879544221381E-2</v>
      </c>
      <c r="T26" s="11">
        <f t="shared" si="2"/>
        <v>0.13890396093326099</v>
      </c>
      <c r="U26" s="11">
        <f t="shared" si="2"/>
        <v>5.9142702116115033E-2</v>
      </c>
      <c r="V26" s="11">
        <f t="shared" si="2"/>
        <v>8.4644601193705912E-2</v>
      </c>
      <c r="W26" s="11">
        <f t="shared" si="2"/>
        <v>-4.3407487791644059E-3</v>
      </c>
      <c r="X26" s="11">
        <f t="shared" si="2"/>
        <v>1.7362995116657624E-2</v>
      </c>
      <c r="Y26" s="11">
        <f t="shared" si="2"/>
        <v>0.11611502984264786</v>
      </c>
      <c r="Z26" s="11">
        <f t="shared" si="2"/>
        <v>5.425935973955507E-2</v>
      </c>
      <c r="AA26" s="11">
        <f t="shared" si="2"/>
        <v>8.0303852414541507E-2</v>
      </c>
      <c r="AB26" s="11">
        <f t="shared" si="2"/>
        <v>9.7124253933803584E-2</v>
      </c>
      <c r="AC26" s="11">
        <f t="shared" si="2"/>
        <v>0.19479110146500273</v>
      </c>
      <c r="AD26" s="11">
        <f t="shared" si="2"/>
        <v>1</v>
      </c>
    </row>
    <row r="29" spans="1:30" ht="30" customHeight="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30" ht="30" customHeight="1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30" ht="30" customHeight="1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30" ht="30" customHeight="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3:18" ht="30" customHeigh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</sheetData>
  <phoneticPr fontId="3" type="noConversion"/>
  <dataValidations count="18">
    <dataValidation allowBlank="1" showInputMessage="1" showErrorMessage="1" prompt="公司名稱會使用 [營收 (銷售額)] 工作表中的項目自動更新" sqref="AD1"/>
    <dataValidation allowBlank="1" showInputMessage="1" showErrorMessage="1" prompt="從 [營收 (銷售額)] 工作表自動更新的標題。在下方的 [支出] 表格中輸入值以計算支出總額" sqref="B2"/>
    <dataValidation allowBlank="1" showInputMessage="1" showErrorMessage="1" prompt="在此欄中輸入索引百分比" sqref="Q4"/>
    <dataValidation allowBlank="1" showInputMessage="1" showErrorMessage="1" prompt="系統會根據毛利和支出總額自動計算每月和每年的淨利" sqref="B26"/>
    <dataValidation allowBlank="1" showInputMessage="1" showErrorMessage="1" prompt="在此欄中輸入欄 B 中所列的支出來源" sqref="D4:O4"/>
    <dataValidation allowBlank="1" showInputMessage="1" showErrorMessage="1" prompt="此欄為一段時間的支出趨勢圖" sqref="C4"/>
    <dataValidation allowBlank="1" showInputMessage="1" showErrorMessage="1" prompt="在此欄中輸入支出" sqref="B4"/>
    <dataValidation allowBlank="1" showInputMessage="1" showErrorMessage="1" prompt="系統會自動計算來自不同來源的支出比例，以加總此欄之年度的支出" sqref="AD3"/>
    <dataValidation allowBlank="1" showInputMessage="1" showErrorMessage="1" prompt="月份會自動更新" sqref="E3:O3"/>
    <dataValidation allowBlank="1" showInputMessage="1" showErrorMessage="1" prompt="此列中的日期會根據會計年度的開始月份自動更新。若要變更開始月份，請修改儲存格 AC2" sqref="D3"/>
    <dataValidation allowBlank="1" showInputMessage="1" showErrorMessage="1" prompt="此欄會自動計算年度支出" sqref="P3"/>
    <dataValidation allowBlank="1" showInputMessage="1" showErrorMessage="1" prompt="此欄為指數百分比" sqref="Q3"/>
    <dataValidation allowBlank="1" showInputMessage="1" showErrorMessage="1" prompt="此儲存格會根據 [營收 (銷售額)] 工作表中的預測期間標題自動更新" sqref="B1"/>
    <dataValidation allowBlank="1" showInputMessage="1" showErrorMessage="1" prompt="此儲存格右側的月份和年份會自動更新。若要變更月份或年份，請修改 [營收 (銷售額)] 工作表中的儲存格 AC2 和 AD2" sqref="AB2"/>
    <dataValidation allowBlank="1" showInputMessage="1" showErrorMessage="1" prompt="月份會自動更新。若要變更，請修改 [營收 (銷售額)] 工作表中的儲存格 AC2" sqref="AC2"/>
    <dataValidation allowBlank="1" showInputMessage="1" showErrorMessage="1" prompt="年份會自動更新。若要變更，請修改 [營收 (銷售額)] 工作表中的儲存格 AD2" sqref="AD2"/>
    <dataValidation allowBlank="1" showInputMessage="1" showErrorMessage="1" prompt="此工作表會計算每個項目的每月和每年的支出總額，以及年度支出總額。系統會根據毛利和支出總額自動計算淨利 " sqref="A1:A1048576"/>
    <dataValidation allowBlank="1" showInputMessage="1" showErrorMessage="1" prompt="系統會自動計算來自不同來源的銷售比例，以在此欄中加總此儲存格之月份的銷售額" sqref="R3:AC3"/>
  </dataValidations>
  <printOptions horizontalCentered="1"/>
  <pageMargins left="0.25" right="0.25" top="0.75" bottom="0.75" header="0.3" footer="0.3"/>
  <pageSetup paperSize="9" scale="32" fitToHeight="0" orientation="landscape" r:id="rId1"/>
  <headerFooter differentFirst="1">
    <oddFooter>Page &amp;P of &amp;N</oddFooter>
  </headerFooter>
  <legacy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支出!D24:O24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支出!D5:O5</xm:f>
              <xm:sqref>C5</xm:sqref>
            </x14:sparkline>
            <x14:sparkline>
              <xm:f>支出!D6:O6</xm:f>
              <xm:sqref>C6</xm:sqref>
            </x14:sparkline>
            <x14:sparkline>
              <xm:f>支出!D7:O7</xm:f>
              <xm:sqref>C7</xm:sqref>
            </x14:sparkline>
            <x14:sparkline>
              <xm:f>支出!D8:O8</xm:f>
              <xm:sqref>C8</xm:sqref>
            </x14:sparkline>
            <x14:sparkline>
              <xm:f>支出!D9:O9</xm:f>
              <xm:sqref>C9</xm:sqref>
            </x14:sparkline>
            <x14:sparkline>
              <xm:f>支出!D10:O10</xm:f>
              <xm:sqref>C10</xm:sqref>
            </x14:sparkline>
            <x14:sparkline>
              <xm:f>支出!D11:O11</xm:f>
              <xm:sqref>C11</xm:sqref>
            </x14:sparkline>
            <x14:sparkline>
              <xm:f>支出!D12:O12</xm:f>
              <xm:sqref>C12</xm:sqref>
            </x14:sparkline>
            <x14:sparkline>
              <xm:f>支出!D13:O13</xm:f>
              <xm:sqref>C13</xm:sqref>
            </x14:sparkline>
            <x14:sparkline>
              <xm:f>支出!D14:O14</xm:f>
              <xm:sqref>C14</xm:sqref>
            </x14:sparkline>
            <x14:sparkline>
              <xm:f>支出!D15:O15</xm:f>
              <xm:sqref>C15</xm:sqref>
            </x14:sparkline>
            <x14:sparkline>
              <xm:f>支出!D16:O16</xm:f>
              <xm:sqref>C16</xm:sqref>
            </x14:sparkline>
            <x14:sparkline>
              <xm:f>支出!D17:O17</xm:f>
              <xm:sqref>C17</xm:sqref>
            </x14:sparkline>
            <x14:sparkline>
              <xm:f>支出!D18:O18</xm:f>
              <xm:sqref>C18</xm:sqref>
            </x14:sparkline>
            <x14:sparkline>
              <xm:f>支出!D19:O19</xm:f>
              <xm:sqref>C19</xm:sqref>
            </x14:sparkline>
            <x14:sparkline>
              <xm:f>支出!D20:O20</xm:f>
              <xm:sqref>C20</xm:sqref>
            </x14:sparkline>
            <x14:sparkline>
              <xm:f>支出!D21:O21</xm:f>
              <xm:sqref>C21</xm:sqref>
            </x14:sparkline>
            <x14:sparkline>
              <xm:f>支出!D22:O22</xm:f>
              <xm:sqref>C22</xm:sqref>
            </x14:sparkline>
            <x14:sparkline>
              <xm:f>支出!D23:O23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11</vt:i4>
      </vt:variant>
    </vt:vector>
  </HeadingPairs>
  <TitlesOfParts>
    <vt:vector size="14" baseType="lpstr">
      <vt:lpstr>營收 (銷售額)</vt:lpstr>
      <vt:lpstr>銷售成本</vt:lpstr>
      <vt:lpstr>支出</vt:lpstr>
      <vt:lpstr>FYMonthStart</vt:lpstr>
      <vt:lpstr>FYStartYear</vt:lpstr>
      <vt:lpstr>支出!Print_Titles</vt:lpstr>
      <vt:lpstr>銷售成本!Print_Titles</vt:lpstr>
      <vt:lpstr>'營收 (銷售額)'!Print_Titles</vt:lpstr>
      <vt:lpstr>工作表_標題</vt:lpstr>
      <vt:lpstr>公司_名稱</vt:lpstr>
      <vt:lpstr>預測_期間_標題</vt:lpstr>
      <vt:lpstr>標題​​1</vt:lpstr>
      <vt:lpstr>標題2</vt:lpstr>
      <vt:lpstr>標題3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2017-09-11T02:57:31Z</dcterms:modified>
</cp:coreProperties>
</file>