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a-JP\target\"/>
    </mc:Choice>
  </mc:AlternateContent>
  <bookViews>
    <workbookView xWindow="0" yWindow="0" windowWidth="21600" windowHeight="9510"/>
  </bookViews>
  <sheets>
    <sheet name="収益 (売上)" sheetId="2" r:id="rId1"/>
    <sheet name="売上原価" sheetId="3" r:id="rId2"/>
    <sheet name="経費" sheetId="4" r:id="rId3"/>
  </sheets>
  <definedNames>
    <definedName name="FYMonthNo">IF(FYMonthStart="1 月",1,IF(FYMonthStart="2 月",2,IF(FYMonthStart="3 月",3,IF(FYMonthStart="4 月",4,IF(FYMonthStart="5 月",5,IF(FYMonthStart="6 月",6,IF(FYMonthStart="7 月",7,IF(FYMonthStart="8 月",8,IF(FYMonthStart="9 月",9,IF(FYMonthStart="10 月",10,IF(FYMonthStart="11 月",11,12)))))))))))</definedName>
    <definedName name="FYMonthStart">'収益 (売上)'!$AC$2</definedName>
    <definedName name="FYStartYear">'収益 (売上)'!$AD$2</definedName>
    <definedName name="_xlnm.Print_Titles" localSheetId="2">経費!$3:$4</definedName>
    <definedName name="_xlnm.Print_Titles" localSheetId="0">'収益 (売上)'!$3:$4</definedName>
    <definedName name="_xlnm.Print_Titles" localSheetId="1">売上原価!$3:$4</definedName>
    <definedName name="Projection_Period_Title">'収益 (売上)'!$B$1</definedName>
    <definedName name="Title1">収益[[#Headers],[収益 (売上)]]</definedName>
    <definedName name="Title2">売上原価[[#Headers],[売上原価]]</definedName>
    <definedName name="Title3">tblExpenses[[#Headers],[経費]]</definedName>
    <definedName name="Wksht_Title">'収益 (売上)'!$B$2</definedName>
    <definedName name="会社名">'収益 (売上)'!$AD$1</definedName>
  </definedNames>
  <calcPr calcId="162913"/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B2" i="4"/>
  <c r="P6" i="3"/>
  <c r="P7" i="3"/>
  <c r="P8" i="3"/>
  <c r="P9" i="3"/>
  <c r="P10" i="3"/>
  <c r="P11" i="3"/>
  <c r="P5" i="3"/>
  <c r="P6" i="2"/>
  <c r="P7" i="2"/>
  <c r="P8" i="2"/>
  <c r="P9" i="2"/>
  <c r="P10" i="2"/>
  <c r="P11" i="2"/>
  <c r="P5" i="2"/>
  <c r="Q24" i="4"/>
  <c r="E24" i="4"/>
  <c r="S19" i="4" s="1"/>
  <c r="F24" i="4"/>
  <c r="T6" i="4" s="1"/>
  <c r="G24" i="4"/>
  <c r="U20" i="4" s="1"/>
  <c r="H24" i="4"/>
  <c r="V5" i="4" s="1"/>
  <c r="I24" i="4"/>
  <c r="W19" i="4" s="1"/>
  <c r="J24" i="4"/>
  <c r="X7" i="4" s="1"/>
  <c r="K24" i="4"/>
  <c r="L24" i="4"/>
  <c r="Z5" i="4" s="1"/>
  <c r="M24" i="4"/>
  <c r="N24" i="4"/>
  <c r="AB8" i="4" s="1"/>
  <c r="O24" i="4"/>
  <c r="D24" i="4"/>
  <c r="R5" i="4" s="1"/>
  <c r="Q12" i="3"/>
  <c r="E12" i="3"/>
  <c r="S5" i="3" s="1"/>
  <c r="F12" i="3"/>
  <c r="T5" i="3" s="1"/>
  <c r="G12" i="3"/>
  <c r="H12" i="3"/>
  <c r="V5" i="3" s="1"/>
  <c r="I12" i="3"/>
  <c r="W5" i="3" s="1"/>
  <c r="J12" i="3"/>
  <c r="X5" i="3" s="1"/>
  <c r="K12" i="3"/>
  <c r="L12" i="3"/>
  <c r="Z5" i="3" s="1"/>
  <c r="M12" i="3"/>
  <c r="AA5" i="3" s="1"/>
  <c r="N12" i="3"/>
  <c r="AB5" i="3" s="1"/>
  <c r="O12" i="3"/>
  <c r="D12" i="3"/>
  <c r="R5" i="3" s="1"/>
  <c r="Q12" i="2"/>
  <c r="E12" i="2"/>
  <c r="F12" i="2"/>
  <c r="T5" i="2" s="1"/>
  <c r="G12" i="2"/>
  <c r="H12" i="2"/>
  <c r="I12" i="2"/>
  <c r="J12" i="2"/>
  <c r="X5" i="2" s="1"/>
  <c r="K12" i="2"/>
  <c r="L12" i="2"/>
  <c r="M12" i="2"/>
  <c r="N12" i="2"/>
  <c r="AB5" i="2" s="1"/>
  <c r="O12" i="2"/>
  <c r="D12" i="2"/>
  <c r="T16" i="4" l="1"/>
  <c r="AB10" i="4"/>
  <c r="AB18" i="4"/>
  <c r="X13" i="4"/>
  <c r="T8" i="4"/>
  <c r="X17" i="4"/>
  <c r="AB14" i="4"/>
  <c r="T12" i="4"/>
  <c r="X9" i="4"/>
  <c r="AB6" i="4"/>
  <c r="U23" i="4"/>
  <c r="W22" i="4"/>
  <c r="S22" i="4"/>
  <c r="U21" i="4"/>
  <c r="W20" i="4"/>
  <c r="S20" i="4"/>
  <c r="U19" i="4"/>
  <c r="W23" i="4"/>
  <c r="S23" i="4"/>
  <c r="U22" i="4"/>
  <c r="W21" i="4"/>
  <c r="S21" i="4"/>
  <c r="T18" i="4"/>
  <c r="AB16" i="4"/>
  <c r="X15" i="4"/>
  <c r="T14" i="4"/>
  <c r="AB12" i="4"/>
  <c r="X11" i="4"/>
  <c r="T10" i="4"/>
  <c r="O14" i="3"/>
  <c r="O26" i="4" s="1"/>
  <c r="AC5" i="2"/>
  <c r="M14" i="3"/>
  <c r="M26" i="4" s="1"/>
  <c r="AA5" i="2"/>
  <c r="K14" i="3"/>
  <c r="K26" i="4" s="1"/>
  <c r="Y5" i="2"/>
  <c r="I14" i="3"/>
  <c r="I26" i="4" s="1"/>
  <c r="W5" i="2"/>
  <c r="G14" i="3"/>
  <c r="G26" i="4" s="1"/>
  <c r="U5" i="2"/>
  <c r="E14" i="3"/>
  <c r="E26" i="4" s="1"/>
  <c r="S5" i="2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5" i="4"/>
  <c r="AA11" i="2"/>
  <c r="W11" i="2"/>
  <c r="S11" i="2"/>
  <c r="AA10" i="2"/>
  <c r="W10" i="2"/>
  <c r="S10" i="2"/>
  <c r="AA9" i="2"/>
  <c r="W9" i="2"/>
  <c r="S9" i="2"/>
  <c r="AA8" i="2"/>
  <c r="W8" i="2"/>
  <c r="S8" i="2"/>
  <c r="AA7" i="2"/>
  <c r="W7" i="2"/>
  <c r="S7" i="2"/>
  <c r="AA6" i="2"/>
  <c r="W6" i="2"/>
  <c r="S6" i="2"/>
  <c r="AB11" i="3"/>
  <c r="X11" i="3"/>
  <c r="T11" i="3"/>
  <c r="AB10" i="3"/>
  <c r="X10" i="3"/>
  <c r="T10" i="3"/>
  <c r="AB9" i="3"/>
  <c r="X9" i="3"/>
  <c r="T9" i="3"/>
  <c r="AB8" i="3"/>
  <c r="X8" i="3"/>
  <c r="T8" i="3"/>
  <c r="AB7" i="3"/>
  <c r="X7" i="3"/>
  <c r="T7" i="3"/>
  <c r="AB6" i="3"/>
  <c r="X6" i="3"/>
  <c r="T6" i="3"/>
  <c r="L14" i="3"/>
  <c r="L26" i="4" s="1"/>
  <c r="H14" i="3"/>
  <c r="H26" i="4" s="1"/>
  <c r="AC23" i="4"/>
  <c r="Y23" i="4"/>
  <c r="AC22" i="4"/>
  <c r="Y22" i="4"/>
  <c r="AC21" i="4"/>
  <c r="Y21" i="4"/>
  <c r="AC20" i="4"/>
  <c r="Y20" i="4"/>
  <c r="AC19" i="4"/>
  <c r="Y19" i="4"/>
  <c r="D14" i="3"/>
  <c r="D26" i="4" s="1"/>
  <c r="R6" i="2"/>
  <c r="R7" i="2"/>
  <c r="R8" i="2"/>
  <c r="R9" i="2"/>
  <c r="R10" i="2"/>
  <c r="R11" i="2"/>
  <c r="AB6" i="2"/>
  <c r="AB7" i="2"/>
  <c r="AB8" i="2"/>
  <c r="AB9" i="2"/>
  <c r="AB10" i="2"/>
  <c r="AB11" i="2"/>
  <c r="Z6" i="2"/>
  <c r="Z7" i="2"/>
  <c r="Z8" i="2"/>
  <c r="Z9" i="2"/>
  <c r="Z10" i="2"/>
  <c r="Z11" i="2"/>
  <c r="X6" i="2"/>
  <c r="X7" i="2"/>
  <c r="X8" i="2"/>
  <c r="X9" i="2"/>
  <c r="X10" i="2"/>
  <c r="X11" i="2"/>
  <c r="V6" i="2"/>
  <c r="V7" i="2"/>
  <c r="V8" i="2"/>
  <c r="V9" i="2"/>
  <c r="V10" i="2"/>
  <c r="V11" i="2"/>
  <c r="T6" i="2"/>
  <c r="T7" i="2"/>
  <c r="T8" i="2"/>
  <c r="T9" i="2"/>
  <c r="T10" i="2"/>
  <c r="T11" i="2"/>
  <c r="AC6" i="3"/>
  <c r="AC7" i="3"/>
  <c r="AC8" i="3"/>
  <c r="AC9" i="3"/>
  <c r="AC10" i="3"/>
  <c r="AC11" i="3"/>
  <c r="AA6" i="3"/>
  <c r="AA7" i="3"/>
  <c r="AA8" i="3"/>
  <c r="AA9" i="3"/>
  <c r="AA10" i="3"/>
  <c r="AA11" i="3"/>
  <c r="Y6" i="3"/>
  <c r="Y7" i="3"/>
  <c r="Y8" i="3"/>
  <c r="Y9" i="3"/>
  <c r="Y10" i="3"/>
  <c r="Y11" i="3"/>
  <c r="W6" i="3"/>
  <c r="W7" i="3"/>
  <c r="W8" i="3"/>
  <c r="W9" i="3"/>
  <c r="W10" i="3"/>
  <c r="W11" i="3"/>
  <c r="U6" i="3"/>
  <c r="U7" i="3"/>
  <c r="U8" i="3"/>
  <c r="U9" i="3"/>
  <c r="U10" i="3"/>
  <c r="U11" i="3"/>
  <c r="S6" i="3"/>
  <c r="S7" i="3"/>
  <c r="S8" i="3"/>
  <c r="S9" i="3"/>
  <c r="S10" i="3"/>
  <c r="S11" i="3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AB19" i="4"/>
  <c r="AB20" i="4"/>
  <c r="AB21" i="4"/>
  <c r="AB22" i="4"/>
  <c r="AB23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X19" i="4"/>
  <c r="X20" i="4"/>
  <c r="X21" i="4"/>
  <c r="X22" i="4"/>
  <c r="X23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T19" i="4"/>
  <c r="T20" i="4"/>
  <c r="T21" i="4"/>
  <c r="T22" i="4"/>
  <c r="T23" i="4"/>
  <c r="R5" i="2"/>
  <c r="V5" i="2"/>
  <c r="Z5" i="2"/>
  <c r="AC11" i="2"/>
  <c r="Y11" i="2"/>
  <c r="U11" i="2"/>
  <c r="AC10" i="2"/>
  <c r="Y10" i="2"/>
  <c r="U10" i="2"/>
  <c r="AC9" i="2"/>
  <c r="Y9" i="2"/>
  <c r="U9" i="2"/>
  <c r="AC8" i="2"/>
  <c r="Y8" i="2"/>
  <c r="U8" i="2"/>
  <c r="AC7" i="2"/>
  <c r="Y7" i="2"/>
  <c r="U7" i="2"/>
  <c r="AC6" i="2"/>
  <c r="Y6" i="2"/>
  <c r="U6" i="2"/>
  <c r="U5" i="3"/>
  <c r="Y5" i="3"/>
  <c r="AC5" i="3"/>
  <c r="Z11" i="3"/>
  <c r="V11" i="3"/>
  <c r="R11" i="3"/>
  <c r="Z10" i="3"/>
  <c r="V10" i="3"/>
  <c r="R10" i="3"/>
  <c r="Z9" i="3"/>
  <c r="V9" i="3"/>
  <c r="R9" i="3"/>
  <c r="Z8" i="3"/>
  <c r="V8" i="3"/>
  <c r="R8" i="3"/>
  <c r="Z7" i="3"/>
  <c r="V7" i="3"/>
  <c r="R7" i="3"/>
  <c r="Z6" i="3"/>
  <c r="V6" i="3"/>
  <c r="R6" i="3"/>
  <c r="N14" i="3"/>
  <c r="N26" i="4" s="1"/>
  <c r="J14" i="3"/>
  <c r="J26" i="4" s="1"/>
  <c r="F14" i="3"/>
  <c r="F26" i="4" s="1"/>
  <c r="T5" i="4"/>
  <c r="X5" i="4"/>
  <c r="AB5" i="4"/>
  <c r="AA23" i="4"/>
  <c r="AA22" i="4"/>
  <c r="AA21" i="4"/>
  <c r="AA20" i="4"/>
  <c r="AA19" i="4"/>
  <c r="X18" i="4"/>
  <c r="AB17" i="4"/>
  <c r="T17" i="4"/>
  <c r="X16" i="4"/>
  <c r="AB15" i="4"/>
  <c r="T15" i="4"/>
  <c r="X14" i="4"/>
  <c r="AB13" i="4"/>
  <c r="T13" i="4"/>
  <c r="X12" i="4"/>
  <c r="AB11" i="4"/>
  <c r="T11" i="4"/>
  <c r="X10" i="4"/>
  <c r="AB9" i="4"/>
  <c r="T9" i="4"/>
  <c r="X8" i="4"/>
  <c r="AB7" i="4"/>
  <c r="T7" i="4"/>
  <c r="X6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5" i="4"/>
  <c r="U5" i="4"/>
  <c r="W5" i="4"/>
  <c r="AD1" i="4"/>
  <c r="B1" i="4"/>
  <c r="B1" i="3"/>
  <c r="AD1" i="3"/>
  <c r="AD2" i="2"/>
  <c r="B2" i="3"/>
  <c r="N3" i="4" l="1"/>
  <c r="AB3" i="4" s="1"/>
  <c r="L3" i="4"/>
  <c r="Z3" i="4" s="1"/>
  <c r="J3" i="4"/>
  <c r="X3" i="4" s="1"/>
  <c r="H3" i="4"/>
  <c r="V3" i="4" s="1"/>
  <c r="F3" i="4"/>
  <c r="T3" i="4" s="1"/>
  <c r="D3" i="4"/>
  <c r="R3" i="4" s="1"/>
  <c r="O3" i="4"/>
  <c r="AC3" i="4" s="1"/>
  <c r="M3" i="4"/>
  <c r="AA3" i="4" s="1"/>
  <c r="K3" i="4"/>
  <c r="Y3" i="4" s="1"/>
  <c r="I3" i="4"/>
  <c r="W3" i="4" s="1"/>
  <c r="G3" i="4"/>
  <c r="U3" i="4" s="1"/>
  <c r="E3" i="4"/>
  <c r="S3" i="4" s="1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O3" i="3"/>
  <c r="AC3" i="3" s="1"/>
  <c r="M3" i="3"/>
  <c r="AA3" i="3" s="1"/>
  <c r="K3" i="3"/>
  <c r="Y3" i="3" s="1"/>
  <c r="I3" i="3"/>
  <c r="W3" i="3" s="1"/>
  <c r="G3" i="3"/>
  <c r="U3" i="3" s="1"/>
  <c r="E3" i="3"/>
  <c r="S3" i="3" s="1"/>
  <c r="D3" i="2"/>
  <c r="R3" i="2" s="1"/>
  <c r="N3" i="2"/>
  <c r="AB3" i="2" s="1"/>
  <c r="L3" i="2"/>
  <c r="Z3" i="2" s="1"/>
  <c r="J3" i="2"/>
  <c r="X3" i="2" s="1"/>
  <c r="H3" i="2"/>
  <c r="V3" i="2" s="1"/>
  <c r="F3" i="2"/>
  <c r="T3" i="2" s="1"/>
  <c r="O3" i="2"/>
  <c r="AC3" i="2" s="1"/>
  <c r="M3" i="2"/>
  <c r="AA3" i="2" s="1"/>
  <c r="K3" i="2"/>
  <c r="Y3" i="2" s="1"/>
  <c r="I3" i="2"/>
  <c r="W3" i="2" s="1"/>
  <c r="G3" i="2"/>
  <c r="U3" i="2" s="1"/>
  <c r="E3" i="2"/>
  <c r="S3" i="2" s="1"/>
  <c r="AD2" i="4"/>
  <c r="AC2" i="4"/>
  <c r="AD2" i="3"/>
  <c r="AC2" i="3"/>
  <c r="AC24" i="4" l="1"/>
  <c r="AB24" i="4"/>
  <c r="Y24" i="4"/>
  <c r="X24" i="4"/>
  <c r="U24" i="4"/>
  <c r="T24" i="4"/>
  <c r="P24" i="4"/>
  <c r="P12" i="2"/>
  <c r="P12" i="3"/>
  <c r="P14" i="3" l="1"/>
  <c r="P26" i="4" s="1"/>
  <c r="AD5" i="4"/>
  <c r="AD21" i="4"/>
  <c r="AD17" i="4"/>
  <c r="AD13" i="4"/>
  <c r="AD9" i="4"/>
  <c r="AD22" i="4"/>
  <c r="AD18" i="4"/>
  <c r="AD14" i="4"/>
  <c r="AD10" i="4"/>
  <c r="AD6" i="4"/>
  <c r="AD23" i="4"/>
  <c r="AD19" i="4"/>
  <c r="AD15" i="4"/>
  <c r="AD11" i="4"/>
  <c r="AD7" i="4"/>
  <c r="AD20" i="4"/>
  <c r="AD16" i="4"/>
  <c r="AD12" i="4"/>
  <c r="AD8" i="4"/>
  <c r="AD5" i="3"/>
  <c r="AD8" i="3"/>
  <c r="AD11" i="3"/>
  <c r="AD7" i="3"/>
  <c r="AD10" i="3"/>
  <c r="AD6" i="3"/>
  <c r="AD9" i="3"/>
  <c r="AD5" i="2"/>
  <c r="AD8" i="2"/>
  <c r="AD11" i="2"/>
  <c r="AD7" i="2"/>
  <c r="AD10" i="2"/>
  <c r="AD6" i="2"/>
  <c r="AD9" i="2"/>
  <c r="Z24" i="4"/>
  <c r="V24" i="4"/>
  <c r="R24" i="4"/>
  <c r="S24" i="4"/>
  <c r="W24" i="4"/>
  <c r="AA24" i="4"/>
  <c r="AB12" i="3"/>
  <c r="Z12" i="2"/>
  <c r="R12" i="2"/>
  <c r="Y12" i="3"/>
  <c r="S12" i="3"/>
  <c r="AA12" i="3"/>
  <c r="S12" i="2" l="1"/>
  <c r="W12" i="2"/>
  <c r="V12" i="2"/>
  <c r="Y12" i="2"/>
  <c r="AA12" i="2"/>
  <c r="W12" i="3"/>
  <c r="Z12" i="3"/>
  <c r="R12" i="3"/>
  <c r="U12" i="3"/>
  <c r="AC12" i="3"/>
  <c r="X12" i="3"/>
  <c r="T12" i="3"/>
  <c r="V12" i="3"/>
  <c r="T12" i="2"/>
  <c r="AB12" i="2"/>
  <c r="U12" i="2"/>
  <c r="AC12" i="2"/>
  <c r="X12" i="2"/>
  <c r="AD24" i="4"/>
  <c r="X26" i="4"/>
  <c r="Z14" i="3"/>
  <c r="AD12" i="2" l="1"/>
  <c r="AD12" i="3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<sst xmlns="http://schemas.openxmlformats.org/spreadsheetml/2006/main" count="161" uniqueCount="74">
  <si>
    <t>12 か月</t>
  </si>
  <si>
    <t>損益予測</t>
  </si>
  <si>
    <t>収益 (売上)</t>
  </si>
  <si>
    <t>収益 1</t>
  </si>
  <si>
    <t>収益 2</t>
  </si>
  <si>
    <t>収益 3</t>
  </si>
  <si>
    <t>収益 4</t>
  </si>
  <si>
    <t>収益 5</t>
  </si>
  <si>
    <t>収益 6</t>
  </si>
  <si>
    <t>収益 7</t>
  </si>
  <si>
    <t>トレンド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</si>
  <si>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</si>
  <si>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</si>
  <si>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</si>
  <si>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</si>
  <si>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</si>
  <si>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</si>
  <si>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</si>
  <si>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</si>
  <si>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</si>
  <si>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</si>
  <si>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</si>
  <si>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</si>
  <si>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年次</t>
  </si>
  <si>
    <t>インデックス %</t>
  </si>
  <si>
    <t>1 月 %</t>
  </si>
  <si>
    <t>2 月 %</t>
  </si>
  <si>
    <t>3 月 %</t>
  </si>
  <si>
    <t>4 月 %</t>
  </si>
  <si>
    <t>5 月 %</t>
  </si>
  <si>
    <t>6 月 %</t>
  </si>
  <si>
    <t>7 月 %</t>
  </si>
  <si>
    <t>8 月 %</t>
  </si>
  <si>
    <t>9 月 %</t>
  </si>
  <si>
    <t>10 月 %</t>
  </si>
  <si>
    <t>会計年度の開始:</t>
  </si>
  <si>
    <t>11 月 %</t>
  </si>
  <si>
    <t>12 月 %</t>
  </si>
  <si>
    <t>会社名</t>
  </si>
  <si>
    <t>年 %</t>
  </si>
  <si>
    <t>売上原価</t>
  </si>
  <si>
    <t>コスト 1</t>
  </si>
  <si>
    <t>コスト 2</t>
  </si>
  <si>
    <t>コスト 3</t>
  </si>
  <si>
    <t>コスト 4</t>
  </si>
  <si>
    <t>コスト 5</t>
  </si>
  <si>
    <t>コスト 6</t>
  </si>
  <si>
    <t>コスト 7</t>
  </si>
  <si>
    <t>粗利益</t>
  </si>
  <si>
    <t>会計年度:</t>
  </si>
  <si>
    <t>経費</t>
  </si>
  <si>
    <t xml:space="preserve">給与経費 </t>
  </si>
  <si>
    <t xml:space="preserve">人件費 </t>
  </si>
  <si>
    <t>外部サービス</t>
  </si>
  <si>
    <t>備品 (事務および運転用)</t>
  </si>
  <si>
    <t>修繕およびメンテナンス費</t>
  </si>
  <si>
    <t>広告</t>
  </si>
  <si>
    <t>自動車、運送および出張</t>
  </si>
  <si>
    <t>会計および法律</t>
  </si>
  <si>
    <t>貸借料</t>
  </si>
  <si>
    <t>電話番号</t>
  </si>
  <si>
    <t>公共企業</t>
  </si>
  <si>
    <t>保険料</t>
  </si>
  <si>
    <t>税金 (不動産など)</t>
  </si>
  <si>
    <t>金利</t>
  </si>
  <si>
    <t>減価償却費</t>
  </si>
  <si>
    <t>その他の費用 (具体的に)</t>
  </si>
  <si>
    <t>その他 (指定しない)</t>
  </si>
  <si>
    <t>純利益</t>
  </si>
  <si>
    <t xml:space="preserve"> </t>
  </si>
  <si>
    <t>列 1</t>
  </si>
  <si>
    <t>売上合計</t>
    <phoneticPr fontId="4"/>
  </si>
  <si>
    <t>売上原価合計</t>
    <phoneticPr fontId="4"/>
  </si>
  <si>
    <t>経費合計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</si>
</sst>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;;;"/>
    <numFmt numFmtId="179" formatCode="0%;;&quot;-&quot;;"/>
    <numFmt numFmtId="180" formatCode="yyyy&quot;年&quot;m&quot;月&quot;;@"/>
    <numFmt numFmtId="181" formatCode="_ &quot;¥&quot;* #,##0_ ;_ &quot;¥&quot;* \-#,##0_ ;_ &quot;¥&quot;* &quot;-&quot;??_ ;_ @_ "/>
  </numFmts>
  <fonts count="18" x14ac:knownFonts="1">
    <font>
      <sz val="11"/>
      <color theme="1"/>
      <name val="Meiryo UI"/>
      <family val="3"/>
      <charset val="128"/>
    </font>
    <font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i/>
      <sz val="22"/>
      <color theme="7"/>
      <name val="ＭＳ 明朝"/>
      <family val="1"/>
      <charset val="128"/>
    </font>
    <font>
      <b/>
      <i/>
      <sz val="22"/>
      <color theme="7" tint="-0.24994659260841701"/>
      <name val="ＭＳ 明朝"/>
      <family val="1"/>
      <charset val="128"/>
    </font>
    <font>
      <b/>
      <sz val="12"/>
      <color theme="8"/>
      <name val="ＭＳ 明朝"/>
      <family val="1"/>
      <charset val="128"/>
    </font>
    <font>
      <b/>
      <sz val="11"/>
      <color theme="8"/>
      <name val="Meiryo UI"/>
      <family val="3"/>
      <charset val="128"/>
    </font>
    <font>
      <b/>
      <sz val="26"/>
      <color theme="3"/>
      <name val="Meiryo UI"/>
      <family val="3"/>
      <charset val="128"/>
    </font>
    <font>
      <b/>
      <sz val="22"/>
      <color theme="3"/>
      <name val="Meiryo UI"/>
      <family val="3"/>
      <charset val="128"/>
    </font>
    <font>
      <sz val="11"/>
      <color theme="3"/>
      <name val="ＭＳ 明朝"/>
      <family val="1"/>
      <charset val="128"/>
    </font>
    <font>
      <b/>
      <sz val="12"/>
      <color theme="3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i/>
      <sz val="16"/>
      <color theme="7" tint="-0.2499465926084170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4" fillId="0" borderId="0" applyFill="0" applyBorder="0" applyProtection="0">
      <alignment horizontal="right"/>
    </xf>
    <xf numFmtId="0" fontId="11" fillId="0" borderId="0" applyNumberFormat="0" applyFill="0" applyBorder="0" applyProtection="0">
      <alignment vertical="center"/>
    </xf>
    <xf numFmtId="0" fontId="17" fillId="0" borderId="3" applyProtection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4" fillId="0" borderId="0" applyFill="0" applyBorder="0" applyAlignment="0" applyProtection="0"/>
    <xf numFmtId="0" fontId="1" fillId="4" borderId="1" applyNumberFormat="0" applyFont="0" applyAlignment="0" applyProtection="0"/>
    <xf numFmtId="0" fontId="15" fillId="2" borderId="0">
      <alignment horizontal="right" vertical="center" indent="1"/>
    </xf>
    <xf numFmtId="42" fontId="16" fillId="2" borderId="0" applyBorder="0" applyAlignment="0" applyProtection="0"/>
    <xf numFmtId="9" fontId="16" fillId="2" borderId="0" applyBorder="0" applyAlignment="0" applyProtection="0"/>
    <xf numFmtId="0" fontId="5" fillId="0" borderId="0">
      <alignment horizontal="right" wrapText="1" indent="1"/>
    </xf>
    <xf numFmtId="0" fontId="7" fillId="0" borderId="0" applyFill="0" applyProtection="0">
      <alignment horizontal="right" vertical="center"/>
    </xf>
    <xf numFmtId="0" fontId="8" fillId="0" borderId="0" applyFill="0" applyProtection="0">
      <alignment horizontal="right" vertical="center"/>
    </xf>
    <xf numFmtId="180" fontId="12" fillId="0" borderId="2" applyFill="0" applyProtection="0">
      <alignment horizontal="center" vertical="center"/>
    </xf>
    <xf numFmtId="0" fontId="13" fillId="0" borderId="0">
      <alignment horizontal="right" indent="1"/>
    </xf>
    <xf numFmtId="42" fontId="5" fillId="5" borderId="4" applyNumberFormat="0" applyFont="0" applyAlignment="0">
      <alignment horizontal="center"/>
    </xf>
    <xf numFmtId="42" fontId="3" fillId="3" borderId="4" applyNumberFormat="0" applyFont="0" applyAlignment="0"/>
    <xf numFmtId="42" fontId="3" fillId="6" borderId="4" applyNumberFormat="0" applyFont="0" applyAlignment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2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15" fillId="2" borderId="0" xfId="8">
      <alignment horizontal="right" vertical="center" indent="1"/>
    </xf>
    <xf numFmtId="42" fontId="16" fillId="2" borderId="0" xfId="9" applyFill="1" applyAlignment="1">
      <alignment horizontal="right" vertical="center" indent="1"/>
    </xf>
    <xf numFmtId="9" fontId="16" fillId="2" borderId="0" xfId="10" applyFill="1" applyAlignment="1">
      <alignment horizontal="right" vertical="center" indent="1"/>
    </xf>
    <xf numFmtId="0" fontId="5" fillId="0" borderId="0" xfId="11">
      <alignment horizontal="right" wrapText="1" indent="1"/>
    </xf>
    <xf numFmtId="42" fontId="14" fillId="0" borderId="0" xfId="6" applyFill="1" applyBorder="1"/>
    <xf numFmtId="179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4" fillId="0" borderId="0" xfId="1" applyFill="1" applyBorder="1" applyAlignment="1">
      <alignment horizontal="right"/>
    </xf>
    <xf numFmtId="0" fontId="7" fillId="0" borderId="0" xfId="12">
      <alignment horizontal="right" vertical="center"/>
    </xf>
    <xf numFmtId="0" fontId="8" fillId="0" borderId="0" xfId="13">
      <alignment horizontal="right" vertical="center"/>
    </xf>
    <xf numFmtId="180" fontId="12" fillId="0" borderId="2" xfId="14">
      <alignment horizontal="center" vertical="center"/>
    </xf>
    <xf numFmtId="0" fontId="17" fillId="0" borderId="3" xfId="3">
      <alignment vertic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13" fillId="0" borderId="0" xfId="15">
      <alignment horizontal="right" indent="1"/>
    </xf>
    <xf numFmtId="0" fontId="2" fillId="5" borderId="4" xfId="16" applyNumberFormat="1" applyFont="1" applyAlignment="1">
      <alignment horizontal="center"/>
    </xf>
    <xf numFmtId="9" fontId="14" fillId="5" borderId="4" xfId="1" applyFill="1" applyBorder="1" applyAlignment="1">
      <alignment horizontal="right"/>
    </xf>
    <xf numFmtId="0" fontId="11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4" fillId="6" borderId="4" xfId="6" applyFill="1" applyBorder="1"/>
    <xf numFmtId="9" fontId="14" fillId="6" borderId="4" xfId="1" applyFill="1" applyBorder="1" applyAlignment="1">
      <alignment horizontal="right"/>
    </xf>
    <xf numFmtId="0" fontId="8" fillId="0" borderId="0" xfId="13" applyNumberFormat="1">
      <alignment horizontal="right" vertical="center"/>
    </xf>
    <xf numFmtId="9" fontId="14" fillId="5" borderId="4" xfId="1" applyFill="1" applyBorder="1">
      <alignment horizontal="right"/>
    </xf>
    <xf numFmtId="0" fontId="6" fillId="0" borderId="0" xfId="0" applyFont="1" applyBorder="1" applyAlignment="1">
      <alignment horizontal="right" vertical="center"/>
    </xf>
    <xf numFmtId="0" fontId="7" fillId="0" borderId="0" xfId="12" applyFont="1">
      <alignment horizontal="right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42" fontId="14" fillId="5" borderId="4" xfId="6" applyNumberFormat="1" applyFill="1" applyBorder="1" applyAlignment="1">
      <alignment horizontal="center"/>
    </xf>
    <xf numFmtId="42" fontId="0" fillId="0" borderId="0" xfId="0" applyNumberFormat="1" applyFont="1" applyFill="1" applyBorder="1"/>
    <xf numFmtId="180" fontId="12" fillId="0" borderId="2" xfId="14" applyNumberFormat="1">
      <alignment horizontal="center" vertical="center"/>
    </xf>
    <xf numFmtId="181" fontId="0" fillId="0" borderId="0" xfId="0" applyNumberFormat="1" applyFont="1" applyFill="1" applyBorder="1"/>
    <xf numFmtId="42" fontId="16" fillId="2" borderId="0" xfId="9" applyNumberFormat="1" applyFill="1" applyAlignment="1">
      <alignment horizontal="right" vertical="center" indent="1"/>
    </xf>
    <xf numFmtId="9" fontId="14" fillId="3" borderId="4" xfId="1" applyFill="1" applyBorder="1">
      <alignment horizontal="right"/>
    </xf>
    <xf numFmtId="42" fontId="14" fillId="3" borderId="4" xfId="6" applyFill="1" applyBorder="1"/>
    <xf numFmtId="0" fontId="17" fillId="0" borderId="3" xfId="3" applyFont="1">
      <alignment vertical="center"/>
    </xf>
  </cellXfs>
  <cellStyles count="19">
    <cellStyle name="タイトル" xfId="2" builtinId="15" customBuiltin="1"/>
    <cellStyle name="パーセント" xfId="1" builtinId="5" customBuiltin="1"/>
    <cellStyle name="メモ" xfId="7" builtinId="10" customBuiltin="1"/>
    <cellStyle name="経費の入力" xfId="18"/>
    <cellStyle name="桁区切り" xfId="5" builtinId="6" customBuiltin="1"/>
    <cellStyle name="桁区切り [0.00]" xfId="4" builtinId="3" customBuiltin="1"/>
    <cellStyle name="見出し 1" xfId="3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収益の入力" xfId="16"/>
    <cellStyle name="通貨" xfId="6" builtinId="7" customBuiltin="1"/>
    <cellStyle name="売上原価の入力" xfId="17"/>
    <cellStyle name="標準" xfId="0" builtinId="0" customBuiltin="1"/>
    <cellStyle name="表の見出し 1" xfId="15"/>
    <cellStyle name="表の詳細" xfId="11"/>
    <cellStyle name="利益" xfId="8"/>
    <cellStyle name="利益額" xfId="9"/>
    <cellStyle name="利益率" xfId="10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9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81" formatCode="_ &quot;¥&quot;* #,##0_ ;_ &quot;¥&quot;* \-#,##0_ ;_ &quot;¥&quot;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 &quot;¥&quot;* #,##0_ ;_ &quot;¥&quot;* \-#,##0_ ;_ &quot;¥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利益/損失の収益" defaultPivotStyle="PivotStyleLight16">
    <tableStyle name="利益/損失の経費" pivot="0" count="5">
      <tableStyleElement type="wholeTable" dxfId="105"/>
      <tableStyleElement type="headerRow" dxfId="104"/>
      <tableStyleElement type="totalRow" dxfId="103"/>
      <tableStyleElement type="firstRowStripe" dxfId="102"/>
      <tableStyleElement type="secondRowStripe" dxfId="101"/>
    </tableStyle>
    <tableStyle name="利益/損失の収益" pivot="0" count="5">
      <tableStyleElement type="wholeTable" dxfId="100"/>
      <tableStyleElement type="headerRow" dxfId="99"/>
      <tableStyleElement type="totalRow" dxfId="98"/>
      <tableStyleElement type="firstRowStripe" dxfId="97"/>
      <tableStyleElement type="secondRowStripe" dxfId="96"/>
    </tableStyle>
    <tableStyle name="利益/損失の売上" pivot="0" count="5">
      <tableStyleElement type="wholeTable" dxfId="95"/>
      <tableStyleElement type="headerRow" dxfId="94"/>
      <tableStyleElement type="totalRow" dxfId="93"/>
      <tableStyleElement type="firstRowStripe" dxfId="92"/>
      <tableStyleElement type="secondRowStripe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収益" displayName="収益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収益 (売上)" totalsRowLabel="売上合計" totalsRowDxfId="90"/>
    <tableColumn id="29" name="トレンド" dataDxfId="89" totalsRowDxfId="88" dataCellStyle="収益の入力"/>
    <tableColumn id="2" name="1 月" totalsRowFunction="sum" totalsRowDxfId="87"/>
    <tableColumn id="3" name="2 月" totalsRowFunction="sum" totalsRowDxfId="86"/>
    <tableColumn id="4" name="3 月" totalsRowFunction="sum" totalsRowDxfId="85"/>
    <tableColumn id="5" name="4 月" totalsRowFunction="sum" totalsRowDxfId="84"/>
    <tableColumn id="6" name="5 月" totalsRowFunction="sum" totalsRowDxfId="83"/>
    <tableColumn id="7" name="6 月" totalsRowFunction="sum" totalsRowDxfId="82"/>
    <tableColumn id="8" name="7 月" totalsRowFunction="sum" totalsRowDxfId="81"/>
    <tableColumn id="9" name="8 月" totalsRowFunction="sum" totalsRowDxfId="80"/>
    <tableColumn id="10" name="9 月" totalsRowFunction="sum" totalsRowDxfId="79"/>
    <tableColumn id="11" name="10 月" totalsRowFunction="sum" totalsRowDxfId="78"/>
    <tableColumn id="12" name="11 月" totalsRowFunction="sum" totalsRowDxfId="77"/>
    <tableColumn id="13" name="12 月" totalsRowFunction="sum" totalsRowDxfId="76"/>
    <tableColumn id="14" name="年次" totalsRowFunction="sum" dataDxfId="75" totalsRowDxfId="74">
      <calculatedColumnFormula>SUM(収益[[#This Row],[1 月]:[12 月]])</calculatedColumnFormula>
    </tableColumn>
    <tableColumn id="15" name="インデックス %" totalsRowFunction="sum" totalsRowDxfId="73"/>
    <tableColumn id="16" name="1 月 %" totalsRowFunction="sum" totalsRowDxfId="72">
      <calculatedColumnFormula>IFERROR(収益[[#This Row],[1 月]]/収益[[#Totals],[1 月]],"-")</calculatedColumnFormula>
    </tableColumn>
    <tableColumn id="17" name="2 月 %" totalsRowFunction="sum" totalsRowDxfId="71">
      <calculatedColumnFormula>IFERROR(収益[[#This Row],[2 月]]/収益[[#Totals],[2 月]],"-")</calculatedColumnFormula>
    </tableColumn>
    <tableColumn id="18" name="3 月 %" totalsRowFunction="sum" totalsRowDxfId="70">
      <calculatedColumnFormula>IFERROR(収益[[#This Row],[3 月]]/収益[[#Totals],[3 月]],"-")</calculatedColumnFormula>
    </tableColumn>
    <tableColumn id="19" name="4 月 %" totalsRowFunction="sum" totalsRowDxfId="69">
      <calculatedColumnFormula>IFERROR(収益[[#This Row],[4 月]]/収益[[#Totals],[4 月]],"-")</calculatedColumnFormula>
    </tableColumn>
    <tableColumn id="20" name="5 月 %" totalsRowFunction="sum" totalsRowDxfId="68">
      <calculatedColumnFormula>IFERROR(収益[[#This Row],[5 月]]/収益[[#Totals],[5 月]],"-")</calculatedColumnFormula>
    </tableColumn>
    <tableColumn id="21" name="6 月 %" totalsRowFunction="sum" totalsRowDxfId="67">
      <calculatedColumnFormula>IFERROR(収益[[#This Row],[6 月]]/収益[[#Totals],[6 月]],"-")</calculatedColumnFormula>
    </tableColumn>
    <tableColumn id="22" name="7 月 %" totalsRowFunction="sum" totalsRowDxfId="66">
      <calculatedColumnFormula>IFERROR(収益[[#This Row],[7 月]]/収益[[#Totals],[7 月]],"-")</calculatedColumnFormula>
    </tableColumn>
    <tableColumn id="23" name="8 月 %" totalsRowFunction="sum" totalsRowDxfId="65">
      <calculatedColumnFormula>IFERROR(収益[[#This Row],[8 月]]/収益[[#Totals],[8 月]],"-")</calculatedColumnFormula>
    </tableColumn>
    <tableColumn id="24" name="9 月 %" totalsRowFunction="sum" totalsRowDxfId="64">
      <calculatedColumnFormula>IFERROR(収益[[#This Row],[9 月]]/収益[[#Totals],[9 月]],"-")</calculatedColumnFormula>
    </tableColumn>
    <tableColumn id="25" name="10 月 %" totalsRowFunction="sum" totalsRowDxfId="63">
      <calculatedColumnFormula>IFERROR(収益[[#This Row],[10 月]]/収益[[#Totals],[10 月]],"-")</calculatedColumnFormula>
    </tableColumn>
    <tableColumn id="26" name="11 月 %" totalsRowFunction="sum" totalsRowDxfId="62">
      <calculatedColumnFormula>IFERROR(収益[[#This Row],[11 月]]/収益[[#Totals],[11 月]],"-")</calculatedColumnFormula>
    </tableColumn>
    <tableColumn id="27" name="12 月 %" totalsRowFunction="sum" totalsRowDxfId="61">
      <calculatedColumnFormula>IFERROR(収益[[#This Row],[12 月]]/収益[[#Totals],[12 月]],"-")</calculatedColumnFormula>
    </tableColumn>
    <tableColumn id="28" name="年 %" totalsRowFunction="sum" totalsRowDxfId="60">
      <calculatedColumnFormula>IFERROR(収益[[#This Row],[年次]]/収益[[#Totals],[年次]],"-")</calculatedColumnFormula>
    </tableColumn>
  </tableColumns>
  <tableStyleInfo name="利益/損失の収益" showFirstColumn="0" showLastColumn="0" showRowStripes="1" showColumnStripes="0"/>
  <extLst>
    <ext xmlns:x14="http://schemas.microsoft.com/office/spreadsheetml/2009/9/main" uri="{504A1905-F514-4f6f-8877-14C23A59335A}">
      <x14:table altTextSummary="各収益項目の月間売上、年間合計、1 か月間の割合の概要"/>
    </ext>
  </extLst>
</table>
</file>

<file path=xl/tables/table2.xml><?xml version="1.0" encoding="utf-8"?>
<table xmlns="http://schemas.openxmlformats.org/spreadsheetml/2006/main" id="2" name="売上原価" displayName="売上原価" ref="B4:AD12" totalsRowCount="1">
  <tableColumns count="29">
    <tableColumn id="1" name="売上原価" totalsRowLabel="売上原価合計" totalsRowDxfId="59"/>
    <tableColumn id="2" name="トレンド" dataDxfId="58" totalsRowDxfId="57" dataCellStyle="売上原価の入力"/>
    <tableColumn id="3" name="1 月" totalsRowFunction="sum" totalsRowDxfId="56"/>
    <tableColumn id="4" name="2 月" totalsRowFunction="sum" totalsRowDxfId="55"/>
    <tableColumn id="5" name="3 月" totalsRowFunction="sum" totalsRowDxfId="54"/>
    <tableColumn id="6" name="4 月" totalsRowFunction="sum" totalsRowDxfId="53"/>
    <tableColumn id="7" name="5 月" totalsRowFunction="sum" totalsRowDxfId="52"/>
    <tableColumn id="8" name="6 月" totalsRowFunction="sum" totalsRowDxfId="51"/>
    <tableColumn id="9" name="7 月" totalsRowFunction="sum" totalsRowDxfId="50"/>
    <tableColumn id="10" name="8 月" totalsRowFunction="sum" totalsRowDxfId="49"/>
    <tableColumn id="11" name="9 月" totalsRowFunction="sum" totalsRowDxfId="48"/>
    <tableColumn id="12" name="10 月" totalsRowFunction="sum" totalsRowDxfId="47"/>
    <tableColumn id="13" name="11 月" totalsRowFunction="sum" totalsRowDxfId="46"/>
    <tableColumn id="14" name="12 月" totalsRowFunction="sum" totalsRowDxfId="45"/>
    <tableColumn id="15" name="年次" totalsRowFunction="sum" totalsRowDxfId="44" dataCellStyle="通貨">
      <calculatedColumnFormula>SUM(売上原価[[#This Row],[1 月]:[12 月]])</calculatedColumnFormula>
    </tableColumn>
    <tableColumn id="16" name="インデックス %" totalsRowFunction="sum" totalsRowDxfId="43"/>
    <tableColumn id="17" name="1 月 %" totalsRowFunction="sum" totalsRowDxfId="42" dataCellStyle="パーセント">
      <calculatedColumnFormula>IFERROR(売上原価[[#This Row],[1 月]]/売上原価[[#Totals],[1 月]],"-")</calculatedColumnFormula>
    </tableColumn>
    <tableColumn id="18" name="2 月 %" totalsRowFunction="sum" totalsRowDxfId="41" dataCellStyle="パーセント">
      <calculatedColumnFormula>IFERROR(売上原価[[#This Row],[2 月]]/売上原価[[#Totals],[2 月]],"-")</calculatedColumnFormula>
    </tableColumn>
    <tableColumn id="19" name="3 月 %" totalsRowFunction="sum" totalsRowDxfId="40" dataCellStyle="パーセント">
      <calculatedColumnFormula>IFERROR(売上原価[[#This Row],[3 月]]/売上原価[[#Totals],[3 月]],"-")</calculatedColumnFormula>
    </tableColumn>
    <tableColumn id="20" name="4 月 %" totalsRowFunction="sum" totalsRowDxfId="39" dataCellStyle="パーセント">
      <calculatedColumnFormula>IFERROR(売上原価[[#This Row],[4 月]]/売上原価[[#Totals],[4 月]],"-")</calculatedColumnFormula>
    </tableColumn>
    <tableColumn id="21" name="5 月 %" totalsRowFunction="sum" totalsRowDxfId="38" dataCellStyle="パーセント">
      <calculatedColumnFormula>IFERROR(売上原価[[#This Row],[5 月]]/売上原価[[#Totals],[5 月]],"-")</calculatedColumnFormula>
    </tableColumn>
    <tableColumn id="22" name="6 月 %" totalsRowFunction="sum" totalsRowDxfId="37" dataCellStyle="パーセント">
      <calculatedColumnFormula>IFERROR(売上原価[[#This Row],[6 月]]/売上原価[[#Totals],[6 月]],"-")</calculatedColumnFormula>
    </tableColumn>
    <tableColumn id="23" name="7 月 %" totalsRowFunction="sum" totalsRowDxfId="36" dataCellStyle="パーセント">
      <calculatedColumnFormula>IFERROR(売上原価[[#This Row],[7 月]]/売上原価[[#Totals],[7 月]],"-")</calculatedColumnFormula>
    </tableColumn>
    <tableColumn id="24" name="8 月 %" totalsRowFunction="sum" totalsRowDxfId="35" dataCellStyle="パーセント">
      <calculatedColumnFormula>IFERROR(売上原価[[#This Row],[8 月]]/売上原価[[#Totals],[8 月]],"-")</calculatedColumnFormula>
    </tableColumn>
    <tableColumn id="25" name="9 月 %" totalsRowFunction="sum" totalsRowDxfId="34" dataCellStyle="パーセント">
      <calculatedColumnFormula>IFERROR(売上原価[[#This Row],[9 月]]/売上原価[[#Totals],[9 月]],"-")</calculatedColumnFormula>
    </tableColumn>
    <tableColumn id="26" name="10 月 %" totalsRowFunction="sum" totalsRowDxfId="33" dataCellStyle="パーセント">
      <calculatedColumnFormula>IFERROR(売上原価[[#This Row],[10 月]]/売上原価[[#Totals],[10 月]],"-")</calculatedColumnFormula>
    </tableColumn>
    <tableColumn id="27" name="11 月 %" totalsRowFunction="sum" totalsRowDxfId="32" dataCellStyle="パーセント">
      <calculatedColumnFormula>IFERROR(売上原価[[#This Row],[11 月]]/売上原価[[#Totals],[11 月]],"-")</calculatedColumnFormula>
    </tableColumn>
    <tableColumn id="28" name="12 月 %" totalsRowFunction="sum" totalsRowDxfId="31" dataCellStyle="パーセント">
      <calculatedColumnFormula>IFERROR(売上原価[[#This Row],[12 月]]/売上原価[[#Totals],[12 月]],"-")</calculatedColumnFormula>
    </tableColumn>
    <tableColumn id="29" name="年 %" totalsRowFunction="sum" totalsRowDxfId="30" dataCellStyle="パーセント">
      <calculatedColumnFormula>IFERROR(売上原価[[#This Row],[年次]]/売上原価[[#Totals],[年次]],"-")</calculatedColumnFormula>
    </tableColumn>
  </tableColumns>
  <tableStyleInfo name="利益/損失の売上" showFirstColumn="0" showLastColumn="0" showRowStripes="1" showColumnStripes="0"/>
  <extLst>
    <ext xmlns:x14="http://schemas.microsoft.com/office/spreadsheetml/2009/9/main" uri="{504A1905-F514-4f6f-8877-14C23A59335A}">
      <x14:table altTextSummary="各コスト項目の売上原価、年間合計、毎月の割合の概要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経費" totalsRowLabel="経費合計" totalsRowDxfId="29"/>
    <tableColumn id="2" name="トレンド" totalsRowLabel=" " dataDxfId="28" totalsRowDxfId="27" dataCellStyle="経費の入力"/>
    <tableColumn id="3" name="列 1" totalsRowFunction="sum" totalsRowDxfId="26"/>
    <tableColumn id="4" name="2 月" totalsRowFunction="sum" totalsRowDxfId="25"/>
    <tableColumn id="5" name="3 月" totalsRowFunction="sum" totalsRowDxfId="24"/>
    <tableColumn id="6" name="4 月" totalsRowFunction="sum" totalsRowDxfId="23"/>
    <tableColumn id="7" name="5 月" totalsRowFunction="sum" totalsRowDxfId="22"/>
    <tableColumn id="8" name="6 月" totalsRowFunction="sum" totalsRowDxfId="21"/>
    <tableColumn id="9" name="7 月" totalsRowFunction="sum" totalsRowDxfId="20"/>
    <tableColumn id="10" name="8 月" totalsRowFunction="sum" totalsRowDxfId="19"/>
    <tableColumn id="11" name="9 月" totalsRowFunction="sum" totalsRowDxfId="18"/>
    <tableColumn id="12" name="10 月" totalsRowFunction="sum" totalsRowDxfId="17"/>
    <tableColumn id="13" name="11 月" totalsRowFunction="sum" totalsRowDxfId="16"/>
    <tableColumn id="14" name="12 月" totalsRowFunction="sum" totalsRowDxfId="15"/>
    <tableColumn id="15" name="年次" totalsRowFunction="sum" totalsRowDxfId="14">
      <calculatedColumnFormula>SUM(tblExpenses[[#This Row],[列 1]:[12 月]])</calculatedColumnFormula>
    </tableColumn>
    <tableColumn id="16" name="インデックス %" totalsRowFunction="sum" totalsRowDxfId="13"/>
    <tableColumn id="17" name="1 月 %" totalsRowFunction="sum" totalsRowDxfId="12">
      <calculatedColumnFormula>tblExpenses[[#This Row],[列 1]]/tblExpenses[[#Totals],[列 1]]</calculatedColumnFormula>
    </tableColumn>
    <tableColumn id="18" name="2 月 %" totalsRowFunction="sum" totalsRowDxfId="11">
      <calculatedColumnFormula>tblExpenses[[#This Row],[2 月]]/tblExpenses[[#Totals],[2 月]]</calculatedColumnFormula>
    </tableColumn>
    <tableColumn id="19" name="3 月 %" totalsRowFunction="sum" totalsRowDxfId="10">
      <calculatedColumnFormula>tblExpenses[[#This Row],[3 月]]/tblExpenses[[#Totals],[3 月]]</calculatedColumnFormula>
    </tableColumn>
    <tableColumn id="20" name="4 月 %" totalsRowFunction="sum" totalsRowDxfId="9">
      <calculatedColumnFormula>tblExpenses[[#This Row],[4 月]]/tblExpenses[[#Totals],[4 月]]</calculatedColumnFormula>
    </tableColumn>
    <tableColumn id="21" name="5 月 %" totalsRowFunction="sum" totalsRowDxfId="8">
      <calculatedColumnFormula>tblExpenses[[#This Row],[5 月]]/tblExpenses[[#Totals],[5 月]]</calculatedColumnFormula>
    </tableColumn>
    <tableColumn id="22" name="6 月 %" totalsRowFunction="sum" totalsRowDxfId="7">
      <calculatedColumnFormula>tblExpenses[[#This Row],[6 月]]/tblExpenses[[#Totals],[6 月]]</calculatedColumnFormula>
    </tableColumn>
    <tableColumn id="23" name="7 月 %" totalsRowFunction="sum" totalsRowDxfId="6">
      <calculatedColumnFormula>tblExpenses[[#This Row],[7 月]]/tblExpenses[[#Totals],[7 月]]</calculatedColumnFormula>
    </tableColumn>
    <tableColumn id="24" name="8 月 %" totalsRowFunction="sum" totalsRowDxfId="5">
      <calculatedColumnFormula>tblExpenses[[#This Row],[8 月]]/tblExpenses[[#Totals],[8 月]]</calculatedColumnFormula>
    </tableColumn>
    <tableColumn id="25" name="9 月 %" totalsRowFunction="sum" totalsRowDxfId="4">
      <calculatedColumnFormula>tblExpenses[[#This Row],[9 月]]/tblExpenses[[#Totals],[9 月]]</calculatedColumnFormula>
    </tableColumn>
    <tableColumn id="26" name="10 月 %" totalsRowFunction="sum" totalsRowDxfId="3">
      <calculatedColumnFormula>tblExpenses[[#This Row],[10 月]]/tblExpenses[[#Totals],[10 月]]</calculatedColumnFormula>
    </tableColumn>
    <tableColumn id="27" name="11 月 %" totalsRowFunction="sum" totalsRowDxfId="2">
      <calculatedColumnFormula>tblExpenses[[#This Row],[11 月]]/tblExpenses[[#Totals],[11 月]]</calculatedColumnFormula>
    </tableColumn>
    <tableColumn id="28" name="12 月 %" totalsRowFunction="sum" totalsRowDxfId="1">
      <calculatedColumnFormula>tblExpenses[[#This Row],[12 月]]/tblExpenses[[#Totals],[12 月]]</calculatedColumnFormula>
    </tableColumn>
    <tableColumn id="29" name="年 %" totalsRowFunction="sum" totalsRowDxfId="0">
      <calculatedColumnFormula>tblExpenses[[#This Row],[年次]]/tblExpenses[[#Totals],[年次]]</calculatedColumnFormula>
    </tableColumn>
  </tableColumns>
  <tableStyleInfo name="利益/損失の経費" showFirstColumn="0" showLastColumn="0" showRowStripes="1" showColumnStripes="0"/>
  <extLst>
    <ext xmlns:x14="http://schemas.microsoft.com/office/spreadsheetml/2009/9/main" uri="{504A1905-F514-4f6f-8877-14C23A59335A}">
      <x14:table altTextSummary="各経費項目の経費、年間の合計、月ごとの割合の概要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7"/>
  <sheetViews>
    <sheetView showGridLines="0" tabSelected="1" zoomScaleNormal="100" workbookViewId="0">
      <pane ySplit="3" topLeftCell="A4" activePane="bottomLeft" state="frozen"/>
      <selection activeCell="D16" sqref="D16"/>
      <selection pane="bottomLeft"/>
    </sheetView>
  </sheetViews>
  <sheetFormatPr defaultRowHeight="30" customHeight="1" x14ac:dyDescent="0.25"/>
  <cols>
    <col min="1" max="1" width="2.77734375" customWidth="1"/>
    <col min="2" max="2" width="13" customWidth="1"/>
    <col min="3" max="3" width="12.77734375" customWidth="1"/>
    <col min="4" max="15" width="11.77734375" customWidth="1"/>
    <col min="16" max="16" width="13.6640625" customWidth="1"/>
    <col min="17" max="17" width="13.88671875" customWidth="1"/>
    <col min="18" max="30" width="7.88671875" customWidth="1"/>
    <col min="31" max="31" width="2.77734375" customWidth="1"/>
  </cols>
  <sheetData>
    <row r="1" spans="1:30" ht="35.1" customHeight="1" x14ac:dyDescent="0.25">
      <c r="A1" s="5"/>
      <c r="B1" s="51" t="s">
        <v>0</v>
      </c>
      <c r="C1" s="9"/>
      <c r="J1" s="2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 t="s">
        <v>38</v>
      </c>
    </row>
    <row r="2" spans="1:30" ht="60" customHeight="1" x14ac:dyDescent="0.25">
      <c r="B2" s="4" t="s">
        <v>1</v>
      </c>
      <c r="E2" s="43"/>
      <c r="G2" s="43"/>
      <c r="K2" s="43"/>
      <c r="L2" s="43"/>
      <c r="M2" s="43"/>
      <c r="N2" s="43"/>
      <c r="O2" s="43"/>
      <c r="X2" s="42"/>
      <c r="Y2" s="42"/>
      <c r="Z2" s="42"/>
      <c r="AA2" s="42"/>
      <c r="AB2" s="20" t="s">
        <v>35</v>
      </c>
      <c r="AC2" s="20" t="s">
        <v>11</v>
      </c>
      <c r="AD2" s="38">
        <f ca="1">YEAR(TODAY())</f>
        <v>2017</v>
      </c>
    </row>
    <row r="3" spans="1:30" ht="20.100000000000001" customHeight="1" x14ac:dyDescent="0.25">
      <c r="D3" s="46" t="str">
        <f ca="1">UPPER(TEXT(DATE(FYStartYear,FYMonthNo,1),"yyyy 年 m 月"))</f>
        <v>2017 年 1 月</v>
      </c>
      <c r="E3" s="46" t="str">
        <f ca="1">UPPER(TEXT(DATE(FYStartYear,FYMonthNo+1,1),"yyyy 年 m 月"))</f>
        <v>2017 年 2 月</v>
      </c>
      <c r="F3" s="46" t="str">
        <f ca="1">UPPER(TEXT(DATE(FYStartYear,FYMonthNo+2,1),"yyyy 年 m 月"))</f>
        <v>2017 年 3 月</v>
      </c>
      <c r="G3" s="46" t="str">
        <f ca="1">UPPER(TEXT(DATE(FYStartYear,FYMonthNo+3,1),"yyyy 年 m 月"))</f>
        <v>2017 年 4 月</v>
      </c>
      <c r="H3" s="46" t="str">
        <f ca="1">UPPER(TEXT(DATE(FYStartYear,FYMonthNo+4,1),"yyyy 年 m 月"))</f>
        <v>2017 年 5 月</v>
      </c>
      <c r="I3" s="46" t="str">
        <f ca="1">UPPER(TEXT(DATE(FYStartYear,FYMonthNo+5,1),"yyyy 年 m 月"))</f>
        <v>2017 年 6 月</v>
      </c>
      <c r="J3" s="46" t="str">
        <f ca="1">UPPER(TEXT(DATE(FYStartYear,FYMonthNo+6,1),"yyyy 年 m 月"))</f>
        <v>2017 年 7 月</v>
      </c>
      <c r="K3" s="46" t="str">
        <f ca="1">UPPER(TEXT(DATE(FYStartYear,FYMonthNo+7,1),"yyyy 年 m 月"))</f>
        <v>2017 年 8 月</v>
      </c>
      <c r="L3" s="46" t="str">
        <f ca="1">UPPER(TEXT(DATE(FYStartYear,FYMonthNo+8,1),"yyyy 年 m 月"))</f>
        <v>2017 年 9 月</v>
      </c>
      <c r="M3" s="46" t="str">
        <f ca="1">UPPER(TEXT(DATE(FYStartYear,FYMonthNo+9,1),"yyyy 年 m 月"))</f>
        <v>2017 年 10 月</v>
      </c>
      <c r="N3" s="46" t="str">
        <f ca="1">UPPER(TEXT(DATE(FYStartYear,FYMonthNo+10,1),"yyyy 年 m 月"))</f>
        <v>2017 年 11 月</v>
      </c>
      <c r="O3" s="46" t="str">
        <f ca="1">UPPER(TEXT(DATE(FYStartYear,FYMonthNo+11,1),"yyyy 年 m 月"))</f>
        <v>2017 年 12 月</v>
      </c>
      <c r="P3" s="46" t="s">
        <v>23</v>
      </c>
      <c r="Q3" s="46" t="s">
        <v>24</v>
      </c>
      <c r="R3" s="46" t="str">
        <f ca="1">IF(RIGHT(D3,4)&gt;"0",RIGHT(D3,4),RIGHT(D3,3))&amp;" %"</f>
        <v>1 月 %</v>
      </c>
      <c r="S3" s="46" t="str">
        <f t="shared" ref="S3:AC3" ca="1" si="0">IF(RIGHT(E3,4)&gt;"0",RIGHT(E3,4),RIGHT(E3,3))&amp;" %"</f>
        <v>2 月 %</v>
      </c>
      <c r="T3" s="46" t="str">
        <f t="shared" ca="1" si="0"/>
        <v>3 月 %</v>
      </c>
      <c r="U3" s="46" t="str">
        <f t="shared" ca="1" si="0"/>
        <v>4 月 %</v>
      </c>
      <c r="V3" s="46" t="str">
        <f t="shared" ca="1" si="0"/>
        <v>5 月 %</v>
      </c>
      <c r="W3" s="46" t="str">
        <f t="shared" ca="1" si="0"/>
        <v>6 月 %</v>
      </c>
      <c r="X3" s="46" t="str">
        <f t="shared" ca="1" si="0"/>
        <v>7 月 %</v>
      </c>
      <c r="Y3" s="46" t="str">
        <f t="shared" ca="1" si="0"/>
        <v>8 月 %</v>
      </c>
      <c r="Z3" s="46" t="str">
        <f t="shared" ca="1" si="0"/>
        <v>9 月 %</v>
      </c>
      <c r="AA3" s="46" t="str">
        <f t="shared" ca="1" si="0"/>
        <v>10 月 %</v>
      </c>
      <c r="AB3" s="46" t="str">
        <f t="shared" ca="1" si="0"/>
        <v>11 月 %</v>
      </c>
      <c r="AC3" s="46" t="str">
        <f t="shared" ca="1" si="0"/>
        <v>12 月 %</v>
      </c>
      <c r="AD3" s="46" t="s">
        <v>39</v>
      </c>
    </row>
    <row r="4" spans="1:30" ht="30" customHeight="1" x14ac:dyDescent="0.25">
      <c r="B4" s="30" t="s">
        <v>2</v>
      </c>
      <c r="C4" s="30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3" t="s">
        <v>18</v>
      </c>
      <c r="L4" s="23" t="s">
        <v>19</v>
      </c>
      <c r="M4" s="23" t="s">
        <v>20</v>
      </c>
      <c r="N4" s="23" t="s">
        <v>21</v>
      </c>
      <c r="O4" s="23" t="s">
        <v>22</v>
      </c>
      <c r="P4" s="23" t="s">
        <v>23</v>
      </c>
      <c r="Q4" s="24" t="s">
        <v>24</v>
      </c>
      <c r="R4" s="24" t="s">
        <v>25</v>
      </c>
      <c r="S4" s="24" t="s">
        <v>26</v>
      </c>
      <c r="T4" s="24" t="s">
        <v>27</v>
      </c>
      <c r="U4" s="24" t="s">
        <v>28</v>
      </c>
      <c r="V4" s="24" t="s">
        <v>29</v>
      </c>
      <c r="W4" s="24" t="s">
        <v>30</v>
      </c>
      <c r="X4" s="24" t="s">
        <v>31</v>
      </c>
      <c r="Y4" s="24" t="s">
        <v>32</v>
      </c>
      <c r="Z4" s="24" t="s">
        <v>33</v>
      </c>
      <c r="AA4" s="24" t="s">
        <v>34</v>
      </c>
      <c r="AB4" s="24" t="s">
        <v>36</v>
      </c>
      <c r="AC4" s="24" t="s">
        <v>37</v>
      </c>
      <c r="AD4" s="23" t="s">
        <v>39</v>
      </c>
    </row>
    <row r="5" spans="1:30" ht="30" customHeight="1" x14ac:dyDescent="0.25">
      <c r="B5" s="14" t="s">
        <v>3</v>
      </c>
      <c r="C5" s="31"/>
      <c r="D5" s="15">
        <v>18600</v>
      </c>
      <c r="E5" s="15">
        <v>10800</v>
      </c>
      <c r="F5" s="15">
        <v>9200</v>
      </c>
      <c r="G5" s="15">
        <v>12200</v>
      </c>
      <c r="H5" s="15">
        <v>19000</v>
      </c>
      <c r="I5" s="15">
        <v>7100</v>
      </c>
      <c r="J5" s="15">
        <v>2100</v>
      </c>
      <c r="K5" s="15">
        <v>3700</v>
      </c>
      <c r="L5" s="15">
        <v>2400</v>
      </c>
      <c r="M5" s="15">
        <v>17800</v>
      </c>
      <c r="N5" s="15">
        <v>9200</v>
      </c>
      <c r="O5" s="15">
        <v>9700</v>
      </c>
      <c r="P5" s="44">
        <f>SUM(収益[[#This Row],[1 月]:[12 月]])</f>
        <v>121800</v>
      </c>
      <c r="Q5" s="18">
        <v>0.12</v>
      </c>
      <c r="R5" s="32">
        <f>IFERROR(収益[[#This Row],[1 月]]/収益[[#Totals],[1 月]],"-")</f>
        <v>0.29807692307692307</v>
      </c>
      <c r="S5" s="32">
        <f>IFERROR(収益[[#This Row],[2 月]]/収益[[#Totals],[2 月]],"-")</f>
        <v>0.14673913043478262</v>
      </c>
      <c r="T5" s="32">
        <f>IFERROR(収益[[#This Row],[3 月]]/収益[[#Totals],[3 月]],"-")</f>
        <v>0.11219512195121951</v>
      </c>
      <c r="U5" s="32">
        <f>IFERROR(収益[[#This Row],[4 月]]/収益[[#Totals],[4 月]],"-")</f>
        <v>0.19967266775777415</v>
      </c>
      <c r="V5" s="32">
        <f>IFERROR(収益[[#This Row],[5 月]]/収益[[#Totals],[5 月]],"-")</f>
        <v>0.23399014778325122</v>
      </c>
      <c r="W5" s="32">
        <f>IFERROR(収益[[#This Row],[6 月]]/収益[[#Totals],[6 月]],"-")</f>
        <v>0.12283737024221453</v>
      </c>
      <c r="X5" s="32">
        <f>IFERROR(収益[[#This Row],[7 月]]/収益[[#Totals],[7 月]],"-")</f>
        <v>3.5175879396984924E-2</v>
      </c>
      <c r="Y5" s="32">
        <f>IFERROR(収益[[#This Row],[8 月]]/収益[[#Totals],[8 月]],"-")</f>
        <v>5.4814814814814816E-2</v>
      </c>
      <c r="Z5" s="32">
        <f>IFERROR(収益[[#This Row],[9 月]]/収益[[#Totals],[9 月]],"-")</f>
        <v>3.2258064516129031E-2</v>
      </c>
      <c r="AA5" s="32">
        <f>IFERROR(収益[[#This Row],[10 月]]/収益[[#Totals],[10 月]],"-")</f>
        <v>0.26138032305433184</v>
      </c>
      <c r="AB5" s="32">
        <f>IFERROR(収益[[#This Row],[11 月]]/収益[[#Totals],[11 月]],"-")</f>
        <v>0.12449255751014884</v>
      </c>
      <c r="AC5" s="32">
        <f>IFERROR(収益[[#This Row],[12 月]]/収益[[#Totals],[12 月]],"-")</f>
        <v>9.3000958772770856E-2</v>
      </c>
      <c r="AD5" s="39">
        <f>IFERROR(収益[[#This Row],[年次]]/収益[[#Totals],[年次]],"-")</f>
        <v>0.14064665127020784</v>
      </c>
    </row>
    <row r="6" spans="1:30" ht="30" customHeight="1" x14ac:dyDescent="0.25">
      <c r="B6" s="14" t="s">
        <v>4</v>
      </c>
      <c r="C6" s="31"/>
      <c r="D6" s="15">
        <v>1500</v>
      </c>
      <c r="E6" s="15">
        <v>1600</v>
      </c>
      <c r="F6" s="15">
        <v>19800</v>
      </c>
      <c r="G6" s="15">
        <v>4400</v>
      </c>
      <c r="H6" s="15">
        <v>2500</v>
      </c>
      <c r="I6" s="15">
        <v>6800</v>
      </c>
      <c r="J6" s="15">
        <v>4300</v>
      </c>
      <c r="K6" s="15">
        <v>11900</v>
      </c>
      <c r="L6" s="15">
        <v>3700</v>
      </c>
      <c r="M6" s="15">
        <v>11800</v>
      </c>
      <c r="N6" s="15">
        <v>2900</v>
      </c>
      <c r="O6" s="15">
        <v>17100</v>
      </c>
      <c r="P6" s="44">
        <f>SUM(収益[[#This Row],[1 月]:[12 月]])</f>
        <v>88300</v>
      </c>
      <c r="Q6" s="18">
        <v>0.18</v>
      </c>
      <c r="R6" s="32">
        <f>IFERROR(収益[[#This Row],[1 月]]/収益[[#Totals],[1 月]],"-")</f>
        <v>2.403846153846154E-2</v>
      </c>
      <c r="S6" s="32">
        <f>IFERROR(収益[[#This Row],[2 月]]/収益[[#Totals],[2 月]],"-")</f>
        <v>2.1739130434782608E-2</v>
      </c>
      <c r="T6" s="32">
        <f>IFERROR(収益[[#This Row],[3 月]]/収益[[#Totals],[3 月]],"-")</f>
        <v>0.24146341463414633</v>
      </c>
      <c r="U6" s="32">
        <f>IFERROR(収益[[#This Row],[4 月]]/収益[[#Totals],[4 月]],"-")</f>
        <v>7.2013093289689037E-2</v>
      </c>
      <c r="V6" s="32">
        <f>IFERROR(収益[[#This Row],[5 月]]/収益[[#Totals],[5 月]],"-")</f>
        <v>3.0788177339901478E-2</v>
      </c>
      <c r="W6" s="32">
        <f>IFERROR(収益[[#This Row],[6 月]]/収益[[#Totals],[6 月]],"-")</f>
        <v>0.11764705882352941</v>
      </c>
      <c r="X6" s="32">
        <f>IFERROR(収益[[#This Row],[7 月]]/収益[[#Totals],[7 月]],"-")</f>
        <v>7.2026800670016752E-2</v>
      </c>
      <c r="Y6" s="32">
        <f>IFERROR(収益[[#This Row],[8 月]]/収益[[#Totals],[8 月]],"-")</f>
        <v>0.17629629629629628</v>
      </c>
      <c r="Z6" s="32">
        <f>IFERROR(収益[[#This Row],[9 月]]/収益[[#Totals],[9 月]],"-")</f>
        <v>4.9731182795698922E-2</v>
      </c>
      <c r="AA6" s="32">
        <f>IFERROR(収益[[#This Row],[10 月]]/収益[[#Totals],[10 月]],"-")</f>
        <v>0.17327459618208516</v>
      </c>
      <c r="AB6" s="32">
        <f>IFERROR(収益[[#This Row],[11 月]]/収益[[#Totals],[11 月]],"-")</f>
        <v>3.9242219215155617E-2</v>
      </c>
      <c r="AC6" s="32">
        <f>IFERROR(収益[[#This Row],[12 月]]/収益[[#Totals],[12 月]],"-")</f>
        <v>0.16395014381591563</v>
      </c>
      <c r="AD6" s="39">
        <f>IFERROR(収益[[#This Row],[年次]]/収益[[#Totals],[年次]],"-")</f>
        <v>0.10196304849884527</v>
      </c>
    </row>
    <row r="7" spans="1:30" ht="30" customHeight="1" x14ac:dyDescent="0.25">
      <c r="B7" s="14" t="s">
        <v>5</v>
      </c>
      <c r="C7" s="31"/>
      <c r="D7" s="15">
        <v>16600</v>
      </c>
      <c r="E7" s="15">
        <v>18500</v>
      </c>
      <c r="F7" s="15">
        <v>8900</v>
      </c>
      <c r="G7" s="15">
        <v>17000</v>
      </c>
      <c r="H7" s="15">
        <v>13100</v>
      </c>
      <c r="I7" s="15">
        <v>7000</v>
      </c>
      <c r="J7" s="15">
        <v>5000</v>
      </c>
      <c r="K7" s="15">
        <v>14900</v>
      </c>
      <c r="L7" s="15">
        <v>17900</v>
      </c>
      <c r="M7" s="15">
        <v>10400</v>
      </c>
      <c r="N7" s="15">
        <v>11900</v>
      </c>
      <c r="O7" s="15">
        <v>18700</v>
      </c>
      <c r="P7" s="44">
        <f>SUM(収益[[#This Row],[1 月]:[12 月]])</f>
        <v>159900</v>
      </c>
      <c r="Q7" s="18">
        <v>0.19</v>
      </c>
      <c r="R7" s="32">
        <f>IFERROR(収益[[#This Row],[1 月]]/収益[[#Totals],[1 月]],"-")</f>
        <v>0.26602564102564102</v>
      </c>
      <c r="S7" s="32">
        <f>IFERROR(収益[[#This Row],[2 月]]/収益[[#Totals],[2 月]],"-")</f>
        <v>0.25135869565217389</v>
      </c>
      <c r="T7" s="32">
        <f>IFERROR(収益[[#This Row],[3 月]]/収益[[#Totals],[3 月]],"-")</f>
        <v>0.10853658536585366</v>
      </c>
      <c r="U7" s="32">
        <f>IFERROR(収益[[#This Row],[4 月]]/収益[[#Totals],[4 月]],"-")</f>
        <v>0.27823240589198034</v>
      </c>
      <c r="V7" s="32">
        <f>IFERROR(収益[[#This Row],[5 月]]/収益[[#Totals],[5 月]],"-")</f>
        <v>0.16133004926108374</v>
      </c>
      <c r="W7" s="32">
        <f>IFERROR(収益[[#This Row],[6 月]]/収益[[#Totals],[6 月]],"-")</f>
        <v>0.12110726643598616</v>
      </c>
      <c r="X7" s="32">
        <f>IFERROR(収益[[#This Row],[7 月]]/収益[[#Totals],[7 月]],"-")</f>
        <v>8.3752093802345065E-2</v>
      </c>
      <c r="Y7" s="32">
        <f>IFERROR(収益[[#This Row],[8 月]]/収益[[#Totals],[8 月]],"-")</f>
        <v>0.22074074074074074</v>
      </c>
      <c r="Z7" s="32">
        <f>IFERROR(収益[[#This Row],[9 月]]/収益[[#Totals],[9 月]],"-")</f>
        <v>0.24059139784946237</v>
      </c>
      <c r="AA7" s="32">
        <f>IFERROR(収益[[#This Row],[10 月]]/収益[[#Totals],[10 月]],"-")</f>
        <v>0.1527165932452276</v>
      </c>
      <c r="AB7" s="32">
        <f>IFERROR(収益[[#This Row],[11 月]]/収益[[#Totals],[11 月]],"-")</f>
        <v>0.16102841677943167</v>
      </c>
      <c r="AC7" s="32">
        <f>IFERROR(収益[[#This Row],[12 月]]/収益[[#Totals],[12 月]],"-")</f>
        <v>0.17929050814956854</v>
      </c>
      <c r="AD7" s="39">
        <f>IFERROR(収益[[#This Row],[年次]]/収益[[#Totals],[年次]],"-")</f>
        <v>0.18464203233256352</v>
      </c>
    </row>
    <row r="8" spans="1:30" ht="30" customHeight="1" x14ac:dyDescent="0.25">
      <c r="B8" s="14" t="s">
        <v>6</v>
      </c>
      <c r="C8" s="31"/>
      <c r="D8" s="15">
        <v>2100</v>
      </c>
      <c r="E8" s="15">
        <v>11300</v>
      </c>
      <c r="F8" s="15">
        <v>8300</v>
      </c>
      <c r="G8" s="15">
        <v>1700</v>
      </c>
      <c r="H8" s="15">
        <v>13000</v>
      </c>
      <c r="I8" s="15">
        <v>2600</v>
      </c>
      <c r="J8" s="15">
        <v>16700</v>
      </c>
      <c r="K8" s="15">
        <v>10200</v>
      </c>
      <c r="L8" s="15">
        <v>8200</v>
      </c>
      <c r="M8" s="15">
        <v>3300</v>
      </c>
      <c r="N8" s="15">
        <v>8800</v>
      </c>
      <c r="O8" s="15">
        <v>19300</v>
      </c>
      <c r="P8" s="44">
        <f>SUM(収益[[#This Row],[1 月]:[12 月]])</f>
        <v>105500</v>
      </c>
      <c r="Q8" s="18">
        <v>0.11</v>
      </c>
      <c r="R8" s="32">
        <f>IFERROR(収益[[#This Row],[1 月]]/収益[[#Totals],[1 月]],"-")</f>
        <v>3.3653846153846152E-2</v>
      </c>
      <c r="S8" s="32">
        <f>IFERROR(収益[[#This Row],[2 月]]/収益[[#Totals],[2 月]],"-")</f>
        <v>0.15353260869565216</v>
      </c>
      <c r="T8" s="32">
        <f>IFERROR(収益[[#This Row],[3 月]]/収益[[#Totals],[3 月]],"-")</f>
        <v>0.10121951219512196</v>
      </c>
      <c r="U8" s="32">
        <f>IFERROR(収益[[#This Row],[4 月]]/収益[[#Totals],[4 月]],"-")</f>
        <v>2.7823240589198037E-2</v>
      </c>
      <c r="V8" s="32">
        <f>IFERROR(収益[[#This Row],[5 月]]/収益[[#Totals],[5 月]],"-")</f>
        <v>0.16009852216748768</v>
      </c>
      <c r="W8" s="32">
        <f>IFERROR(収益[[#This Row],[6 月]]/収益[[#Totals],[6 月]],"-")</f>
        <v>4.4982698961937718E-2</v>
      </c>
      <c r="X8" s="32">
        <f>IFERROR(収益[[#This Row],[7 月]]/収益[[#Totals],[7 月]],"-")</f>
        <v>0.2797319932998325</v>
      </c>
      <c r="Y8" s="32">
        <f>IFERROR(収益[[#This Row],[8 月]]/収益[[#Totals],[8 月]],"-")</f>
        <v>0.15111111111111111</v>
      </c>
      <c r="Z8" s="32">
        <f>IFERROR(収益[[#This Row],[9 月]]/収益[[#Totals],[9 月]],"-")</f>
        <v>0.11021505376344086</v>
      </c>
      <c r="AA8" s="32">
        <f>IFERROR(収益[[#This Row],[10 月]]/収益[[#Totals],[10 月]],"-")</f>
        <v>4.8458149779735685E-2</v>
      </c>
      <c r="AB8" s="32">
        <f>IFERROR(収益[[#This Row],[11 月]]/収益[[#Totals],[11 月]],"-")</f>
        <v>0.11907983761840325</v>
      </c>
      <c r="AC8" s="32">
        <f>IFERROR(収益[[#This Row],[12 月]]/収益[[#Totals],[12 月]],"-")</f>
        <v>0.18504314477468839</v>
      </c>
      <c r="AD8" s="39">
        <f>IFERROR(収益[[#This Row],[年次]]/収益[[#Totals],[年次]],"-")</f>
        <v>0.12182448036951501</v>
      </c>
    </row>
    <row r="9" spans="1:30" ht="30" customHeight="1" x14ac:dyDescent="0.25">
      <c r="B9" s="14" t="s">
        <v>7</v>
      </c>
      <c r="C9" s="31"/>
      <c r="D9" s="15">
        <v>7000</v>
      </c>
      <c r="E9" s="15">
        <v>16000</v>
      </c>
      <c r="F9" s="15">
        <v>12500</v>
      </c>
      <c r="G9" s="15">
        <v>8400</v>
      </c>
      <c r="H9" s="15">
        <v>19100</v>
      </c>
      <c r="I9" s="15">
        <v>9700</v>
      </c>
      <c r="J9" s="15">
        <v>5200</v>
      </c>
      <c r="K9" s="15">
        <v>4500</v>
      </c>
      <c r="L9" s="15">
        <v>17300</v>
      </c>
      <c r="M9" s="15">
        <v>13600</v>
      </c>
      <c r="N9" s="15">
        <v>14400</v>
      </c>
      <c r="O9" s="15">
        <v>16700</v>
      </c>
      <c r="P9" s="44">
        <f>SUM(収益[[#This Row],[1 月]:[12 月]])</f>
        <v>144400</v>
      </c>
      <c r="Q9" s="18">
        <v>0.2</v>
      </c>
      <c r="R9" s="32">
        <f>IFERROR(収益[[#This Row],[1 月]]/収益[[#Totals],[1 月]],"-")</f>
        <v>0.11217948717948718</v>
      </c>
      <c r="S9" s="32">
        <f>IFERROR(収益[[#This Row],[2 月]]/収益[[#Totals],[2 月]],"-")</f>
        <v>0.21739130434782608</v>
      </c>
      <c r="T9" s="32">
        <f>IFERROR(収益[[#This Row],[3 月]]/収益[[#Totals],[3 月]],"-")</f>
        <v>0.1524390243902439</v>
      </c>
      <c r="U9" s="32">
        <f>IFERROR(収益[[#This Row],[4 月]]/収益[[#Totals],[4 月]],"-")</f>
        <v>0.13747954173486088</v>
      </c>
      <c r="V9" s="32">
        <f>IFERROR(収益[[#This Row],[5 月]]/収益[[#Totals],[5 月]],"-")</f>
        <v>0.23522167487684728</v>
      </c>
      <c r="W9" s="32">
        <f>IFERROR(収益[[#This Row],[6 月]]/収益[[#Totals],[6 月]],"-")</f>
        <v>0.16782006920415224</v>
      </c>
      <c r="X9" s="32">
        <f>IFERROR(収益[[#This Row],[7 月]]/収益[[#Totals],[7 月]],"-")</f>
        <v>8.7102177554438859E-2</v>
      </c>
      <c r="Y9" s="32">
        <f>IFERROR(収益[[#This Row],[8 月]]/収益[[#Totals],[8 月]],"-")</f>
        <v>6.6666666666666666E-2</v>
      </c>
      <c r="Z9" s="32">
        <f>IFERROR(収益[[#This Row],[9 月]]/収益[[#Totals],[9 月]],"-")</f>
        <v>0.2325268817204301</v>
      </c>
      <c r="AA9" s="32">
        <f>IFERROR(収益[[#This Row],[10 月]]/収益[[#Totals],[10 月]],"-")</f>
        <v>0.19970631424375918</v>
      </c>
      <c r="AB9" s="32">
        <f>IFERROR(収益[[#This Row],[11 月]]/収益[[#Totals],[11 月]],"-")</f>
        <v>0.19485791610284167</v>
      </c>
      <c r="AC9" s="32">
        <f>IFERROR(収益[[#This Row],[12 月]]/収益[[#Totals],[12 月]],"-")</f>
        <v>0.1601150527325024</v>
      </c>
      <c r="AD9" s="39">
        <f>IFERROR(収益[[#This Row],[年次]]/収益[[#Totals],[年次]],"-")</f>
        <v>0.16674364896073904</v>
      </c>
    </row>
    <row r="10" spans="1:30" ht="30" customHeight="1" x14ac:dyDescent="0.25">
      <c r="B10" s="14" t="s">
        <v>8</v>
      </c>
      <c r="C10" s="31"/>
      <c r="D10" s="15">
        <v>6100</v>
      </c>
      <c r="E10" s="15">
        <v>9900</v>
      </c>
      <c r="F10" s="15">
        <v>7000</v>
      </c>
      <c r="G10" s="15">
        <v>16200</v>
      </c>
      <c r="H10" s="15">
        <v>2800</v>
      </c>
      <c r="I10" s="15">
        <v>16300</v>
      </c>
      <c r="J10" s="15">
        <v>10100</v>
      </c>
      <c r="K10" s="15">
        <v>10300</v>
      </c>
      <c r="L10" s="15">
        <v>7800</v>
      </c>
      <c r="M10" s="15">
        <v>3300</v>
      </c>
      <c r="N10" s="15">
        <v>16200</v>
      </c>
      <c r="O10" s="15">
        <v>15900</v>
      </c>
      <c r="P10" s="44">
        <f>SUM(収益[[#This Row],[1 月]:[12 月]])</f>
        <v>121900</v>
      </c>
      <c r="Q10" s="18">
        <v>0.1</v>
      </c>
      <c r="R10" s="32">
        <f>IFERROR(収益[[#This Row],[1 月]]/収益[[#Totals],[1 月]],"-")</f>
        <v>9.7756410256410256E-2</v>
      </c>
      <c r="S10" s="32">
        <f>IFERROR(収益[[#This Row],[2 月]]/収益[[#Totals],[2 月]],"-")</f>
        <v>0.13451086956521738</v>
      </c>
      <c r="T10" s="32">
        <f>IFERROR(収益[[#This Row],[3 月]]/収益[[#Totals],[3 月]],"-")</f>
        <v>8.5365853658536592E-2</v>
      </c>
      <c r="U10" s="32">
        <f>IFERROR(収益[[#This Row],[4 月]]/収益[[#Totals],[4 月]],"-")</f>
        <v>0.265139116202946</v>
      </c>
      <c r="V10" s="32">
        <f>IFERROR(収益[[#This Row],[5 月]]/収益[[#Totals],[5 月]],"-")</f>
        <v>3.4482758620689655E-2</v>
      </c>
      <c r="W10" s="32">
        <f>IFERROR(収益[[#This Row],[6 月]]/収益[[#Totals],[6 月]],"-")</f>
        <v>0.2820069204152249</v>
      </c>
      <c r="X10" s="32">
        <f>IFERROR(収益[[#This Row],[7 月]]/収益[[#Totals],[7 月]],"-")</f>
        <v>0.16917922948073702</v>
      </c>
      <c r="Y10" s="32">
        <f>IFERROR(収益[[#This Row],[8 月]]/収益[[#Totals],[8 月]],"-")</f>
        <v>0.15259259259259259</v>
      </c>
      <c r="Z10" s="32">
        <f>IFERROR(収益[[#This Row],[9 月]]/収益[[#Totals],[9 月]],"-")</f>
        <v>0.10483870967741936</v>
      </c>
      <c r="AA10" s="32">
        <f>IFERROR(収益[[#This Row],[10 月]]/収益[[#Totals],[10 月]],"-")</f>
        <v>4.8458149779735685E-2</v>
      </c>
      <c r="AB10" s="32">
        <f>IFERROR(収益[[#This Row],[11 月]]/収益[[#Totals],[11 月]],"-")</f>
        <v>0.21921515561569688</v>
      </c>
      <c r="AC10" s="32">
        <f>IFERROR(収益[[#This Row],[12 月]]/収益[[#Totals],[12 月]],"-")</f>
        <v>0.15244487056567593</v>
      </c>
      <c r="AD10" s="39">
        <f>IFERROR(収益[[#This Row],[年次]]/収益[[#Totals],[年次]],"-")</f>
        <v>0.14076212471131641</v>
      </c>
    </row>
    <row r="11" spans="1:30" ht="30" customHeight="1" x14ac:dyDescent="0.25">
      <c r="B11" s="14" t="s">
        <v>9</v>
      </c>
      <c r="C11" s="31"/>
      <c r="D11" s="15">
        <v>10500</v>
      </c>
      <c r="E11" s="15">
        <v>5500</v>
      </c>
      <c r="F11" s="15">
        <v>16300</v>
      </c>
      <c r="G11" s="15">
        <v>1200</v>
      </c>
      <c r="H11" s="15">
        <v>11700</v>
      </c>
      <c r="I11" s="15">
        <v>8300</v>
      </c>
      <c r="J11" s="15">
        <v>16300</v>
      </c>
      <c r="K11" s="15">
        <v>12000</v>
      </c>
      <c r="L11" s="15">
        <v>17100</v>
      </c>
      <c r="M11" s="15">
        <v>7900</v>
      </c>
      <c r="N11" s="15">
        <v>10500</v>
      </c>
      <c r="O11" s="15">
        <v>6900</v>
      </c>
      <c r="P11" s="44">
        <f>SUM(収益[[#This Row],[1 月]:[12 月]])</f>
        <v>124200</v>
      </c>
      <c r="Q11" s="18">
        <v>0.1</v>
      </c>
      <c r="R11" s="32">
        <f>IFERROR(収益[[#This Row],[1 月]]/収益[[#Totals],[1 月]],"-")</f>
        <v>0.16826923076923078</v>
      </c>
      <c r="S11" s="32">
        <f>IFERROR(収益[[#This Row],[2 月]]/収益[[#Totals],[2 月]],"-")</f>
        <v>7.4728260869565216E-2</v>
      </c>
      <c r="T11" s="32">
        <f>IFERROR(収益[[#This Row],[3 月]]/収益[[#Totals],[3 月]],"-")</f>
        <v>0.19878048780487806</v>
      </c>
      <c r="U11" s="32">
        <f>IFERROR(収益[[#This Row],[4 月]]/収益[[#Totals],[4 月]],"-")</f>
        <v>1.9639934533551555E-2</v>
      </c>
      <c r="V11" s="32">
        <f>IFERROR(収益[[#This Row],[5 月]]/収益[[#Totals],[5 月]],"-")</f>
        <v>0.14408866995073891</v>
      </c>
      <c r="W11" s="32">
        <f>IFERROR(収益[[#This Row],[6 月]]/収益[[#Totals],[6 月]],"-")</f>
        <v>0.14359861591695502</v>
      </c>
      <c r="X11" s="32">
        <f>IFERROR(収益[[#This Row],[7 月]]/収益[[#Totals],[7 月]],"-")</f>
        <v>0.27303182579564489</v>
      </c>
      <c r="Y11" s="32">
        <f>IFERROR(収益[[#This Row],[8 月]]/収益[[#Totals],[8 月]],"-")</f>
        <v>0.17777777777777778</v>
      </c>
      <c r="Z11" s="32">
        <f>IFERROR(収益[[#This Row],[9 月]]/収益[[#Totals],[9 月]],"-")</f>
        <v>0.22983870967741934</v>
      </c>
      <c r="AA11" s="32">
        <f>IFERROR(収益[[#This Row],[10 月]]/収益[[#Totals],[10 月]],"-")</f>
        <v>0.11600587371512482</v>
      </c>
      <c r="AB11" s="32">
        <f>IFERROR(収益[[#This Row],[11 月]]/収益[[#Totals],[11 月]],"-")</f>
        <v>0.14208389715832206</v>
      </c>
      <c r="AC11" s="32">
        <f>IFERROR(収益[[#This Row],[12 月]]/収益[[#Totals],[12 月]],"-")</f>
        <v>6.6155321188878236E-2</v>
      </c>
      <c r="AD11" s="39">
        <f>IFERROR(収益[[#This Row],[年次]]/収益[[#Totals],[年次]],"-")</f>
        <v>0.14341801385681294</v>
      </c>
    </row>
    <row r="12" spans="1:30" s="10" customFormat="1" ht="30" customHeight="1" x14ac:dyDescent="0.25">
      <c r="B12" s="7" t="s">
        <v>71</v>
      </c>
      <c r="C12" s="28"/>
      <c r="D12" s="45">
        <f>SUBTOTAL(109,収益[1 月])</f>
        <v>62400</v>
      </c>
      <c r="E12" s="45">
        <f>SUBTOTAL(109,収益[2 月])</f>
        <v>73600</v>
      </c>
      <c r="F12" s="45">
        <f>SUBTOTAL(109,収益[3 月])</f>
        <v>82000</v>
      </c>
      <c r="G12" s="45">
        <f>SUBTOTAL(109,収益[4 月])</f>
        <v>61100</v>
      </c>
      <c r="H12" s="45">
        <f>SUBTOTAL(109,収益[5 月])</f>
        <v>81200</v>
      </c>
      <c r="I12" s="45">
        <f>SUBTOTAL(109,収益[6 月])</f>
        <v>57800</v>
      </c>
      <c r="J12" s="45">
        <f>SUBTOTAL(109,収益[7 月])</f>
        <v>59700</v>
      </c>
      <c r="K12" s="45">
        <f>SUBTOTAL(109,収益[8 月])</f>
        <v>67500</v>
      </c>
      <c r="L12" s="45">
        <f>SUBTOTAL(109,収益[9 月])</f>
        <v>74400</v>
      </c>
      <c r="M12" s="45">
        <f>SUBTOTAL(109,収益[10 月])</f>
        <v>68100</v>
      </c>
      <c r="N12" s="45">
        <f>SUBTOTAL(109,収益[11 月])</f>
        <v>73900</v>
      </c>
      <c r="O12" s="45">
        <f>SUBTOTAL(109,収益[12 月])</f>
        <v>104300</v>
      </c>
      <c r="P12" s="45">
        <f>SUBTOTAL(109,収益[年次])</f>
        <v>866000</v>
      </c>
      <c r="Q12" s="29">
        <f>SUBTOTAL(109,収益[インデックス %])</f>
        <v>1</v>
      </c>
      <c r="R12" s="29">
        <f>SUBTOTAL(109,収益[1 月 %])</f>
        <v>1</v>
      </c>
      <c r="S12" s="29">
        <f>SUBTOTAL(109,収益[2 月 %])</f>
        <v>1</v>
      </c>
      <c r="T12" s="29">
        <f>SUBTOTAL(109,収益[3 月 %])</f>
        <v>1</v>
      </c>
      <c r="U12" s="29">
        <f>SUBTOTAL(109,収益[4 月 %])</f>
        <v>0.99999999999999989</v>
      </c>
      <c r="V12" s="29">
        <f>SUBTOTAL(109,収益[5 月 %])</f>
        <v>0.99999999999999989</v>
      </c>
      <c r="W12" s="29">
        <f>SUBTOTAL(109,収益[6 月 %])</f>
        <v>1</v>
      </c>
      <c r="X12" s="29">
        <f>SUBTOTAL(109,収益[7 月 %])</f>
        <v>1</v>
      </c>
      <c r="Y12" s="29">
        <f>SUBTOTAL(109,収益[8 月 %])</f>
        <v>1</v>
      </c>
      <c r="Z12" s="29">
        <f>SUBTOTAL(109,収益[9 月 %])</f>
        <v>1</v>
      </c>
      <c r="AA12" s="29">
        <f>SUBTOTAL(109,収益[10 月 %])</f>
        <v>1</v>
      </c>
      <c r="AB12" s="29">
        <f>SUBTOTAL(109,収益[11 月 %])</f>
        <v>1</v>
      </c>
      <c r="AC12" s="29">
        <f>SUBTOTAL(109,収益[12 月 %])</f>
        <v>0.99999999999999989</v>
      </c>
      <c r="AD12" s="29">
        <f>SUBTOTAL(109,収益[年 %])</f>
        <v>1</v>
      </c>
    </row>
    <row r="15" spans="1:30" ht="30" customHeight="1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30" ht="30" customHeight="1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3:15" ht="30" customHeight="1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</sheetData>
  <phoneticPr fontId="4"/>
  <dataValidations count="18">
    <dataValidation type="list" errorStyle="warning" allowBlank="1" showInputMessage="1" showErrorMessage="1" error="ドロップダウン リストから月を選びます。[キャンセル] を選択し、Alt キーを押しながら下方向キーを押します。Enter キーを押して月を選択します" prompt="このセルで月を選びます。Alt キーを押しながら下矢印キーを押して、ドロップダウン リストを開き、Enter キーを押して月を選択します" sqref="AC2">
      <formula1>"1 月,2 月,3 月,4 月,5 月,6 月,7 月,8 月,9 月,10 月,11 月,12 月"</formula1>
    </dataValidation>
    <dataValidation errorStyle="information" allowBlank="1" showInputMessage="1" errorTitle="不明な年" error="ドロップダウン リストから年を選びます。リストから年を追加または削除するには、[データ] タブの [データ ツール] グループで [データ検証] をクリックします。" prompt="このセルに年を入力します" sqref="AD2"/>
    <dataValidation allowBlank="1" showInputMessage="1" showErrorMessage="1" prompt="AC2 で会計年度の開始月を選択し、このラベルの右にあるセル AD2 に年を入力します" sqref="AB2"/>
    <dataValidation allowBlank="1" showInputMessage="1" showErrorMessage="1" prompt="年間収益は、この列で自動計算されます" sqref="P3"/>
    <dataValidation allowBlank="1" showInputMessage="1" showErrorMessage="1" prompt="売上合計を計算する推計期間のタイトルを入力します" sqref="B1"/>
    <dataValidation allowBlank="1" showInputMessage="1" showErrorMessage="1" prompt="推計タイトルが、このセルの内容です。下記の収益表に値を入れ、収益合計を計算します" sqref="B2"/>
    <dataValidation allowBlank="1" showInputMessage="1" showErrorMessage="1" prompt="このセルには会社名を入力します" sqref="AD1"/>
    <dataValidation allowBlank="1" showInputMessage="1" showErrorMessage="1" prompt="この行の日付は、会計年度の開始月に基づいて自動更新されます。開始月を変更するには、セル AC2 を変更します" sqref="D3"/>
    <dataValidation allowBlank="1" showInputMessage="1" showErrorMessage="1" prompt="この列にはインデックスの割合を入力します" sqref="Q4"/>
    <dataValidation allowBlank="1" showInputMessage="1" showErrorMessage="1" prompt="このワークシートでは、各月、年の売上合計、およびさまざまなソースの年間売上合計を計算します。会計年度の開始月をセル AC2 で、年を AD2 で選択してください" sqref="A2 A4:A12"/>
    <dataValidation allowBlank="1" showInputMessage="1" showErrorMessage="1" prompt="このワークシートでは、各月、年の売上合計、およびさまざまなソースの年間売上合計を計算します。会計年度の開始月をセル AC2 に、年を AD2 に入力してください" sqref="A1"/>
    <dataValidation allowBlank="1" showInputMessage="1" showErrorMessage="1" prompt="自動的に更新される月" sqref="E3:O3"/>
    <dataValidation allowBlank="1" showInputMessage="1" showErrorMessage="1" prompt="さまざまなソースの売上の割合が、この列の売上合計に対してこのセルの月用に、自動計算されます" sqref="R3:AC3"/>
    <dataValidation allowBlank="1" showInputMessage="1" showErrorMessage="1" prompt="さまざまなソースの売上の割合が、この列で年の売上合計に対して、自動計算されます" sqref="AD3"/>
    <dataValidation allowBlank="1" showInputMessage="1" showErrorMessage="1" prompt="この列には売上の収益を入力します" sqref="B4"/>
    <dataValidation allowBlank="1" showInputMessage="1" showErrorMessage="1" prompt="この列には収益の経時でのトレンド グラフがあります" sqref="C4"/>
    <dataValidation allowBlank="1" showInputMessage="1" showErrorMessage="1" prompt="この列に列 B に記載されているソースの収益を入力します" sqref="D4:O4"/>
    <dataValidation allowBlank="1" showInputMessage="1" showErrorMessage="1" prompt="この列にはインデックスの割合があります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'収益 (売上)'!$D$5:$O$5</xm:f>
              <xm:sqref>C5</xm:sqref>
            </x14:sparkline>
            <x14:sparkline>
              <xm:f>'収益 (売上)'!$D$6:$O$6</xm:f>
              <xm:sqref>C6</xm:sqref>
            </x14:sparkline>
            <x14:sparkline>
              <xm:f>'収益 (売上)'!$D$7:$O$7</xm:f>
              <xm:sqref>C7</xm:sqref>
            </x14:sparkline>
            <x14:sparkline>
              <xm:f>'収益 (売上)'!$D$8:$O$8</xm:f>
              <xm:sqref>C8</xm:sqref>
            </x14:sparkline>
            <x14:sparkline>
              <xm:f>'収益 (売上)'!$D$9:$O$9</xm:f>
              <xm:sqref>C9</xm:sqref>
            </x14:sparkline>
            <x14:sparkline>
              <xm:f>'収益 (売上)'!$D$10:$O$10</xm:f>
              <xm:sqref>C10</xm:sqref>
            </x14:sparkline>
            <x14:sparkline>
              <xm:f>'収益 (売上)'!$D$11:$O$11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'収益 (売上)'!D12:O12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9"/>
  <sheetViews>
    <sheetView showGridLines="0" zoomScaleNormal="100" workbookViewId="0">
      <pane ySplit="3" topLeftCell="A4" activePane="bottomLeft" state="frozen"/>
      <selection activeCell="D16" sqref="D16"/>
      <selection pane="bottomLeft"/>
    </sheetView>
  </sheetViews>
  <sheetFormatPr defaultRowHeight="30" customHeight="1" x14ac:dyDescent="0.25"/>
  <cols>
    <col min="1" max="1" width="2.77734375" customWidth="1"/>
    <col min="2" max="2" width="13" customWidth="1"/>
    <col min="3" max="3" width="12.77734375" customWidth="1"/>
    <col min="4" max="15" width="11.77734375" customWidth="1"/>
    <col min="16" max="16" width="13.6640625" customWidth="1"/>
    <col min="17" max="17" width="13.88671875" customWidth="1"/>
    <col min="18" max="30" width="7.88671875" customWidth="1"/>
    <col min="31" max="31" width="2.77734375" customWidth="1"/>
  </cols>
  <sheetData>
    <row r="1" spans="1:30" ht="35.1" customHeight="1" x14ac:dyDescent="0.25">
      <c r="A1" s="5"/>
      <c r="B1" s="22" t="str">
        <f>Projection_Period_Title</f>
        <v>12 か月</v>
      </c>
      <c r="C1" s="9"/>
      <c r="J1" s="6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9" t="str">
        <f>会社名</f>
        <v>会社名</v>
      </c>
    </row>
    <row r="2" spans="1:30" ht="60" customHeight="1" x14ac:dyDescent="0.25">
      <c r="B2" s="33" t="str">
        <f>Wksht_Title</f>
        <v>損益予測</v>
      </c>
      <c r="E2" s="43"/>
      <c r="F2" s="10"/>
      <c r="G2" s="43"/>
      <c r="K2" s="43"/>
      <c r="L2" s="43"/>
      <c r="M2" s="43"/>
      <c r="N2" s="43"/>
      <c r="O2" s="43"/>
      <c r="X2" s="42"/>
      <c r="Y2" s="42"/>
      <c r="Z2" s="42"/>
      <c r="AA2" s="42"/>
      <c r="AB2" s="20" t="s">
        <v>49</v>
      </c>
      <c r="AC2" s="20" t="str">
        <f>FYMonthStart</f>
        <v>1 月</v>
      </c>
      <c r="AD2" s="20">
        <f ca="1">FYStartYear</f>
        <v>2017</v>
      </c>
    </row>
    <row r="3" spans="1:30" ht="20.100000000000001" customHeight="1" x14ac:dyDescent="0.25">
      <c r="D3" s="21" t="str">
        <f ca="1">UPPER(TEXT(DATE(FYStartYear,FYMonthNo,1),"yyyy 年 m 月"))</f>
        <v>2017 年 1 月</v>
      </c>
      <c r="E3" s="21" t="str">
        <f ca="1">UPPER(TEXT(DATE(FYStartYear,FYMonthNo+1,1),"yyyy 年 m 月"))</f>
        <v>2017 年 2 月</v>
      </c>
      <c r="F3" s="21" t="str">
        <f ca="1">UPPER(TEXT(DATE(FYStartYear,FYMonthNo+2,1),"yyyy 年 m 月"))</f>
        <v>2017 年 3 月</v>
      </c>
      <c r="G3" s="21" t="str">
        <f ca="1">UPPER(TEXT(DATE(FYStartYear,FYMonthNo+3,1),"yyyy 年 m 月"))</f>
        <v>2017 年 4 月</v>
      </c>
      <c r="H3" s="21" t="str">
        <f ca="1">UPPER(TEXT(DATE(FYStartYear,FYMonthNo+4,1),"yyyy 年 m 月"))</f>
        <v>2017 年 5 月</v>
      </c>
      <c r="I3" s="21" t="str">
        <f ca="1">UPPER(TEXT(DATE(FYStartYear,FYMonthNo+5,1),"yyyy 年 m 月"))</f>
        <v>2017 年 6 月</v>
      </c>
      <c r="J3" s="21" t="str">
        <f ca="1">UPPER(TEXT(DATE(FYStartYear,FYMonthNo+6,1),"yyyy 年 m 月"))</f>
        <v>2017 年 7 月</v>
      </c>
      <c r="K3" s="21" t="str">
        <f ca="1">UPPER(TEXT(DATE(FYStartYear,FYMonthNo+7,1),"yyyy 年 m 月"))</f>
        <v>2017 年 8 月</v>
      </c>
      <c r="L3" s="21" t="str">
        <f ca="1">UPPER(TEXT(DATE(FYStartYear,FYMonthNo+8,1),"yyyy 年 m 月"))</f>
        <v>2017 年 9 月</v>
      </c>
      <c r="M3" s="21" t="str">
        <f ca="1">UPPER(TEXT(DATE(FYStartYear,FYMonthNo+9,1),"yyyy 年 m 月"))</f>
        <v>2017 年 10 月</v>
      </c>
      <c r="N3" s="21" t="str">
        <f ca="1">UPPER(TEXT(DATE(FYStartYear,FYMonthNo+10,1),"yyyy 年 m 月"))</f>
        <v>2017 年 11 月</v>
      </c>
      <c r="O3" s="21" t="str">
        <f ca="1">UPPER(TEXT(DATE(FYStartYear,FYMonthNo+11,1),"yyyy 年 m 月"))</f>
        <v>2017 年 12 月</v>
      </c>
      <c r="P3" s="21" t="s">
        <v>23</v>
      </c>
      <c r="Q3" s="21" t="s">
        <v>24</v>
      </c>
      <c r="R3" s="21" t="str">
        <f ca="1">IF(RIGHT(D3,4)&gt;"0",RIGHT(D3,4),RIGHT(D3,3))&amp;" %"</f>
        <v>1 月 %</v>
      </c>
      <c r="S3" s="21" t="str">
        <f t="shared" ref="S3:AC3" ca="1" si="0">IF(RIGHT(E3,4)&gt;"0",RIGHT(E3,4),RIGHT(E3,3))&amp;" %"</f>
        <v>2 月 %</v>
      </c>
      <c r="T3" s="21" t="str">
        <f t="shared" ca="1" si="0"/>
        <v>3 月 %</v>
      </c>
      <c r="U3" s="21" t="str">
        <f t="shared" ca="1" si="0"/>
        <v>4 月 %</v>
      </c>
      <c r="V3" s="21" t="str">
        <f t="shared" ca="1" si="0"/>
        <v>5 月 %</v>
      </c>
      <c r="W3" s="21" t="str">
        <f t="shared" ca="1" si="0"/>
        <v>6 月 %</v>
      </c>
      <c r="X3" s="21" t="str">
        <f t="shared" ca="1" si="0"/>
        <v>7 月 %</v>
      </c>
      <c r="Y3" s="21" t="str">
        <f t="shared" ca="1" si="0"/>
        <v>8 月 %</v>
      </c>
      <c r="Z3" s="21" t="str">
        <f t="shared" ca="1" si="0"/>
        <v>9 月 %</v>
      </c>
      <c r="AA3" s="21" t="str">
        <f t="shared" ca="1" si="0"/>
        <v>10 月 %</v>
      </c>
      <c r="AB3" s="21" t="str">
        <f t="shared" ca="1" si="0"/>
        <v>11 月 %</v>
      </c>
      <c r="AC3" s="21" t="str">
        <f t="shared" ca="1" si="0"/>
        <v>12 月 %</v>
      </c>
      <c r="AD3" s="21" t="s">
        <v>39</v>
      </c>
    </row>
    <row r="4" spans="1:30" ht="30" customHeight="1" x14ac:dyDescent="0.25">
      <c r="B4" s="30" t="s">
        <v>40</v>
      </c>
      <c r="C4" s="30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3" t="s">
        <v>18</v>
      </c>
      <c r="L4" s="23" t="s">
        <v>19</v>
      </c>
      <c r="M4" s="23" t="s">
        <v>20</v>
      </c>
      <c r="N4" s="23" t="s">
        <v>21</v>
      </c>
      <c r="O4" s="23" t="s">
        <v>22</v>
      </c>
      <c r="P4" s="23" t="s">
        <v>23</v>
      </c>
      <c r="Q4" s="24" t="s">
        <v>24</v>
      </c>
      <c r="R4" s="24" t="s">
        <v>25</v>
      </c>
      <c r="S4" s="24" t="s">
        <v>26</v>
      </c>
      <c r="T4" s="24" t="s">
        <v>27</v>
      </c>
      <c r="U4" s="24" t="s">
        <v>28</v>
      </c>
      <c r="V4" s="24" t="s">
        <v>29</v>
      </c>
      <c r="W4" s="24" t="s">
        <v>30</v>
      </c>
      <c r="X4" s="24" t="s">
        <v>31</v>
      </c>
      <c r="Y4" s="24" t="s">
        <v>32</v>
      </c>
      <c r="Z4" s="24" t="s">
        <v>33</v>
      </c>
      <c r="AA4" s="24" t="s">
        <v>34</v>
      </c>
      <c r="AB4" s="24" t="s">
        <v>36</v>
      </c>
      <c r="AC4" s="24" t="s">
        <v>37</v>
      </c>
      <c r="AD4" s="23" t="s">
        <v>39</v>
      </c>
    </row>
    <row r="5" spans="1:30" ht="30" customHeight="1" x14ac:dyDescent="0.25">
      <c r="B5" s="25" t="s">
        <v>41</v>
      </c>
      <c r="C5" s="34"/>
      <c r="D5" s="26">
        <v>6100</v>
      </c>
      <c r="E5" s="26">
        <v>7800</v>
      </c>
      <c r="F5" s="26">
        <v>6500</v>
      </c>
      <c r="G5" s="26">
        <v>2900</v>
      </c>
      <c r="H5" s="26">
        <v>12500</v>
      </c>
      <c r="I5" s="26">
        <v>4900</v>
      </c>
      <c r="J5" s="26">
        <v>1400</v>
      </c>
      <c r="K5" s="26">
        <v>2600</v>
      </c>
      <c r="L5" s="26">
        <v>1400</v>
      </c>
      <c r="M5" s="26">
        <v>12900</v>
      </c>
      <c r="N5" s="26">
        <v>6000</v>
      </c>
      <c r="O5" s="26">
        <v>6500</v>
      </c>
      <c r="P5" s="50">
        <f>SUM(売上原価[[#This Row],[1 月]:[12 月]])</f>
        <v>71500</v>
      </c>
      <c r="Q5" s="27">
        <v>0.12</v>
      </c>
      <c r="R5" s="49">
        <f>IFERROR(売上原価[[#This Row],[1 月]]/売上原価[[#Totals],[1 月]],"-")</f>
        <v>0.23018867924528302</v>
      </c>
      <c r="S5" s="49">
        <f>IFERROR(売上原価[[#This Row],[2 月]]/売上原価[[#Totals],[2 月]],"-")</f>
        <v>0.21910112359550563</v>
      </c>
      <c r="T5" s="49">
        <f>IFERROR(売上原価[[#This Row],[3 月]]/売上原価[[#Totals],[3 月]],"-")</f>
        <v>0.20634920634920634</v>
      </c>
      <c r="U5" s="49">
        <f>IFERROR(売上原価[[#This Row],[4 月]]/売上原価[[#Totals],[4 月]],"-")</f>
        <v>0.12033195020746888</v>
      </c>
      <c r="V5" s="49">
        <f>IFERROR(売上原価[[#This Row],[5 月]]/売上原価[[#Totals],[5 月]],"-")</f>
        <v>0.31328320802005011</v>
      </c>
      <c r="W5" s="49">
        <f>IFERROR(売上原価[[#This Row],[6 月]]/売上原価[[#Totals],[6 月]],"-")</f>
        <v>0.15705128205128205</v>
      </c>
      <c r="X5" s="49">
        <f>IFERROR(売上原価[[#This Row],[7 月]]/売上原価[[#Totals],[7 月]],"-")</f>
        <v>4.6822742474916385E-2</v>
      </c>
      <c r="Y5" s="49">
        <f>IFERROR(売上原価[[#This Row],[8 月]]/売上原価[[#Totals],[8 月]],"-")</f>
        <v>0.11504424778761062</v>
      </c>
      <c r="Z5" s="49">
        <f>IFERROR(売上原価[[#This Row],[9 月]]/売上原価[[#Totals],[9 月]],"-")</f>
        <v>3.3816425120772944E-2</v>
      </c>
      <c r="AA5" s="49">
        <f>IFERROR(売上原価[[#This Row],[10 月]]/売上原価[[#Totals],[10 月]],"-")</f>
        <v>0.47080291970802918</v>
      </c>
      <c r="AB5" s="49">
        <f>IFERROR(売上原価[[#This Row],[11 月]]/売上原価[[#Totals],[11 月]],"-")</f>
        <v>0.22727272727272727</v>
      </c>
      <c r="AC5" s="49">
        <f>IFERROR(売上原価[[#This Row],[12 月]]/売上原価[[#Totals],[12 月]],"-")</f>
        <v>0.14348785871964681</v>
      </c>
      <c r="AD5" s="49">
        <f>IFERROR(売上原価[[#This Row],[年次]]/売上原価[[#Totals],[年次]],"-")</f>
        <v>0.18727082242011525</v>
      </c>
    </row>
    <row r="6" spans="1:30" ht="30" customHeight="1" x14ac:dyDescent="0.25">
      <c r="B6" s="25" t="s">
        <v>42</v>
      </c>
      <c r="C6" s="34"/>
      <c r="D6" s="26">
        <v>700</v>
      </c>
      <c r="E6" s="26">
        <v>500</v>
      </c>
      <c r="F6" s="26">
        <v>6900</v>
      </c>
      <c r="G6" s="26">
        <v>3200</v>
      </c>
      <c r="H6" s="26">
        <v>1100</v>
      </c>
      <c r="I6" s="26">
        <v>3000</v>
      </c>
      <c r="J6" s="26">
        <v>2700</v>
      </c>
      <c r="K6" s="26">
        <v>3200</v>
      </c>
      <c r="L6" s="26">
        <v>1000</v>
      </c>
      <c r="M6" s="26">
        <v>4100</v>
      </c>
      <c r="N6" s="26">
        <v>1300</v>
      </c>
      <c r="O6" s="26">
        <v>10500</v>
      </c>
      <c r="P6" s="50">
        <f>SUM(売上原価[[#This Row],[1 月]:[12 月]])</f>
        <v>38200</v>
      </c>
      <c r="Q6" s="27">
        <v>0.18</v>
      </c>
      <c r="R6" s="49">
        <f>IFERROR(売上原価[[#This Row],[1 月]]/売上原価[[#Totals],[1 月]],"-")</f>
        <v>2.6415094339622643E-2</v>
      </c>
      <c r="S6" s="49">
        <f>IFERROR(売上原価[[#This Row],[2 月]]/売上原価[[#Totals],[2 月]],"-")</f>
        <v>1.4044943820224719E-2</v>
      </c>
      <c r="T6" s="49">
        <f>IFERROR(売上原価[[#This Row],[3 月]]/売上原価[[#Totals],[3 月]],"-")</f>
        <v>0.21904761904761905</v>
      </c>
      <c r="U6" s="49">
        <f>IFERROR(売上原価[[#This Row],[4 月]]/売上原価[[#Totals],[4 月]],"-")</f>
        <v>0.13278008298755187</v>
      </c>
      <c r="V6" s="49">
        <f>IFERROR(売上原価[[#This Row],[5 月]]/売上原価[[#Totals],[5 月]],"-")</f>
        <v>2.7568922305764409E-2</v>
      </c>
      <c r="W6" s="49">
        <f>IFERROR(売上原価[[#This Row],[6 月]]/売上原価[[#Totals],[6 月]],"-")</f>
        <v>9.6153846153846159E-2</v>
      </c>
      <c r="X6" s="49">
        <f>IFERROR(売上原価[[#This Row],[7 月]]/売上原価[[#Totals],[7 月]],"-")</f>
        <v>9.0301003344481601E-2</v>
      </c>
      <c r="Y6" s="49">
        <f>IFERROR(売上原価[[#This Row],[8 月]]/売上原価[[#Totals],[8 月]],"-")</f>
        <v>0.1415929203539823</v>
      </c>
      <c r="Z6" s="49">
        <f>IFERROR(売上原価[[#This Row],[9 月]]/売上原価[[#Totals],[9 月]],"-")</f>
        <v>2.4154589371980676E-2</v>
      </c>
      <c r="AA6" s="49">
        <f>IFERROR(売上原価[[#This Row],[10 月]]/売上原価[[#Totals],[10 月]],"-")</f>
        <v>0.14963503649635038</v>
      </c>
      <c r="AB6" s="49">
        <f>IFERROR(売上原価[[#This Row],[11 月]]/売上原価[[#Totals],[11 月]],"-")</f>
        <v>4.924242424242424E-2</v>
      </c>
      <c r="AC6" s="49">
        <f>IFERROR(売上原価[[#This Row],[12 月]]/売上原価[[#Totals],[12 月]],"-")</f>
        <v>0.23178807947019867</v>
      </c>
      <c r="AD6" s="49">
        <f>IFERROR(売上原価[[#This Row],[年次]]/売上原価[[#Totals],[年次]],"-")</f>
        <v>0.1000523834468308</v>
      </c>
    </row>
    <row r="7" spans="1:30" ht="30" customHeight="1" x14ac:dyDescent="0.25">
      <c r="B7" s="25" t="s">
        <v>43</v>
      </c>
      <c r="C7" s="34"/>
      <c r="D7" s="26">
        <v>9900</v>
      </c>
      <c r="E7" s="26">
        <v>9500</v>
      </c>
      <c r="F7" s="26">
        <v>5100</v>
      </c>
      <c r="G7" s="26">
        <v>9000</v>
      </c>
      <c r="H7" s="26">
        <v>2100</v>
      </c>
      <c r="I7" s="26">
        <v>3400</v>
      </c>
      <c r="J7" s="26">
        <v>3000</v>
      </c>
      <c r="K7" s="26">
        <v>2400</v>
      </c>
      <c r="L7" s="26">
        <v>10900</v>
      </c>
      <c r="M7" s="26">
        <v>1600</v>
      </c>
      <c r="N7" s="26">
        <v>2100</v>
      </c>
      <c r="O7" s="26">
        <v>5200</v>
      </c>
      <c r="P7" s="50">
        <f>SUM(売上原価[[#This Row],[1 月]:[12 月]])</f>
        <v>64200</v>
      </c>
      <c r="Q7" s="27">
        <v>0.19</v>
      </c>
      <c r="R7" s="49">
        <f>IFERROR(売上原価[[#This Row],[1 月]]/売上原価[[#Totals],[1 月]],"-")</f>
        <v>0.37358490566037733</v>
      </c>
      <c r="S7" s="49">
        <f>IFERROR(売上原価[[#This Row],[2 月]]/売上原価[[#Totals],[2 月]],"-")</f>
        <v>0.26685393258426965</v>
      </c>
      <c r="T7" s="49">
        <f>IFERROR(売上原価[[#This Row],[3 月]]/売上原価[[#Totals],[3 月]],"-")</f>
        <v>0.16190476190476191</v>
      </c>
      <c r="U7" s="49">
        <f>IFERROR(売上原価[[#This Row],[4 月]]/売上原価[[#Totals],[4 月]],"-")</f>
        <v>0.37344398340248963</v>
      </c>
      <c r="V7" s="49">
        <f>IFERROR(売上原価[[#This Row],[5 月]]/売上原価[[#Totals],[5 月]],"-")</f>
        <v>5.2631578947368418E-2</v>
      </c>
      <c r="W7" s="49">
        <f>IFERROR(売上原価[[#This Row],[6 月]]/売上原価[[#Totals],[6 月]],"-")</f>
        <v>0.10897435897435898</v>
      </c>
      <c r="X7" s="49">
        <f>IFERROR(売上原価[[#This Row],[7 月]]/売上原価[[#Totals],[7 月]],"-")</f>
        <v>0.10033444816053512</v>
      </c>
      <c r="Y7" s="49">
        <f>IFERROR(売上原価[[#This Row],[8 月]]/売上原価[[#Totals],[8 月]],"-")</f>
        <v>0.10619469026548672</v>
      </c>
      <c r="Z7" s="49">
        <f>IFERROR(売上原価[[#This Row],[9 月]]/売上原価[[#Totals],[9 月]],"-")</f>
        <v>0.26328502415458938</v>
      </c>
      <c r="AA7" s="49">
        <f>IFERROR(売上原価[[#This Row],[10 月]]/売上原価[[#Totals],[10 月]],"-")</f>
        <v>5.8394160583941604E-2</v>
      </c>
      <c r="AB7" s="49">
        <f>IFERROR(売上原価[[#This Row],[11 月]]/売上原価[[#Totals],[11 月]],"-")</f>
        <v>7.9545454545454544E-2</v>
      </c>
      <c r="AC7" s="49">
        <f>IFERROR(売上原価[[#This Row],[12 月]]/売上原価[[#Totals],[12 月]],"-")</f>
        <v>0.11479028697571744</v>
      </c>
      <c r="AD7" s="49">
        <f>IFERROR(売上原価[[#This Row],[年次]]/売上原価[[#Totals],[年次]],"-")</f>
        <v>0.16815086432687271</v>
      </c>
    </row>
    <row r="8" spans="1:30" ht="30" customHeight="1" x14ac:dyDescent="0.25">
      <c r="B8" s="25" t="s">
        <v>44</v>
      </c>
      <c r="C8" s="34"/>
      <c r="D8" s="26">
        <v>1300</v>
      </c>
      <c r="E8" s="26">
        <v>2800</v>
      </c>
      <c r="F8" s="26">
        <v>1500</v>
      </c>
      <c r="G8" s="26">
        <v>800</v>
      </c>
      <c r="H8" s="26">
        <v>8400</v>
      </c>
      <c r="I8" s="26">
        <v>1200</v>
      </c>
      <c r="J8" s="26">
        <v>5400</v>
      </c>
      <c r="K8" s="26">
        <v>7200</v>
      </c>
      <c r="L8" s="26">
        <v>4900</v>
      </c>
      <c r="M8" s="26">
        <v>2400</v>
      </c>
      <c r="N8" s="26">
        <v>6000</v>
      </c>
      <c r="O8" s="26">
        <v>3900</v>
      </c>
      <c r="P8" s="50">
        <f>SUM(売上原価[[#This Row],[1 月]:[12 月]])</f>
        <v>45800</v>
      </c>
      <c r="Q8" s="27">
        <v>0.11</v>
      </c>
      <c r="R8" s="49">
        <f>IFERROR(売上原価[[#This Row],[1 月]]/売上原価[[#Totals],[1 月]],"-")</f>
        <v>4.9056603773584909E-2</v>
      </c>
      <c r="S8" s="49">
        <f>IFERROR(売上原価[[#This Row],[2 月]]/売上原価[[#Totals],[2 月]],"-")</f>
        <v>7.8651685393258425E-2</v>
      </c>
      <c r="T8" s="49">
        <f>IFERROR(売上原価[[#This Row],[3 月]]/売上原価[[#Totals],[3 月]],"-")</f>
        <v>4.7619047619047616E-2</v>
      </c>
      <c r="U8" s="49">
        <f>IFERROR(売上原価[[#This Row],[4 月]]/売上原価[[#Totals],[4 月]],"-")</f>
        <v>3.3195020746887967E-2</v>
      </c>
      <c r="V8" s="49">
        <f>IFERROR(売上原価[[#This Row],[5 月]]/売上原価[[#Totals],[5 月]],"-")</f>
        <v>0.21052631578947367</v>
      </c>
      <c r="W8" s="49">
        <f>IFERROR(売上原価[[#This Row],[6 月]]/売上原価[[#Totals],[6 月]],"-")</f>
        <v>3.8461538461538464E-2</v>
      </c>
      <c r="X8" s="49">
        <f>IFERROR(売上原価[[#This Row],[7 月]]/売上原価[[#Totals],[7 月]],"-")</f>
        <v>0.1806020066889632</v>
      </c>
      <c r="Y8" s="49">
        <f>IFERROR(売上原価[[#This Row],[8 月]]/売上原価[[#Totals],[8 月]],"-")</f>
        <v>0.31858407079646017</v>
      </c>
      <c r="Z8" s="49">
        <f>IFERROR(売上原価[[#This Row],[9 月]]/売上原価[[#Totals],[9 月]],"-")</f>
        <v>0.11835748792270531</v>
      </c>
      <c r="AA8" s="49">
        <f>IFERROR(売上原価[[#This Row],[10 月]]/売上原価[[#Totals],[10 月]],"-")</f>
        <v>8.7591240875912413E-2</v>
      </c>
      <c r="AB8" s="49">
        <f>IFERROR(売上原価[[#This Row],[11 月]]/売上原価[[#Totals],[11 月]],"-")</f>
        <v>0.22727272727272727</v>
      </c>
      <c r="AC8" s="49">
        <f>IFERROR(売上原価[[#This Row],[12 月]]/売上原価[[#Totals],[12 月]],"-")</f>
        <v>8.6092715231788075E-2</v>
      </c>
      <c r="AD8" s="49">
        <f>IFERROR(売上原価[[#This Row],[年次]]/売上原価[[#Totals],[年次]],"-")</f>
        <v>0.11995809324253535</v>
      </c>
    </row>
    <row r="9" spans="1:30" ht="30" customHeight="1" x14ac:dyDescent="0.25">
      <c r="B9" s="25" t="s">
        <v>45</v>
      </c>
      <c r="C9" s="34"/>
      <c r="D9" s="26">
        <v>3400</v>
      </c>
      <c r="E9" s="26">
        <v>7800</v>
      </c>
      <c r="F9" s="26">
        <v>4300</v>
      </c>
      <c r="G9" s="26">
        <v>3000</v>
      </c>
      <c r="H9" s="26">
        <v>7700</v>
      </c>
      <c r="I9" s="26">
        <v>5400</v>
      </c>
      <c r="J9" s="26">
        <v>2600</v>
      </c>
      <c r="K9" s="26">
        <v>1300</v>
      </c>
      <c r="L9" s="26">
        <v>5600</v>
      </c>
      <c r="M9" s="26">
        <v>3000</v>
      </c>
      <c r="N9" s="26">
        <v>4000</v>
      </c>
      <c r="O9" s="26">
        <v>6300</v>
      </c>
      <c r="P9" s="50">
        <f>SUM(売上原価[[#This Row],[1 月]:[12 月]])</f>
        <v>54400</v>
      </c>
      <c r="Q9" s="27">
        <v>0.2</v>
      </c>
      <c r="R9" s="49">
        <f>IFERROR(売上原価[[#This Row],[1 月]]/売上原価[[#Totals],[1 月]],"-")</f>
        <v>0.12830188679245283</v>
      </c>
      <c r="S9" s="49">
        <f>IFERROR(売上原価[[#This Row],[2 月]]/売上原価[[#Totals],[2 月]],"-")</f>
        <v>0.21910112359550563</v>
      </c>
      <c r="T9" s="49">
        <f>IFERROR(売上原価[[#This Row],[3 月]]/売上原価[[#Totals],[3 月]],"-")</f>
        <v>0.13650793650793649</v>
      </c>
      <c r="U9" s="49">
        <f>IFERROR(売上原価[[#This Row],[4 月]]/売上原価[[#Totals],[4 月]],"-")</f>
        <v>0.12448132780082988</v>
      </c>
      <c r="V9" s="49">
        <f>IFERROR(売上原価[[#This Row],[5 月]]/売上原価[[#Totals],[5 月]],"-")</f>
        <v>0.19298245614035087</v>
      </c>
      <c r="W9" s="49">
        <f>IFERROR(売上原価[[#This Row],[6 月]]/売上原価[[#Totals],[6 月]],"-")</f>
        <v>0.17307692307692307</v>
      </c>
      <c r="X9" s="49">
        <f>IFERROR(売上原価[[#This Row],[7 月]]/売上原価[[#Totals],[7 月]],"-")</f>
        <v>8.6956521739130432E-2</v>
      </c>
      <c r="Y9" s="49">
        <f>IFERROR(売上原価[[#This Row],[8 月]]/売上原価[[#Totals],[8 月]],"-")</f>
        <v>5.7522123893805309E-2</v>
      </c>
      <c r="Z9" s="49">
        <f>IFERROR(売上原価[[#This Row],[9 月]]/売上原価[[#Totals],[9 月]],"-")</f>
        <v>0.13526570048309178</v>
      </c>
      <c r="AA9" s="49">
        <f>IFERROR(売上原価[[#This Row],[10 月]]/売上原価[[#Totals],[10 月]],"-")</f>
        <v>0.10948905109489052</v>
      </c>
      <c r="AB9" s="49">
        <f>IFERROR(売上原価[[#This Row],[11 月]]/売上原価[[#Totals],[11 月]],"-")</f>
        <v>0.15151515151515152</v>
      </c>
      <c r="AC9" s="49">
        <f>IFERROR(売上原価[[#This Row],[12 月]]/売上原価[[#Totals],[12 月]],"-")</f>
        <v>0.13907284768211919</v>
      </c>
      <c r="AD9" s="49">
        <f>IFERROR(売上原価[[#This Row],[年次]]/売上原価[[#Totals],[年次]],"-")</f>
        <v>0.14248297537978</v>
      </c>
    </row>
    <row r="10" spans="1:30" ht="30" customHeight="1" x14ac:dyDescent="0.25">
      <c r="B10" s="25" t="s">
        <v>46</v>
      </c>
      <c r="C10" s="34"/>
      <c r="D10" s="26">
        <v>3300</v>
      </c>
      <c r="E10" s="26">
        <v>6100</v>
      </c>
      <c r="F10" s="26">
        <v>4200</v>
      </c>
      <c r="G10" s="26">
        <v>4300</v>
      </c>
      <c r="H10" s="26">
        <v>1900</v>
      </c>
      <c r="I10" s="26">
        <v>9400</v>
      </c>
      <c r="J10" s="26">
        <v>4600</v>
      </c>
      <c r="K10" s="26">
        <v>1500</v>
      </c>
      <c r="L10" s="26">
        <v>5500</v>
      </c>
      <c r="M10" s="26">
        <v>1500</v>
      </c>
      <c r="N10" s="26">
        <v>3700</v>
      </c>
      <c r="O10" s="26">
        <v>8900</v>
      </c>
      <c r="P10" s="50">
        <f>SUM(売上原価[[#This Row],[1 月]:[12 月]])</f>
        <v>54900</v>
      </c>
      <c r="Q10" s="27">
        <v>0.1</v>
      </c>
      <c r="R10" s="49">
        <f>IFERROR(売上原価[[#This Row],[1 月]]/売上原価[[#Totals],[1 月]],"-")</f>
        <v>0.12452830188679245</v>
      </c>
      <c r="S10" s="49">
        <f>IFERROR(売上原価[[#This Row],[2 月]]/売上原価[[#Totals],[2 月]],"-")</f>
        <v>0.17134831460674158</v>
      </c>
      <c r="T10" s="49">
        <f>IFERROR(売上原価[[#This Row],[3 月]]/売上原価[[#Totals],[3 月]],"-")</f>
        <v>0.13333333333333333</v>
      </c>
      <c r="U10" s="49">
        <f>IFERROR(売上原価[[#This Row],[4 月]]/売上原価[[#Totals],[4 月]],"-")</f>
        <v>0.17842323651452283</v>
      </c>
      <c r="V10" s="49">
        <f>IFERROR(売上原価[[#This Row],[5 月]]/売上原価[[#Totals],[5 月]],"-")</f>
        <v>4.7619047619047616E-2</v>
      </c>
      <c r="W10" s="49">
        <f>IFERROR(売上原価[[#This Row],[6 月]]/売上原価[[#Totals],[6 月]],"-")</f>
        <v>0.30128205128205127</v>
      </c>
      <c r="X10" s="49">
        <f>IFERROR(売上原価[[#This Row],[7 月]]/売上原価[[#Totals],[7 月]],"-")</f>
        <v>0.15384615384615385</v>
      </c>
      <c r="Y10" s="49">
        <f>IFERROR(売上原価[[#This Row],[8 月]]/売上原価[[#Totals],[8 月]],"-")</f>
        <v>6.637168141592921E-2</v>
      </c>
      <c r="Z10" s="49">
        <f>IFERROR(売上原価[[#This Row],[9 月]]/売上原価[[#Totals],[9 月]],"-")</f>
        <v>0.13285024154589373</v>
      </c>
      <c r="AA10" s="49">
        <f>IFERROR(売上原価[[#This Row],[10 月]]/売上原価[[#Totals],[10 月]],"-")</f>
        <v>5.4744525547445258E-2</v>
      </c>
      <c r="AB10" s="49">
        <f>IFERROR(売上原価[[#This Row],[11 月]]/売上原価[[#Totals],[11 月]],"-")</f>
        <v>0.14015151515151514</v>
      </c>
      <c r="AC10" s="49">
        <f>IFERROR(売上原価[[#This Row],[12 月]]/売上原価[[#Totals],[12 月]],"-")</f>
        <v>0.19646799116997793</v>
      </c>
      <c r="AD10" s="49">
        <f>IFERROR(売上原価[[#This Row],[年次]]/売上原価[[#Totals],[年次]],"-")</f>
        <v>0.14379256155055004</v>
      </c>
    </row>
    <row r="11" spans="1:30" ht="30" customHeight="1" x14ac:dyDescent="0.25">
      <c r="A11" s="3"/>
      <c r="B11" s="25" t="s">
        <v>47</v>
      </c>
      <c r="C11" s="34"/>
      <c r="D11" s="26">
        <v>1800</v>
      </c>
      <c r="E11" s="26">
        <v>1100</v>
      </c>
      <c r="F11" s="26">
        <v>3000</v>
      </c>
      <c r="G11" s="26">
        <v>900</v>
      </c>
      <c r="H11" s="26">
        <v>6200</v>
      </c>
      <c r="I11" s="26">
        <v>3900</v>
      </c>
      <c r="J11" s="26">
        <v>10200</v>
      </c>
      <c r="K11" s="26">
        <v>4400</v>
      </c>
      <c r="L11" s="26">
        <v>12100</v>
      </c>
      <c r="M11" s="26">
        <v>1900</v>
      </c>
      <c r="N11" s="26">
        <v>3300</v>
      </c>
      <c r="O11" s="26">
        <v>4000</v>
      </c>
      <c r="P11" s="50">
        <f>SUM(売上原価[[#This Row],[1 月]:[12 月]])</f>
        <v>52800</v>
      </c>
      <c r="Q11" s="27">
        <v>0.1</v>
      </c>
      <c r="R11" s="49">
        <f>IFERROR(売上原価[[#This Row],[1 月]]/売上原価[[#Totals],[1 月]],"-")</f>
        <v>6.7924528301886791E-2</v>
      </c>
      <c r="S11" s="49">
        <f>IFERROR(売上原価[[#This Row],[2 月]]/売上原価[[#Totals],[2 月]],"-")</f>
        <v>3.0898876404494381E-2</v>
      </c>
      <c r="T11" s="49">
        <f>IFERROR(売上原価[[#This Row],[3 月]]/売上原価[[#Totals],[3 月]],"-")</f>
        <v>9.5238095238095233E-2</v>
      </c>
      <c r="U11" s="49">
        <f>IFERROR(売上原価[[#This Row],[4 月]]/売上原価[[#Totals],[4 月]],"-")</f>
        <v>3.7344398340248962E-2</v>
      </c>
      <c r="V11" s="49">
        <f>IFERROR(売上原価[[#This Row],[5 月]]/売上原価[[#Totals],[5 月]],"-")</f>
        <v>0.15538847117794485</v>
      </c>
      <c r="W11" s="49">
        <f>IFERROR(売上原価[[#This Row],[6 月]]/売上原価[[#Totals],[6 月]],"-")</f>
        <v>0.125</v>
      </c>
      <c r="X11" s="49">
        <f>IFERROR(売上原価[[#This Row],[7 月]]/売上原価[[#Totals],[7 月]],"-")</f>
        <v>0.34113712374581939</v>
      </c>
      <c r="Y11" s="49">
        <f>IFERROR(売上原価[[#This Row],[8 月]]/売上原価[[#Totals],[8 月]],"-")</f>
        <v>0.19469026548672566</v>
      </c>
      <c r="Z11" s="49">
        <f>IFERROR(売上原価[[#This Row],[9 月]]/売上原価[[#Totals],[9 月]],"-")</f>
        <v>0.2922705314009662</v>
      </c>
      <c r="AA11" s="49">
        <f>IFERROR(売上原価[[#This Row],[10 月]]/売上原価[[#Totals],[10 月]],"-")</f>
        <v>6.9343065693430656E-2</v>
      </c>
      <c r="AB11" s="49">
        <f>IFERROR(売上原価[[#This Row],[11 月]]/売上原価[[#Totals],[11 月]],"-")</f>
        <v>0.125</v>
      </c>
      <c r="AC11" s="49">
        <f>IFERROR(売上原価[[#This Row],[12 月]]/売上原価[[#Totals],[12 月]],"-")</f>
        <v>8.8300220750551883E-2</v>
      </c>
      <c r="AD11" s="49">
        <f>IFERROR(売上原価[[#This Row],[年次]]/売上原価[[#Totals],[年次]],"-")</f>
        <v>0.13829229963331588</v>
      </c>
    </row>
    <row r="12" spans="1:30" ht="30" customHeight="1" x14ac:dyDescent="0.25">
      <c r="A12" s="10"/>
      <c r="B12" s="7" t="s">
        <v>72</v>
      </c>
      <c r="C12" s="28"/>
      <c r="D12" s="45">
        <f>SUBTOTAL(109,売上原価[1 月])</f>
        <v>26500</v>
      </c>
      <c r="E12" s="45">
        <f>SUBTOTAL(109,売上原価[2 月])</f>
        <v>35600</v>
      </c>
      <c r="F12" s="45">
        <f>SUBTOTAL(109,売上原価[3 月])</f>
        <v>31500</v>
      </c>
      <c r="G12" s="45">
        <f>SUBTOTAL(109,売上原価[4 月])</f>
        <v>24100</v>
      </c>
      <c r="H12" s="45">
        <f>SUBTOTAL(109,売上原価[5 月])</f>
        <v>39900</v>
      </c>
      <c r="I12" s="45">
        <f>SUBTOTAL(109,売上原価[6 月])</f>
        <v>31200</v>
      </c>
      <c r="J12" s="45">
        <f>SUBTOTAL(109,売上原価[7 月])</f>
        <v>29900</v>
      </c>
      <c r="K12" s="45">
        <f>SUBTOTAL(109,売上原価[8 月])</f>
        <v>22600</v>
      </c>
      <c r="L12" s="45">
        <f>SUBTOTAL(109,売上原価[9 月])</f>
        <v>41400</v>
      </c>
      <c r="M12" s="45">
        <f>SUBTOTAL(109,売上原価[10 月])</f>
        <v>27400</v>
      </c>
      <c r="N12" s="45">
        <f>SUBTOTAL(109,売上原価[11 月])</f>
        <v>26400</v>
      </c>
      <c r="O12" s="45">
        <f>SUBTOTAL(109,売上原価[12 月])</f>
        <v>45300</v>
      </c>
      <c r="P12" s="47">
        <f>SUBTOTAL(109,売上原価[年次])</f>
        <v>381800</v>
      </c>
      <c r="Q12" s="16">
        <f>SUBTOTAL(109,売上原価[インデックス %])</f>
        <v>1</v>
      </c>
      <c r="R12" s="29">
        <f>SUBTOTAL(109,売上原価[1 月 %])</f>
        <v>0.99999999999999989</v>
      </c>
      <c r="S12" s="29">
        <f>SUBTOTAL(109,売上原価[2 月 %])</f>
        <v>1</v>
      </c>
      <c r="T12" s="29">
        <f>SUBTOTAL(109,売上原価[3 月 %])</f>
        <v>0.99999999999999989</v>
      </c>
      <c r="U12" s="29">
        <f>SUBTOTAL(109,売上原価[4 月 %])</f>
        <v>1</v>
      </c>
      <c r="V12" s="29">
        <f>SUBTOTAL(109,売上原価[5 月 %])</f>
        <v>0.99999999999999989</v>
      </c>
      <c r="W12" s="29">
        <f>SUBTOTAL(109,売上原価[6 月 %])</f>
        <v>1</v>
      </c>
      <c r="X12" s="29">
        <f>SUBTOTAL(109,売上原価[7 月 %])</f>
        <v>1</v>
      </c>
      <c r="Y12" s="29">
        <f>SUBTOTAL(109,売上原価[8 月 %])</f>
        <v>0.99999999999999989</v>
      </c>
      <c r="Z12" s="29">
        <f>SUBTOTAL(109,売上原価[9 月 %])</f>
        <v>1</v>
      </c>
      <c r="AA12" s="29">
        <f>SUBTOTAL(109,売上原価[10 月 %])</f>
        <v>1</v>
      </c>
      <c r="AB12" s="29">
        <f>SUBTOTAL(109,売上原価[11 月 %])</f>
        <v>0.99999999999999989</v>
      </c>
      <c r="AC12" s="29">
        <f>SUBTOTAL(109,売上原価[12 月 %])</f>
        <v>1</v>
      </c>
      <c r="AD12" s="29">
        <f>SUBTOTAL(109,売上原価[年 %])</f>
        <v>0.99999999999999989</v>
      </c>
    </row>
    <row r="13" spans="1:30" ht="30" customHeight="1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25">
      <c r="B14" s="11" t="s">
        <v>48</v>
      </c>
      <c r="C14" s="11"/>
      <c r="D14" s="48">
        <f>収益[[#Totals],[1 月]]-売上原価[[#Totals],[1 月]]</f>
        <v>35900</v>
      </c>
      <c r="E14" s="48">
        <f>収益[[#Totals],[2 月]]-売上原価[[#Totals],[2 月]]</f>
        <v>38000</v>
      </c>
      <c r="F14" s="48">
        <f>収益[[#Totals],[3 月]]-売上原価[[#Totals],[3 月]]</f>
        <v>50500</v>
      </c>
      <c r="G14" s="48">
        <f>収益[[#Totals],[4 月]]-売上原価[[#Totals],[4 月]]</f>
        <v>37000</v>
      </c>
      <c r="H14" s="48">
        <f>収益[[#Totals],[5 月]]-売上原価[[#Totals],[5 月]]</f>
        <v>41300</v>
      </c>
      <c r="I14" s="48">
        <f>収益[[#Totals],[6 月]]-売上原価[[#Totals],[6 月]]</f>
        <v>26600</v>
      </c>
      <c r="J14" s="48">
        <f>収益[[#Totals],[7 月]]-売上原価[[#Totals],[7 月]]</f>
        <v>29800</v>
      </c>
      <c r="K14" s="48">
        <f>収益[[#Totals],[8 月]]-売上原価[[#Totals],[8 月]]</f>
        <v>44900</v>
      </c>
      <c r="L14" s="48">
        <f>収益[[#Totals],[9 月]]-売上原価[[#Totals],[9 月]]</f>
        <v>33000</v>
      </c>
      <c r="M14" s="48">
        <f>収益[[#Totals],[10 月]]-売上原価[[#Totals],[10 月]]</f>
        <v>40700</v>
      </c>
      <c r="N14" s="48">
        <f>収益[[#Totals],[11 月]]-売上原価[[#Totals],[11 月]]</f>
        <v>47500</v>
      </c>
      <c r="O14" s="48">
        <f>収益[[#Totals],[12 月]]-売上原価[[#Totals],[12 月]]</f>
        <v>59000</v>
      </c>
      <c r="P14" s="48">
        <f>収益[[#Totals],[年次]]-売上原価[[#Totals],[年次]]</f>
        <v>484200</v>
      </c>
      <c r="Q14" s="11"/>
      <c r="R14" s="13">
        <f t="shared" ref="R14:AD14" si="1">D14/$P$14</f>
        <v>7.4142916150351096E-2</v>
      </c>
      <c r="S14" s="13">
        <f t="shared" si="1"/>
        <v>7.8479966955803393E-2</v>
      </c>
      <c r="T14" s="13">
        <f t="shared" si="1"/>
        <v>0.10429574555968608</v>
      </c>
      <c r="U14" s="13">
        <f t="shared" si="1"/>
        <v>7.6414704667492769E-2</v>
      </c>
      <c r="V14" s="13">
        <f t="shared" si="1"/>
        <v>8.5295332507228414E-2</v>
      </c>
      <c r="W14" s="13">
        <f t="shared" si="1"/>
        <v>5.4935976869062368E-2</v>
      </c>
      <c r="X14" s="13">
        <f t="shared" si="1"/>
        <v>6.1544816191656339E-2</v>
      </c>
      <c r="Y14" s="13">
        <f t="shared" si="1"/>
        <v>9.2730276745146639E-2</v>
      </c>
      <c r="Z14" s="13">
        <f t="shared" si="1"/>
        <v>6.8153655514250316E-2</v>
      </c>
      <c r="AA14" s="13">
        <f t="shared" si="1"/>
        <v>8.4056175134242045E-2</v>
      </c>
      <c r="AB14" s="13">
        <f t="shared" si="1"/>
        <v>9.8099958694754227E-2</v>
      </c>
      <c r="AC14" s="13">
        <f t="shared" si="1"/>
        <v>0.12185047501032631</v>
      </c>
      <c r="AD14" s="13">
        <f t="shared" si="1"/>
        <v>1</v>
      </c>
    </row>
    <row r="18" spans="3:16" ht="30" customHeight="1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3:16" ht="30" customHeight="1" x14ac:dyDescent="0.2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</sheetData>
  <phoneticPr fontId="4"/>
  <dataValidations count="18">
    <dataValidation allowBlank="1" showInputMessage="1" showErrorMessage="1" prompt="各月と年の総利益は、売上合計と売上原価合計に基づいて、この行で自動計算されます" sqref="B14"/>
    <dataValidation allowBlank="1" showInputMessage="1" showErrorMessage="1" prompt="このワークシートは、各月、年の売上原価合計、およびさまざまな項目の年間売上原価を計算します。エントリに基づき、粗利益が自動計算されます" sqref="A1"/>
    <dataValidation allowBlank="1" showInputMessage="1" showErrorMessage="1" prompt="このセルは、収益 (売上) ワークシートの推計期間タイトルから自動更新されます" sqref="B1"/>
    <dataValidation allowBlank="1" showInputMessage="1" showErrorMessage="1" prompt="会社名は、収益 (売上) ワークシートのエントリを使用して自動更新されます" sqref="AD1"/>
    <dataValidation allowBlank="1" showInputMessage="1" showErrorMessage="1" prompt="タイトルは収益 (売上) ワークシートから自動更新されます。下記の売上原価表に値を入れ、売上原価合計を計算します" sqref="B2"/>
    <dataValidation allowBlank="1" showInputMessage="1" showErrorMessage="1" prompt="月と年は右側のセルで自動更新されます。月または年を変更するには、AC2 と AD2 のセルを収益 (売上) ワークシートで変更します" sqref="AB2"/>
    <dataValidation allowBlank="1" showInputMessage="1" showErrorMessage="1" prompt="この列にはインデックスの割合を入力します" sqref="Q4"/>
    <dataValidation allowBlank="1" showInputMessage="1" showErrorMessage="1" prompt="この列に列 B に記載されているソースのコストを入力します" sqref="D4:O4"/>
    <dataValidation allowBlank="1" showInputMessage="1" showErrorMessage="1" prompt="この列には、コストの経時でのトレンド グラフがあります" sqref="C4"/>
    <dataValidation allowBlank="1" showInputMessage="1" showErrorMessage="1" prompt="この列には、売上原価を入力します" sqref="B4"/>
    <dataValidation allowBlank="1" showInputMessage="1" showErrorMessage="1" prompt="さまざまなソースの売上原価の割合が、この列で年の売上合計に対して、自動計算されます" sqref="AD3"/>
    <dataValidation allowBlank="1" showInputMessage="1" showErrorMessage="1" prompt="さまざまなソースの売上原価の割合が、この列の売上合計に対してこのセルの月用に、自動計算されます" sqref="R3:AC3"/>
    <dataValidation allowBlank="1" showInputMessage="1" showErrorMessage="1" prompt="自動的に更新される月" sqref="E3:O3"/>
    <dataValidation allowBlank="1" showInputMessage="1" showErrorMessage="1" prompt="この行の日付は、会計年度の開始月に基づいて自動更新されます。開始月を変更するには、収益 (売上) シートのセル AC2 を変更します。" sqref="D3"/>
    <dataValidation allowBlank="1" showInputMessage="1" showErrorMessage="1" prompt="年間コストは、この列で自動計算されます" sqref="P3"/>
    <dataValidation allowBlank="1" showInputMessage="1" showErrorMessage="1" prompt="この列にはインデックスの割合があります" sqref="Q3"/>
    <dataValidation allowBlank="1" showInputMessage="1" showErrorMessage="1" prompt="自動的に更新される月。変更するには、収益 (売上) シートのセル AC2 を変更します" sqref="AC2"/>
    <dataValidation allowBlank="1" showInputMessage="1" showErrorMessage="1" prompt="自動的に更新される年。変更するには、収益 (売上) シートのセル AD2 を変更します" sqref="AD2"/>
  </dataValidations>
  <printOptions horizontalCentered="1"/>
  <pageMargins left="0.25" right="0.25" top="0.75" bottom="0.75" header="0.3" footer="0.3"/>
  <pageSetup paperSize="9" scale="39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売上原価!D5:O5</xm:f>
              <xm:sqref>C5</xm:sqref>
            </x14:sparkline>
            <x14:sparkline>
              <xm:f>売上原価!D6:O6</xm:f>
              <xm:sqref>C6</xm:sqref>
            </x14:sparkline>
            <x14:sparkline>
              <xm:f>売上原価!D7:O7</xm:f>
              <xm:sqref>C7</xm:sqref>
            </x14:sparkline>
            <x14:sparkline>
              <xm:f>売上原価!D8:O8</xm:f>
              <xm:sqref>C8</xm:sqref>
            </x14:sparkline>
            <x14:sparkline>
              <xm:f>売上原価!D9:O9</xm:f>
              <xm:sqref>C9</xm:sqref>
            </x14:sparkline>
            <x14:sparkline>
              <xm:f>売上原価!D10:O10</xm:f>
              <xm:sqref>C10</xm:sqref>
            </x14:sparkline>
            <x14:sparkline>
              <xm:f>売上原価!D11:O11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売上原価!D12:O12</xm:f>
              <xm:sqref>C12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34"/>
  <sheetViews>
    <sheetView showGridLines="0" zoomScaleNormal="100" workbookViewId="0">
      <pane ySplit="3" topLeftCell="A4" activePane="bottomLeft" state="frozen"/>
      <selection activeCell="D16" sqref="D16"/>
      <selection pane="bottomLeft"/>
    </sheetView>
  </sheetViews>
  <sheetFormatPr defaultRowHeight="30" customHeight="1" x14ac:dyDescent="0.25"/>
  <cols>
    <col min="1" max="1" width="2.77734375" customWidth="1"/>
    <col min="2" max="2" width="13" customWidth="1"/>
    <col min="3" max="3" width="12.77734375" customWidth="1"/>
    <col min="4" max="15" width="11.77734375" customWidth="1"/>
    <col min="16" max="16" width="13.6640625" customWidth="1"/>
    <col min="17" max="17" width="13.88671875" customWidth="1"/>
    <col min="18" max="30" width="7.88671875" customWidth="1"/>
    <col min="31" max="31" width="2.77734375" customWidth="1"/>
  </cols>
  <sheetData>
    <row r="1" spans="1:30" ht="35.1" customHeight="1" x14ac:dyDescent="0.25">
      <c r="A1" s="5"/>
      <c r="B1" s="22" t="str">
        <f>Projection_Period_Title</f>
        <v>12 か月</v>
      </c>
      <c r="C1" s="9"/>
      <c r="J1" s="6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9" t="str">
        <f>会社名</f>
        <v>会社名</v>
      </c>
    </row>
    <row r="2" spans="1:30" ht="60" customHeight="1" x14ac:dyDescent="0.25">
      <c r="B2" s="4" t="str">
        <f>'収益 (売上)'!$B$2</f>
        <v>損益予測</v>
      </c>
      <c r="E2" s="43"/>
      <c r="G2" s="43"/>
      <c r="K2" s="43"/>
      <c r="L2" s="43"/>
      <c r="M2" s="43"/>
      <c r="N2" s="43"/>
      <c r="O2" s="43"/>
      <c r="X2" s="42"/>
      <c r="Y2" s="42"/>
      <c r="Z2" s="42"/>
      <c r="AA2" s="42"/>
      <c r="AB2" s="20" t="s">
        <v>49</v>
      </c>
      <c r="AC2" s="20" t="str">
        <f>FYMonthStart</f>
        <v>1 月</v>
      </c>
      <c r="AD2" s="20">
        <f ca="1">FYStartYear</f>
        <v>2017</v>
      </c>
    </row>
    <row r="3" spans="1:30" ht="20.100000000000001" customHeight="1" x14ac:dyDescent="0.25">
      <c r="D3" s="21" t="str">
        <f ca="1">UPPER(TEXT(DATE(FYStartYear,FYMonthNo,1),"yyyy 年 m 月"))</f>
        <v>2017 年 1 月</v>
      </c>
      <c r="E3" s="21" t="str">
        <f ca="1">UPPER(TEXT(DATE(FYStartYear,FYMonthNo+1,1),"yyyy 年 m 月"))</f>
        <v>2017 年 2 月</v>
      </c>
      <c r="F3" s="21" t="str">
        <f ca="1">UPPER(TEXT(DATE(FYStartYear,FYMonthNo+2,1),"yyyy 年 m 月"))</f>
        <v>2017 年 3 月</v>
      </c>
      <c r="G3" s="21" t="str">
        <f ca="1">UPPER(TEXT(DATE(FYStartYear,FYMonthNo+3,1),"yyyy 年 m 月"))</f>
        <v>2017 年 4 月</v>
      </c>
      <c r="H3" s="21" t="str">
        <f ca="1">UPPER(TEXT(DATE(FYStartYear,FYMonthNo+4,1),"yyyy 年 m 月"))</f>
        <v>2017 年 5 月</v>
      </c>
      <c r="I3" s="21" t="str">
        <f ca="1">UPPER(TEXT(DATE(FYStartYear,FYMonthNo+5,1),"yyyy 年 m 月"))</f>
        <v>2017 年 6 月</v>
      </c>
      <c r="J3" s="21" t="str">
        <f ca="1">UPPER(TEXT(DATE(FYStartYear,FYMonthNo+6,1),"yyyy 年 m 月"))</f>
        <v>2017 年 7 月</v>
      </c>
      <c r="K3" s="21" t="str">
        <f ca="1">UPPER(TEXT(DATE(FYStartYear,FYMonthNo+7,1),"yyyy 年 m 月"))</f>
        <v>2017 年 8 月</v>
      </c>
      <c r="L3" s="21" t="str">
        <f ca="1">UPPER(TEXT(DATE(FYStartYear,FYMonthNo+8,1),"yyyy 年 m 月"))</f>
        <v>2017 年 9 月</v>
      </c>
      <c r="M3" s="21" t="str">
        <f ca="1">UPPER(TEXT(DATE(FYStartYear,FYMonthNo+9,1),"yyyy 年 m 月"))</f>
        <v>2017 年 10 月</v>
      </c>
      <c r="N3" s="21" t="str">
        <f ca="1">UPPER(TEXT(DATE(FYStartYear,FYMonthNo+10,1),"yyyy 年 m 月"))</f>
        <v>2017 年 11 月</v>
      </c>
      <c r="O3" s="21" t="str">
        <f ca="1">UPPER(TEXT(DATE(FYStartYear,FYMonthNo+11,1),"yyyy 年 m 月"))</f>
        <v>2017 年 12 月</v>
      </c>
      <c r="P3" s="21" t="s">
        <v>23</v>
      </c>
      <c r="Q3" s="21" t="s">
        <v>24</v>
      </c>
      <c r="R3" s="21" t="str">
        <f ca="1">IF(RIGHT(D3,4)&gt;"0",RIGHT(D3,4),RIGHT(D3,3))&amp;" %"</f>
        <v>1 月 %</v>
      </c>
      <c r="S3" s="21" t="str">
        <f t="shared" ref="S3:AC3" ca="1" si="0">IF(RIGHT(E3,4)&gt;"0",RIGHT(E3,4),RIGHT(E3,3))&amp;" %"</f>
        <v>2 月 %</v>
      </c>
      <c r="T3" s="21" t="str">
        <f t="shared" ca="1" si="0"/>
        <v>3 月 %</v>
      </c>
      <c r="U3" s="21" t="str">
        <f t="shared" ca="1" si="0"/>
        <v>4 月 %</v>
      </c>
      <c r="V3" s="21" t="str">
        <f t="shared" ca="1" si="0"/>
        <v>5 月 %</v>
      </c>
      <c r="W3" s="21" t="str">
        <f t="shared" ca="1" si="0"/>
        <v>6 月 %</v>
      </c>
      <c r="X3" s="21" t="str">
        <f t="shared" ca="1" si="0"/>
        <v>7 月 %</v>
      </c>
      <c r="Y3" s="21" t="str">
        <f t="shared" ca="1" si="0"/>
        <v>8 月 %</v>
      </c>
      <c r="Z3" s="21" t="str">
        <f t="shared" ca="1" si="0"/>
        <v>9 月 %</v>
      </c>
      <c r="AA3" s="21" t="str">
        <f t="shared" ca="1" si="0"/>
        <v>10 月 %</v>
      </c>
      <c r="AB3" s="21" t="str">
        <f t="shared" ca="1" si="0"/>
        <v>11 月 %</v>
      </c>
      <c r="AC3" s="21" t="str">
        <f t="shared" ca="1" si="0"/>
        <v>12 月 %</v>
      </c>
      <c r="AD3" s="21" t="s">
        <v>39</v>
      </c>
    </row>
    <row r="4" spans="1:30" ht="30" customHeight="1" x14ac:dyDescent="0.25">
      <c r="B4" s="30" t="s">
        <v>50</v>
      </c>
      <c r="C4" s="30" t="s">
        <v>10</v>
      </c>
      <c r="D4" s="23" t="s">
        <v>70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3" t="s">
        <v>18</v>
      </c>
      <c r="L4" s="23" t="s">
        <v>19</v>
      </c>
      <c r="M4" s="23" t="s">
        <v>20</v>
      </c>
      <c r="N4" s="23" t="s">
        <v>21</v>
      </c>
      <c r="O4" s="23" t="s">
        <v>22</v>
      </c>
      <c r="P4" s="23" t="s">
        <v>23</v>
      </c>
      <c r="Q4" s="24" t="s">
        <v>24</v>
      </c>
      <c r="R4" s="24" t="s">
        <v>25</v>
      </c>
      <c r="S4" s="24" t="s">
        <v>26</v>
      </c>
      <c r="T4" s="24" t="s">
        <v>27</v>
      </c>
      <c r="U4" s="24" t="s">
        <v>28</v>
      </c>
      <c r="V4" s="24" t="s">
        <v>29</v>
      </c>
      <c r="W4" s="24" t="s">
        <v>30</v>
      </c>
      <c r="X4" s="24" t="s">
        <v>31</v>
      </c>
      <c r="Y4" s="24" t="s">
        <v>32</v>
      </c>
      <c r="Z4" s="24" t="s">
        <v>33</v>
      </c>
      <c r="AA4" s="24" t="s">
        <v>34</v>
      </c>
      <c r="AB4" s="24" t="s">
        <v>36</v>
      </c>
      <c r="AC4" s="24" t="s">
        <v>37</v>
      </c>
      <c r="AD4" s="23" t="s">
        <v>39</v>
      </c>
    </row>
    <row r="5" spans="1:30" ht="30" customHeight="1" x14ac:dyDescent="0.25">
      <c r="B5" s="14" t="s">
        <v>51</v>
      </c>
      <c r="C5" s="35" t="s">
        <v>69</v>
      </c>
      <c r="D5" s="26">
        <v>1000</v>
      </c>
      <c r="E5" s="26">
        <v>1800</v>
      </c>
      <c r="F5" s="26">
        <v>1300</v>
      </c>
      <c r="G5" s="26">
        <v>800</v>
      </c>
      <c r="H5" s="26">
        <v>2200</v>
      </c>
      <c r="I5" s="26">
        <v>1800</v>
      </c>
      <c r="J5" s="26">
        <v>800</v>
      </c>
      <c r="K5" s="26">
        <v>1700</v>
      </c>
      <c r="L5" s="26">
        <v>2000</v>
      </c>
      <c r="M5" s="26">
        <v>800</v>
      </c>
      <c r="N5" s="26">
        <v>400</v>
      </c>
      <c r="O5" s="26">
        <v>1200</v>
      </c>
      <c r="P5" s="36">
        <f>SUM(tblExpenses[[#This Row],[列 1]:[12 月]])</f>
        <v>15800</v>
      </c>
      <c r="Q5" s="27">
        <v>0.12</v>
      </c>
      <c r="R5" s="37">
        <f>tblExpenses[[#This Row],[列 1]]/tblExpenses[[#Totals],[列 1]]</f>
        <v>4.2372881355932202E-2</v>
      </c>
      <c r="S5" s="37">
        <f>tblExpenses[[#This Row],[2 月]]/tblExpenses[[#Totals],[2 月]]</f>
        <v>8.7804878048780483E-2</v>
      </c>
      <c r="T5" s="37">
        <f>tblExpenses[[#This Row],[3 月]]/tblExpenses[[#Totals],[3 月]]</f>
        <v>5.2208835341365459E-2</v>
      </c>
      <c r="U5" s="37">
        <f>tblExpenses[[#This Row],[4 月]]/tblExpenses[[#Totals],[4 月]]</f>
        <v>3.0651340996168581E-2</v>
      </c>
      <c r="V5" s="37">
        <f>tblExpenses[[#This Row],[5 月]]/tblExpenses[[#Totals],[5 月]]</f>
        <v>8.5603112840466927E-2</v>
      </c>
      <c r="W5" s="37">
        <f>tblExpenses[[#This Row],[6 月]]/tblExpenses[[#Totals],[6 月]]</f>
        <v>6.569343065693431E-2</v>
      </c>
      <c r="X5" s="37">
        <f>tblExpenses[[#This Row],[7 月]]/tblExpenses[[#Totals],[7 月]]</f>
        <v>3.007518796992481E-2</v>
      </c>
      <c r="Y5" s="37">
        <f>tblExpenses[[#This Row],[8 月]]/tblExpenses[[#Totals],[8 月]]</f>
        <v>7.2340425531914887E-2</v>
      </c>
      <c r="Z5" s="37">
        <f>tblExpenses[[#This Row],[9 月]]/tblExpenses[[#Totals],[9 月]]</f>
        <v>8.6956521739130432E-2</v>
      </c>
      <c r="AA5" s="37">
        <f>tblExpenses[[#This Row],[10 月]]/tblExpenses[[#Totals],[10 月]]</f>
        <v>3.0888030888030889E-2</v>
      </c>
      <c r="AB5" s="37">
        <f>tblExpenses[[#This Row],[11 月]]/tblExpenses[[#Totals],[11 月]]</f>
        <v>1.3513513513513514E-2</v>
      </c>
      <c r="AC5" s="37">
        <f>tblExpenses[[#This Row],[12 月]]/tblExpenses[[#Totals],[12 月]]</f>
        <v>5.1948051948051951E-2</v>
      </c>
      <c r="AD5" s="37">
        <f>tblExpenses[[#This Row],[年次]]/tblExpenses[[#Totals],[年次]]</f>
        <v>5.2684228076025338E-2</v>
      </c>
    </row>
    <row r="6" spans="1:30" ht="30" customHeight="1" x14ac:dyDescent="0.25">
      <c r="B6" s="14" t="s">
        <v>52</v>
      </c>
      <c r="C6" s="35" t="s">
        <v>69</v>
      </c>
      <c r="D6" s="26">
        <v>2300</v>
      </c>
      <c r="E6" s="26">
        <v>1100</v>
      </c>
      <c r="F6" s="26">
        <v>700</v>
      </c>
      <c r="G6" s="26">
        <v>1400</v>
      </c>
      <c r="H6" s="26">
        <v>1200</v>
      </c>
      <c r="I6" s="26">
        <v>1900</v>
      </c>
      <c r="J6" s="26">
        <v>1900</v>
      </c>
      <c r="K6" s="26">
        <v>400</v>
      </c>
      <c r="L6" s="26">
        <v>700</v>
      </c>
      <c r="M6" s="26">
        <v>1300</v>
      </c>
      <c r="N6" s="26">
        <v>2500</v>
      </c>
      <c r="O6" s="26">
        <v>500</v>
      </c>
      <c r="P6" s="36">
        <f>SUM(tblExpenses[[#This Row],[列 1]:[12 月]])</f>
        <v>15900</v>
      </c>
      <c r="Q6" s="27">
        <v>0.09</v>
      </c>
      <c r="R6" s="37">
        <f>tblExpenses[[#This Row],[列 1]]/tblExpenses[[#Totals],[列 1]]</f>
        <v>9.7457627118644072E-2</v>
      </c>
      <c r="S6" s="37">
        <f>tblExpenses[[#This Row],[2 月]]/tblExpenses[[#Totals],[2 月]]</f>
        <v>5.3658536585365853E-2</v>
      </c>
      <c r="T6" s="37">
        <f>tblExpenses[[#This Row],[3 月]]/tblExpenses[[#Totals],[3 月]]</f>
        <v>2.8112449799196786E-2</v>
      </c>
      <c r="U6" s="37">
        <f>tblExpenses[[#This Row],[4 月]]/tblExpenses[[#Totals],[4 月]]</f>
        <v>5.3639846743295021E-2</v>
      </c>
      <c r="V6" s="37">
        <f>tblExpenses[[#This Row],[5 月]]/tblExpenses[[#Totals],[5 月]]</f>
        <v>4.6692607003891051E-2</v>
      </c>
      <c r="W6" s="37">
        <f>tblExpenses[[#This Row],[6 月]]/tblExpenses[[#Totals],[6 月]]</f>
        <v>6.9343065693430656E-2</v>
      </c>
      <c r="X6" s="37">
        <f>tblExpenses[[#This Row],[7 月]]/tblExpenses[[#Totals],[7 月]]</f>
        <v>7.1428571428571425E-2</v>
      </c>
      <c r="Y6" s="37">
        <f>tblExpenses[[#This Row],[8 月]]/tblExpenses[[#Totals],[8 月]]</f>
        <v>1.7021276595744681E-2</v>
      </c>
      <c r="Z6" s="37">
        <f>tblExpenses[[#This Row],[9 月]]/tblExpenses[[#Totals],[9 月]]</f>
        <v>3.0434782608695653E-2</v>
      </c>
      <c r="AA6" s="37">
        <f>tblExpenses[[#This Row],[10 月]]/tblExpenses[[#Totals],[10 月]]</f>
        <v>5.019305019305019E-2</v>
      </c>
      <c r="AB6" s="37">
        <f>tblExpenses[[#This Row],[11 月]]/tblExpenses[[#Totals],[11 月]]</f>
        <v>8.4459459459459457E-2</v>
      </c>
      <c r="AC6" s="37">
        <f>tblExpenses[[#This Row],[12 月]]/tblExpenses[[#Totals],[12 月]]</f>
        <v>2.1645021645021644E-2</v>
      </c>
      <c r="AD6" s="37">
        <f>tblExpenses[[#This Row],[年次]]/tblExpenses[[#Totals],[年次]]</f>
        <v>5.3017672557519172E-2</v>
      </c>
    </row>
    <row r="7" spans="1:30" ht="30" customHeight="1" x14ac:dyDescent="0.25">
      <c r="B7" s="14" t="s">
        <v>53</v>
      </c>
      <c r="C7" s="35" t="s">
        <v>69</v>
      </c>
      <c r="D7" s="26">
        <v>2300</v>
      </c>
      <c r="E7" s="26">
        <v>2000</v>
      </c>
      <c r="F7" s="26">
        <v>300</v>
      </c>
      <c r="G7" s="26">
        <v>1600</v>
      </c>
      <c r="H7" s="26">
        <v>1000</v>
      </c>
      <c r="I7" s="26">
        <v>500</v>
      </c>
      <c r="J7" s="26">
        <v>2000</v>
      </c>
      <c r="K7" s="26">
        <v>700</v>
      </c>
      <c r="L7" s="26">
        <v>400</v>
      </c>
      <c r="M7" s="26">
        <v>2200</v>
      </c>
      <c r="N7" s="26">
        <v>1300</v>
      </c>
      <c r="O7" s="26">
        <v>1400</v>
      </c>
      <c r="P7" s="36">
        <f>SUM(tblExpenses[[#This Row],[列 1]:[12 月]])</f>
        <v>15700</v>
      </c>
      <c r="Q7" s="27">
        <v>0.02</v>
      </c>
      <c r="R7" s="37">
        <f>tblExpenses[[#This Row],[列 1]]/tblExpenses[[#Totals],[列 1]]</f>
        <v>9.7457627118644072E-2</v>
      </c>
      <c r="S7" s="37">
        <f>tblExpenses[[#This Row],[2 月]]/tblExpenses[[#Totals],[2 月]]</f>
        <v>9.7560975609756101E-2</v>
      </c>
      <c r="T7" s="37">
        <f>tblExpenses[[#This Row],[3 月]]/tblExpenses[[#Totals],[3 月]]</f>
        <v>1.2048192771084338E-2</v>
      </c>
      <c r="U7" s="37">
        <f>tblExpenses[[#This Row],[4 月]]/tblExpenses[[#Totals],[4 月]]</f>
        <v>6.1302681992337162E-2</v>
      </c>
      <c r="V7" s="37">
        <f>tblExpenses[[#This Row],[5 月]]/tblExpenses[[#Totals],[5 月]]</f>
        <v>3.8910505836575876E-2</v>
      </c>
      <c r="W7" s="37">
        <f>tblExpenses[[#This Row],[6 月]]/tblExpenses[[#Totals],[6 月]]</f>
        <v>1.824817518248175E-2</v>
      </c>
      <c r="X7" s="37">
        <f>tblExpenses[[#This Row],[7 月]]/tblExpenses[[#Totals],[7 月]]</f>
        <v>7.5187969924812026E-2</v>
      </c>
      <c r="Y7" s="37">
        <f>tblExpenses[[#This Row],[8 月]]/tblExpenses[[#Totals],[8 月]]</f>
        <v>2.9787234042553193E-2</v>
      </c>
      <c r="Z7" s="37">
        <f>tblExpenses[[#This Row],[9 月]]/tblExpenses[[#Totals],[9 月]]</f>
        <v>1.7391304347826087E-2</v>
      </c>
      <c r="AA7" s="37">
        <f>tblExpenses[[#This Row],[10 月]]/tblExpenses[[#Totals],[10 月]]</f>
        <v>8.4942084942084939E-2</v>
      </c>
      <c r="AB7" s="37">
        <f>tblExpenses[[#This Row],[11 月]]/tblExpenses[[#Totals],[11 月]]</f>
        <v>4.3918918918918921E-2</v>
      </c>
      <c r="AC7" s="37">
        <f>tblExpenses[[#This Row],[12 月]]/tblExpenses[[#Totals],[12 月]]</f>
        <v>6.0606060606060608E-2</v>
      </c>
      <c r="AD7" s="37">
        <f>tblExpenses[[#This Row],[年次]]/tblExpenses[[#Totals],[年次]]</f>
        <v>5.2350783594531512E-2</v>
      </c>
    </row>
    <row r="8" spans="1:30" ht="30" customHeight="1" x14ac:dyDescent="0.25">
      <c r="B8" s="14" t="s">
        <v>54</v>
      </c>
      <c r="C8" s="35" t="s">
        <v>69</v>
      </c>
      <c r="D8" s="26">
        <v>1900</v>
      </c>
      <c r="E8" s="26">
        <v>400</v>
      </c>
      <c r="F8" s="26">
        <v>700</v>
      </c>
      <c r="G8" s="26">
        <v>1400</v>
      </c>
      <c r="H8" s="26">
        <v>2200</v>
      </c>
      <c r="I8" s="26">
        <v>1000</v>
      </c>
      <c r="J8" s="26">
        <v>2200</v>
      </c>
      <c r="K8" s="26">
        <v>500</v>
      </c>
      <c r="L8" s="26">
        <v>400</v>
      </c>
      <c r="M8" s="26">
        <v>1200</v>
      </c>
      <c r="N8" s="26">
        <v>1800</v>
      </c>
      <c r="O8" s="26">
        <v>2400</v>
      </c>
      <c r="P8" s="36">
        <f>SUM(tblExpenses[[#This Row],[列 1]:[12 月]])</f>
        <v>16100</v>
      </c>
      <c r="Q8" s="27">
        <v>0.08</v>
      </c>
      <c r="R8" s="37">
        <f>tblExpenses[[#This Row],[列 1]]/tblExpenses[[#Totals],[列 1]]</f>
        <v>8.050847457627118E-2</v>
      </c>
      <c r="S8" s="37">
        <f>tblExpenses[[#This Row],[2 月]]/tblExpenses[[#Totals],[2 月]]</f>
        <v>1.9512195121951219E-2</v>
      </c>
      <c r="T8" s="37">
        <f>tblExpenses[[#This Row],[3 月]]/tblExpenses[[#Totals],[3 月]]</f>
        <v>2.8112449799196786E-2</v>
      </c>
      <c r="U8" s="37">
        <f>tblExpenses[[#This Row],[4 月]]/tblExpenses[[#Totals],[4 月]]</f>
        <v>5.3639846743295021E-2</v>
      </c>
      <c r="V8" s="37">
        <f>tblExpenses[[#This Row],[5 月]]/tblExpenses[[#Totals],[5 月]]</f>
        <v>8.5603112840466927E-2</v>
      </c>
      <c r="W8" s="37">
        <f>tblExpenses[[#This Row],[6 月]]/tblExpenses[[#Totals],[6 月]]</f>
        <v>3.6496350364963501E-2</v>
      </c>
      <c r="X8" s="37">
        <f>tblExpenses[[#This Row],[7 月]]/tblExpenses[[#Totals],[7 月]]</f>
        <v>8.2706766917293228E-2</v>
      </c>
      <c r="Y8" s="37">
        <f>tblExpenses[[#This Row],[8 月]]/tblExpenses[[#Totals],[8 月]]</f>
        <v>2.1276595744680851E-2</v>
      </c>
      <c r="Z8" s="37">
        <f>tblExpenses[[#This Row],[9 月]]/tblExpenses[[#Totals],[9 月]]</f>
        <v>1.7391304347826087E-2</v>
      </c>
      <c r="AA8" s="37">
        <f>tblExpenses[[#This Row],[10 月]]/tblExpenses[[#Totals],[10 月]]</f>
        <v>4.633204633204633E-2</v>
      </c>
      <c r="AB8" s="37">
        <f>tblExpenses[[#This Row],[11 月]]/tblExpenses[[#Totals],[11 月]]</f>
        <v>6.0810810810810814E-2</v>
      </c>
      <c r="AC8" s="37">
        <f>tblExpenses[[#This Row],[12 月]]/tblExpenses[[#Totals],[12 月]]</f>
        <v>0.1038961038961039</v>
      </c>
      <c r="AD8" s="37">
        <f>tblExpenses[[#This Row],[年次]]/tblExpenses[[#Totals],[年次]]</f>
        <v>5.3684561520506838E-2</v>
      </c>
    </row>
    <row r="9" spans="1:30" ht="30" customHeight="1" x14ac:dyDescent="0.25">
      <c r="B9" s="14" t="s">
        <v>55</v>
      </c>
      <c r="C9" s="35" t="s">
        <v>69</v>
      </c>
      <c r="D9" s="26">
        <v>1100</v>
      </c>
      <c r="E9" s="26">
        <v>1100</v>
      </c>
      <c r="F9" s="26">
        <v>1700</v>
      </c>
      <c r="G9" s="26">
        <v>1200</v>
      </c>
      <c r="H9" s="26">
        <v>200</v>
      </c>
      <c r="I9" s="26">
        <v>1400</v>
      </c>
      <c r="J9" s="26">
        <v>1200</v>
      </c>
      <c r="K9" s="26">
        <v>1000</v>
      </c>
      <c r="L9" s="26">
        <v>1800</v>
      </c>
      <c r="M9" s="26">
        <v>1100</v>
      </c>
      <c r="N9" s="26">
        <v>2300</v>
      </c>
      <c r="O9" s="26">
        <v>1100</v>
      </c>
      <c r="P9" s="36">
        <f>SUM(tblExpenses[[#This Row],[列 1]:[12 月]])</f>
        <v>15200</v>
      </c>
      <c r="Q9" s="27">
        <v>0.03</v>
      </c>
      <c r="R9" s="37">
        <f>tblExpenses[[#This Row],[列 1]]/tblExpenses[[#Totals],[列 1]]</f>
        <v>4.6610169491525424E-2</v>
      </c>
      <c r="S9" s="37">
        <f>tblExpenses[[#This Row],[2 月]]/tblExpenses[[#Totals],[2 月]]</f>
        <v>5.3658536585365853E-2</v>
      </c>
      <c r="T9" s="37">
        <f>tblExpenses[[#This Row],[3 月]]/tblExpenses[[#Totals],[3 月]]</f>
        <v>6.8273092369477914E-2</v>
      </c>
      <c r="U9" s="37">
        <f>tblExpenses[[#This Row],[4 月]]/tblExpenses[[#Totals],[4 月]]</f>
        <v>4.5977011494252873E-2</v>
      </c>
      <c r="V9" s="37">
        <f>tblExpenses[[#This Row],[5 月]]/tblExpenses[[#Totals],[5 月]]</f>
        <v>7.7821011673151752E-3</v>
      </c>
      <c r="W9" s="37">
        <f>tblExpenses[[#This Row],[6 月]]/tblExpenses[[#Totals],[6 月]]</f>
        <v>5.1094890510948905E-2</v>
      </c>
      <c r="X9" s="37">
        <f>tblExpenses[[#This Row],[7 月]]/tblExpenses[[#Totals],[7 月]]</f>
        <v>4.5112781954887216E-2</v>
      </c>
      <c r="Y9" s="37">
        <f>tblExpenses[[#This Row],[8 月]]/tblExpenses[[#Totals],[8 月]]</f>
        <v>4.2553191489361701E-2</v>
      </c>
      <c r="Z9" s="37">
        <f>tblExpenses[[#This Row],[9 月]]/tblExpenses[[#Totals],[9 月]]</f>
        <v>7.8260869565217397E-2</v>
      </c>
      <c r="AA9" s="37">
        <f>tblExpenses[[#This Row],[10 月]]/tblExpenses[[#Totals],[10 月]]</f>
        <v>4.2471042471042469E-2</v>
      </c>
      <c r="AB9" s="37">
        <f>tblExpenses[[#This Row],[11 月]]/tblExpenses[[#Totals],[11 月]]</f>
        <v>7.77027027027027E-2</v>
      </c>
      <c r="AC9" s="37">
        <f>tblExpenses[[#This Row],[12 月]]/tblExpenses[[#Totals],[12 月]]</f>
        <v>4.7619047619047616E-2</v>
      </c>
      <c r="AD9" s="37">
        <f>tblExpenses[[#This Row],[年次]]/tblExpenses[[#Totals],[年次]]</f>
        <v>5.0683561187062354E-2</v>
      </c>
    </row>
    <row r="10" spans="1:30" ht="30" customHeight="1" x14ac:dyDescent="0.25">
      <c r="B10" s="14" t="s">
        <v>56</v>
      </c>
      <c r="C10" s="35" t="s">
        <v>69</v>
      </c>
      <c r="D10" s="26">
        <v>200</v>
      </c>
      <c r="E10" s="26">
        <v>1600</v>
      </c>
      <c r="F10" s="26">
        <v>600</v>
      </c>
      <c r="G10" s="26">
        <v>1300</v>
      </c>
      <c r="H10" s="26">
        <v>1100</v>
      </c>
      <c r="I10" s="26">
        <v>2200</v>
      </c>
      <c r="J10" s="26">
        <v>2100</v>
      </c>
      <c r="K10" s="26">
        <v>300</v>
      </c>
      <c r="L10" s="26">
        <v>1200</v>
      </c>
      <c r="M10" s="26">
        <v>700</v>
      </c>
      <c r="N10" s="26">
        <v>1700</v>
      </c>
      <c r="O10" s="26">
        <v>2000</v>
      </c>
      <c r="P10" s="36">
        <f>SUM(tblExpenses[[#This Row],[列 1]:[12 月]])</f>
        <v>15000</v>
      </c>
      <c r="Q10" s="27">
        <v>0.15</v>
      </c>
      <c r="R10" s="37">
        <f>tblExpenses[[#This Row],[列 1]]/tblExpenses[[#Totals],[列 1]]</f>
        <v>8.4745762711864406E-3</v>
      </c>
      <c r="S10" s="37">
        <f>tblExpenses[[#This Row],[2 月]]/tblExpenses[[#Totals],[2 月]]</f>
        <v>7.8048780487804878E-2</v>
      </c>
      <c r="T10" s="37">
        <f>tblExpenses[[#This Row],[3 月]]/tblExpenses[[#Totals],[3 月]]</f>
        <v>2.4096385542168676E-2</v>
      </c>
      <c r="U10" s="37">
        <f>tblExpenses[[#This Row],[4 月]]/tblExpenses[[#Totals],[4 月]]</f>
        <v>4.9808429118773943E-2</v>
      </c>
      <c r="V10" s="37">
        <f>tblExpenses[[#This Row],[5 月]]/tblExpenses[[#Totals],[5 月]]</f>
        <v>4.2801556420233464E-2</v>
      </c>
      <c r="W10" s="37">
        <f>tblExpenses[[#This Row],[6 月]]/tblExpenses[[#Totals],[6 月]]</f>
        <v>8.0291970802919707E-2</v>
      </c>
      <c r="X10" s="37">
        <f>tblExpenses[[#This Row],[7 月]]/tblExpenses[[#Totals],[7 月]]</f>
        <v>7.8947368421052627E-2</v>
      </c>
      <c r="Y10" s="37">
        <f>tblExpenses[[#This Row],[8 月]]/tblExpenses[[#Totals],[8 月]]</f>
        <v>1.276595744680851E-2</v>
      </c>
      <c r="Z10" s="37">
        <f>tblExpenses[[#This Row],[9 月]]/tblExpenses[[#Totals],[9 月]]</f>
        <v>5.2173913043478258E-2</v>
      </c>
      <c r="AA10" s="37">
        <f>tblExpenses[[#This Row],[10 月]]/tblExpenses[[#Totals],[10 月]]</f>
        <v>2.7027027027027029E-2</v>
      </c>
      <c r="AB10" s="37">
        <f>tblExpenses[[#This Row],[11 月]]/tblExpenses[[#Totals],[11 月]]</f>
        <v>5.7432432432432436E-2</v>
      </c>
      <c r="AC10" s="37">
        <f>tblExpenses[[#This Row],[12 月]]/tblExpenses[[#Totals],[12 月]]</f>
        <v>8.6580086580086577E-2</v>
      </c>
      <c r="AD10" s="37">
        <f>tblExpenses[[#This Row],[年次]]/tblExpenses[[#Totals],[年次]]</f>
        <v>5.0016672224074694E-2</v>
      </c>
    </row>
    <row r="11" spans="1:30" ht="30" customHeight="1" x14ac:dyDescent="0.25">
      <c r="B11" s="14" t="s">
        <v>57</v>
      </c>
      <c r="C11" s="35" t="s">
        <v>69</v>
      </c>
      <c r="D11" s="26">
        <v>800</v>
      </c>
      <c r="E11" s="26">
        <v>1700</v>
      </c>
      <c r="F11" s="26">
        <v>1100</v>
      </c>
      <c r="G11" s="26">
        <v>1100</v>
      </c>
      <c r="H11" s="26">
        <v>2100</v>
      </c>
      <c r="I11" s="26">
        <v>900</v>
      </c>
      <c r="J11" s="26">
        <v>2000</v>
      </c>
      <c r="K11" s="26">
        <v>300</v>
      </c>
      <c r="L11" s="26">
        <v>1400</v>
      </c>
      <c r="M11" s="26">
        <v>2200</v>
      </c>
      <c r="N11" s="26">
        <v>1600</v>
      </c>
      <c r="O11" s="26">
        <v>1200</v>
      </c>
      <c r="P11" s="36">
        <f>SUM(tblExpenses[[#This Row],[列 1]:[12 月]])</f>
        <v>16400</v>
      </c>
      <c r="Q11" s="27">
        <v>0.12</v>
      </c>
      <c r="R11" s="37">
        <f>tblExpenses[[#This Row],[列 1]]/tblExpenses[[#Totals],[列 1]]</f>
        <v>3.3898305084745763E-2</v>
      </c>
      <c r="S11" s="37">
        <f>tblExpenses[[#This Row],[2 月]]/tblExpenses[[#Totals],[2 月]]</f>
        <v>8.2926829268292687E-2</v>
      </c>
      <c r="T11" s="37">
        <f>tblExpenses[[#This Row],[3 月]]/tblExpenses[[#Totals],[3 月]]</f>
        <v>4.4176706827309238E-2</v>
      </c>
      <c r="U11" s="37">
        <f>tblExpenses[[#This Row],[4 月]]/tblExpenses[[#Totals],[4 月]]</f>
        <v>4.2145593869731802E-2</v>
      </c>
      <c r="V11" s="37">
        <f>tblExpenses[[#This Row],[5 月]]/tblExpenses[[#Totals],[5 月]]</f>
        <v>8.171206225680934E-2</v>
      </c>
      <c r="W11" s="37">
        <f>tblExpenses[[#This Row],[6 月]]/tblExpenses[[#Totals],[6 月]]</f>
        <v>3.2846715328467155E-2</v>
      </c>
      <c r="X11" s="37">
        <f>tblExpenses[[#This Row],[7 月]]/tblExpenses[[#Totals],[7 月]]</f>
        <v>7.5187969924812026E-2</v>
      </c>
      <c r="Y11" s="37">
        <f>tblExpenses[[#This Row],[8 月]]/tblExpenses[[#Totals],[8 月]]</f>
        <v>1.276595744680851E-2</v>
      </c>
      <c r="Z11" s="37">
        <f>tblExpenses[[#This Row],[9 月]]/tblExpenses[[#Totals],[9 月]]</f>
        <v>6.0869565217391307E-2</v>
      </c>
      <c r="AA11" s="37">
        <f>tblExpenses[[#This Row],[10 月]]/tblExpenses[[#Totals],[10 月]]</f>
        <v>8.4942084942084939E-2</v>
      </c>
      <c r="AB11" s="37">
        <f>tblExpenses[[#This Row],[11 月]]/tblExpenses[[#Totals],[11 月]]</f>
        <v>5.4054054054054057E-2</v>
      </c>
      <c r="AC11" s="37">
        <f>tblExpenses[[#This Row],[12 月]]/tblExpenses[[#Totals],[12 月]]</f>
        <v>5.1948051948051951E-2</v>
      </c>
      <c r="AD11" s="37">
        <f>tblExpenses[[#This Row],[年次]]/tblExpenses[[#Totals],[年次]]</f>
        <v>5.468489496498833E-2</v>
      </c>
    </row>
    <row r="12" spans="1:30" ht="30" customHeight="1" x14ac:dyDescent="0.25">
      <c r="B12" s="14" t="s">
        <v>58</v>
      </c>
      <c r="C12" s="35" t="s">
        <v>69</v>
      </c>
      <c r="D12" s="26">
        <v>500</v>
      </c>
      <c r="E12" s="26">
        <v>1300</v>
      </c>
      <c r="F12" s="26">
        <v>600</v>
      </c>
      <c r="G12" s="26">
        <v>1500</v>
      </c>
      <c r="H12" s="26">
        <v>1900</v>
      </c>
      <c r="I12" s="26">
        <v>1000</v>
      </c>
      <c r="J12" s="26">
        <v>1200</v>
      </c>
      <c r="K12" s="26">
        <v>900</v>
      </c>
      <c r="L12" s="26">
        <v>1500</v>
      </c>
      <c r="M12" s="26">
        <v>1600</v>
      </c>
      <c r="N12" s="26">
        <v>400</v>
      </c>
      <c r="O12" s="26">
        <v>900</v>
      </c>
      <c r="P12" s="36">
        <f>SUM(tblExpenses[[#This Row],[列 1]:[12 月]])</f>
        <v>13300</v>
      </c>
      <c r="Q12" s="27">
        <v>0.09</v>
      </c>
      <c r="R12" s="37">
        <f>tblExpenses[[#This Row],[列 1]]/tblExpenses[[#Totals],[列 1]]</f>
        <v>2.1186440677966101E-2</v>
      </c>
      <c r="S12" s="37">
        <f>tblExpenses[[#This Row],[2 月]]/tblExpenses[[#Totals],[2 月]]</f>
        <v>6.3414634146341464E-2</v>
      </c>
      <c r="T12" s="37">
        <f>tblExpenses[[#This Row],[3 月]]/tblExpenses[[#Totals],[3 月]]</f>
        <v>2.4096385542168676E-2</v>
      </c>
      <c r="U12" s="37">
        <f>tblExpenses[[#This Row],[4 月]]/tblExpenses[[#Totals],[4 月]]</f>
        <v>5.7471264367816091E-2</v>
      </c>
      <c r="V12" s="37">
        <f>tblExpenses[[#This Row],[5 月]]/tblExpenses[[#Totals],[5 月]]</f>
        <v>7.3929961089494164E-2</v>
      </c>
      <c r="W12" s="37">
        <f>tblExpenses[[#This Row],[6 月]]/tblExpenses[[#Totals],[6 月]]</f>
        <v>3.6496350364963501E-2</v>
      </c>
      <c r="X12" s="37">
        <f>tblExpenses[[#This Row],[7 月]]/tblExpenses[[#Totals],[7 月]]</f>
        <v>4.5112781954887216E-2</v>
      </c>
      <c r="Y12" s="37">
        <f>tblExpenses[[#This Row],[8 月]]/tblExpenses[[#Totals],[8 月]]</f>
        <v>3.8297872340425532E-2</v>
      </c>
      <c r="Z12" s="37">
        <f>tblExpenses[[#This Row],[9 月]]/tblExpenses[[#Totals],[9 月]]</f>
        <v>6.5217391304347824E-2</v>
      </c>
      <c r="AA12" s="37">
        <f>tblExpenses[[#This Row],[10 月]]/tblExpenses[[#Totals],[10 月]]</f>
        <v>6.1776061776061778E-2</v>
      </c>
      <c r="AB12" s="37">
        <f>tblExpenses[[#This Row],[11 月]]/tblExpenses[[#Totals],[11 月]]</f>
        <v>1.3513513513513514E-2</v>
      </c>
      <c r="AC12" s="37">
        <f>tblExpenses[[#This Row],[12 月]]/tblExpenses[[#Totals],[12 月]]</f>
        <v>3.896103896103896E-2</v>
      </c>
      <c r="AD12" s="37">
        <f>tblExpenses[[#This Row],[年次]]/tblExpenses[[#Totals],[年次]]</f>
        <v>4.4348116038679559E-2</v>
      </c>
    </row>
    <row r="13" spans="1:30" ht="30" customHeight="1" x14ac:dyDescent="0.25">
      <c r="B13" s="14" t="s">
        <v>59</v>
      </c>
      <c r="C13" s="35" t="s">
        <v>69</v>
      </c>
      <c r="D13" s="26">
        <v>800</v>
      </c>
      <c r="E13" s="26">
        <v>400</v>
      </c>
      <c r="F13" s="26">
        <v>2300</v>
      </c>
      <c r="G13" s="26">
        <v>2500</v>
      </c>
      <c r="H13" s="26">
        <v>1000</v>
      </c>
      <c r="I13" s="26">
        <v>2400</v>
      </c>
      <c r="J13" s="26">
        <v>2200</v>
      </c>
      <c r="K13" s="26">
        <v>500</v>
      </c>
      <c r="L13" s="26">
        <v>1200</v>
      </c>
      <c r="M13" s="26">
        <v>2400</v>
      </c>
      <c r="N13" s="26">
        <v>2400</v>
      </c>
      <c r="O13" s="26">
        <v>1200</v>
      </c>
      <c r="P13" s="36">
        <f>SUM(tblExpenses[[#This Row],[列 1]:[12 月]])</f>
        <v>19300</v>
      </c>
      <c r="Q13" s="27">
        <v>0.01</v>
      </c>
      <c r="R13" s="37">
        <f>tblExpenses[[#This Row],[列 1]]/tblExpenses[[#Totals],[列 1]]</f>
        <v>3.3898305084745763E-2</v>
      </c>
      <c r="S13" s="37">
        <f>tblExpenses[[#This Row],[2 月]]/tblExpenses[[#Totals],[2 月]]</f>
        <v>1.9512195121951219E-2</v>
      </c>
      <c r="T13" s="37">
        <f>tblExpenses[[#This Row],[3 月]]/tblExpenses[[#Totals],[3 月]]</f>
        <v>9.2369477911646583E-2</v>
      </c>
      <c r="U13" s="37">
        <f>tblExpenses[[#This Row],[4 月]]/tblExpenses[[#Totals],[4 月]]</f>
        <v>9.5785440613026823E-2</v>
      </c>
      <c r="V13" s="37">
        <f>tblExpenses[[#This Row],[5 月]]/tblExpenses[[#Totals],[5 月]]</f>
        <v>3.8910505836575876E-2</v>
      </c>
      <c r="W13" s="37">
        <f>tblExpenses[[#This Row],[6 月]]/tblExpenses[[#Totals],[6 月]]</f>
        <v>8.7591240875912413E-2</v>
      </c>
      <c r="X13" s="37">
        <f>tblExpenses[[#This Row],[7 月]]/tblExpenses[[#Totals],[7 月]]</f>
        <v>8.2706766917293228E-2</v>
      </c>
      <c r="Y13" s="37">
        <f>tblExpenses[[#This Row],[8 月]]/tblExpenses[[#Totals],[8 月]]</f>
        <v>2.1276595744680851E-2</v>
      </c>
      <c r="Z13" s="37">
        <f>tblExpenses[[#This Row],[9 月]]/tblExpenses[[#Totals],[9 月]]</f>
        <v>5.2173913043478258E-2</v>
      </c>
      <c r="AA13" s="37">
        <f>tblExpenses[[#This Row],[10 月]]/tblExpenses[[#Totals],[10 月]]</f>
        <v>9.2664092664092659E-2</v>
      </c>
      <c r="AB13" s="37">
        <f>tblExpenses[[#This Row],[11 月]]/tblExpenses[[#Totals],[11 月]]</f>
        <v>8.1081081081081086E-2</v>
      </c>
      <c r="AC13" s="37">
        <f>tblExpenses[[#This Row],[12 月]]/tblExpenses[[#Totals],[12 月]]</f>
        <v>5.1948051948051951E-2</v>
      </c>
      <c r="AD13" s="37">
        <f>tblExpenses[[#This Row],[年次]]/tblExpenses[[#Totals],[年次]]</f>
        <v>6.4354784928309441E-2</v>
      </c>
    </row>
    <row r="14" spans="1:30" ht="30" customHeight="1" x14ac:dyDescent="0.25">
      <c r="B14" s="14" t="s">
        <v>60</v>
      </c>
      <c r="C14" s="35" t="s">
        <v>69</v>
      </c>
      <c r="D14" s="26">
        <v>2500</v>
      </c>
      <c r="E14" s="26">
        <v>200</v>
      </c>
      <c r="F14" s="26">
        <v>1200</v>
      </c>
      <c r="G14" s="26">
        <v>2500</v>
      </c>
      <c r="H14" s="26">
        <v>1000</v>
      </c>
      <c r="I14" s="26">
        <v>2400</v>
      </c>
      <c r="J14" s="26">
        <v>300</v>
      </c>
      <c r="K14" s="26">
        <v>2000</v>
      </c>
      <c r="L14" s="26">
        <v>300</v>
      </c>
      <c r="M14" s="26">
        <v>900</v>
      </c>
      <c r="N14" s="26">
        <v>2000</v>
      </c>
      <c r="O14" s="26">
        <v>1800</v>
      </c>
      <c r="P14" s="36">
        <f>SUM(tblExpenses[[#This Row],[列 1]:[12 月]])</f>
        <v>17100</v>
      </c>
      <c r="Q14" s="27">
        <v>0.01</v>
      </c>
      <c r="R14" s="37">
        <f>tblExpenses[[#This Row],[列 1]]/tblExpenses[[#Totals],[列 1]]</f>
        <v>0.1059322033898305</v>
      </c>
      <c r="S14" s="37">
        <f>tblExpenses[[#This Row],[2 月]]/tblExpenses[[#Totals],[2 月]]</f>
        <v>9.7560975609756097E-3</v>
      </c>
      <c r="T14" s="37">
        <f>tblExpenses[[#This Row],[3 月]]/tblExpenses[[#Totals],[3 月]]</f>
        <v>4.8192771084337352E-2</v>
      </c>
      <c r="U14" s="37">
        <f>tblExpenses[[#This Row],[4 月]]/tblExpenses[[#Totals],[4 月]]</f>
        <v>9.5785440613026823E-2</v>
      </c>
      <c r="V14" s="37">
        <f>tblExpenses[[#This Row],[5 月]]/tblExpenses[[#Totals],[5 月]]</f>
        <v>3.8910505836575876E-2</v>
      </c>
      <c r="W14" s="37">
        <f>tblExpenses[[#This Row],[6 月]]/tblExpenses[[#Totals],[6 月]]</f>
        <v>8.7591240875912413E-2</v>
      </c>
      <c r="X14" s="37">
        <f>tblExpenses[[#This Row],[7 月]]/tblExpenses[[#Totals],[7 月]]</f>
        <v>1.1278195488721804E-2</v>
      </c>
      <c r="Y14" s="37">
        <f>tblExpenses[[#This Row],[8 月]]/tblExpenses[[#Totals],[8 月]]</f>
        <v>8.5106382978723402E-2</v>
      </c>
      <c r="Z14" s="37">
        <f>tblExpenses[[#This Row],[9 月]]/tblExpenses[[#Totals],[9 月]]</f>
        <v>1.3043478260869565E-2</v>
      </c>
      <c r="AA14" s="37">
        <f>tblExpenses[[#This Row],[10 月]]/tblExpenses[[#Totals],[10 月]]</f>
        <v>3.4749034749034749E-2</v>
      </c>
      <c r="AB14" s="37">
        <f>tblExpenses[[#This Row],[11 月]]/tblExpenses[[#Totals],[11 月]]</f>
        <v>6.7567567567567571E-2</v>
      </c>
      <c r="AC14" s="37">
        <f>tblExpenses[[#This Row],[12 月]]/tblExpenses[[#Totals],[12 月]]</f>
        <v>7.792207792207792E-2</v>
      </c>
      <c r="AD14" s="37">
        <f>tblExpenses[[#This Row],[年次]]/tblExpenses[[#Totals],[年次]]</f>
        <v>5.7019006335445148E-2</v>
      </c>
    </row>
    <row r="15" spans="1:30" ht="30" customHeight="1" x14ac:dyDescent="0.25">
      <c r="B15" s="14" t="s">
        <v>61</v>
      </c>
      <c r="C15" s="35" t="s">
        <v>69</v>
      </c>
      <c r="D15" s="26">
        <v>1600</v>
      </c>
      <c r="E15" s="26">
        <v>1900</v>
      </c>
      <c r="F15" s="26">
        <v>900</v>
      </c>
      <c r="G15" s="26">
        <v>1600</v>
      </c>
      <c r="H15" s="26">
        <v>1300</v>
      </c>
      <c r="I15" s="26">
        <v>200</v>
      </c>
      <c r="J15" s="26">
        <v>400</v>
      </c>
      <c r="K15" s="26">
        <v>2400</v>
      </c>
      <c r="L15" s="26">
        <v>1600</v>
      </c>
      <c r="M15" s="26">
        <v>2200</v>
      </c>
      <c r="N15" s="26">
        <v>700</v>
      </c>
      <c r="O15" s="26">
        <v>1800</v>
      </c>
      <c r="P15" s="36">
        <f>SUM(tblExpenses[[#This Row],[列 1]:[12 月]])</f>
        <v>16600</v>
      </c>
      <c r="Q15" s="27">
        <v>0.01</v>
      </c>
      <c r="R15" s="37">
        <f>tblExpenses[[#This Row],[列 1]]/tblExpenses[[#Totals],[列 1]]</f>
        <v>6.7796610169491525E-2</v>
      </c>
      <c r="S15" s="37">
        <f>tblExpenses[[#This Row],[2 月]]/tblExpenses[[#Totals],[2 月]]</f>
        <v>9.2682926829268292E-2</v>
      </c>
      <c r="T15" s="37">
        <f>tblExpenses[[#This Row],[3 月]]/tblExpenses[[#Totals],[3 月]]</f>
        <v>3.614457831325301E-2</v>
      </c>
      <c r="U15" s="37">
        <f>tblExpenses[[#This Row],[4 月]]/tblExpenses[[#Totals],[4 月]]</f>
        <v>6.1302681992337162E-2</v>
      </c>
      <c r="V15" s="37">
        <f>tblExpenses[[#This Row],[5 月]]/tblExpenses[[#Totals],[5 月]]</f>
        <v>5.0583657587548639E-2</v>
      </c>
      <c r="W15" s="37">
        <f>tblExpenses[[#This Row],[6 月]]/tblExpenses[[#Totals],[6 月]]</f>
        <v>7.2992700729927005E-3</v>
      </c>
      <c r="X15" s="37">
        <f>tblExpenses[[#This Row],[7 月]]/tblExpenses[[#Totals],[7 月]]</f>
        <v>1.5037593984962405E-2</v>
      </c>
      <c r="Y15" s="37">
        <f>tblExpenses[[#This Row],[8 月]]/tblExpenses[[#Totals],[8 月]]</f>
        <v>0.10212765957446808</v>
      </c>
      <c r="Z15" s="37">
        <f>tblExpenses[[#This Row],[9 月]]/tblExpenses[[#Totals],[9 月]]</f>
        <v>6.9565217391304349E-2</v>
      </c>
      <c r="AA15" s="37">
        <f>tblExpenses[[#This Row],[10 月]]/tblExpenses[[#Totals],[10 月]]</f>
        <v>8.4942084942084939E-2</v>
      </c>
      <c r="AB15" s="37">
        <f>tblExpenses[[#This Row],[11 月]]/tblExpenses[[#Totals],[11 月]]</f>
        <v>2.364864864864865E-2</v>
      </c>
      <c r="AC15" s="37">
        <f>tblExpenses[[#This Row],[12 月]]/tblExpenses[[#Totals],[12 月]]</f>
        <v>7.792207792207792E-2</v>
      </c>
      <c r="AD15" s="37">
        <f>tblExpenses[[#This Row],[年次]]/tblExpenses[[#Totals],[年次]]</f>
        <v>5.5351783927975989E-2</v>
      </c>
    </row>
    <row r="16" spans="1:30" ht="30" customHeight="1" x14ac:dyDescent="0.25">
      <c r="B16" s="14" t="s">
        <v>62</v>
      </c>
      <c r="C16" s="35" t="s">
        <v>69</v>
      </c>
      <c r="D16" s="26">
        <v>1200</v>
      </c>
      <c r="E16" s="26">
        <v>900</v>
      </c>
      <c r="F16" s="26">
        <v>1600</v>
      </c>
      <c r="G16" s="26">
        <v>1900</v>
      </c>
      <c r="H16" s="26">
        <v>2500</v>
      </c>
      <c r="I16" s="26">
        <v>1700</v>
      </c>
      <c r="J16" s="26">
        <v>2000</v>
      </c>
      <c r="K16" s="26">
        <v>1400</v>
      </c>
      <c r="L16" s="26">
        <v>500</v>
      </c>
      <c r="M16" s="26">
        <v>1400</v>
      </c>
      <c r="N16" s="26">
        <v>500</v>
      </c>
      <c r="O16" s="26">
        <v>200</v>
      </c>
      <c r="P16" s="36">
        <f>SUM(tblExpenses[[#This Row],[列 1]:[12 月]])</f>
        <v>15800</v>
      </c>
      <c r="Q16" s="27">
        <v>0.01</v>
      </c>
      <c r="R16" s="37">
        <f>tblExpenses[[#This Row],[列 1]]/tblExpenses[[#Totals],[列 1]]</f>
        <v>5.0847457627118647E-2</v>
      </c>
      <c r="S16" s="37">
        <f>tblExpenses[[#This Row],[2 月]]/tblExpenses[[#Totals],[2 月]]</f>
        <v>4.3902439024390241E-2</v>
      </c>
      <c r="T16" s="37">
        <f>tblExpenses[[#This Row],[3 月]]/tblExpenses[[#Totals],[3 月]]</f>
        <v>6.4257028112449793E-2</v>
      </c>
      <c r="U16" s="37">
        <f>tblExpenses[[#This Row],[4 月]]/tblExpenses[[#Totals],[4 月]]</f>
        <v>7.2796934865900387E-2</v>
      </c>
      <c r="V16" s="37">
        <f>tblExpenses[[#This Row],[5 月]]/tblExpenses[[#Totals],[5 月]]</f>
        <v>9.727626459143969E-2</v>
      </c>
      <c r="W16" s="37">
        <f>tblExpenses[[#This Row],[6 月]]/tblExpenses[[#Totals],[6 月]]</f>
        <v>6.2043795620437957E-2</v>
      </c>
      <c r="X16" s="37">
        <f>tblExpenses[[#This Row],[7 月]]/tblExpenses[[#Totals],[7 月]]</f>
        <v>7.5187969924812026E-2</v>
      </c>
      <c r="Y16" s="37">
        <f>tblExpenses[[#This Row],[8 月]]/tblExpenses[[#Totals],[8 月]]</f>
        <v>5.9574468085106386E-2</v>
      </c>
      <c r="Z16" s="37">
        <f>tblExpenses[[#This Row],[9 月]]/tblExpenses[[#Totals],[9 月]]</f>
        <v>2.1739130434782608E-2</v>
      </c>
      <c r="AA16" s="37">
        <f>tblExpenses[[#This Row],[10 月]]/tblExpenses[[#Totals],[10 月]]</f>
        <v>5.4054054054054057E-2</v>
      </c>
      <c r="AB16" s="37">
        <f>tblExpenses[[#This Row],[11 月]]/tblExpenses[[#Totals],[11 月]]</f>
        <v>1.6891891891891893E-2</v>
      </c>
      <c r="AC16" s="37">
        <f>tblExpenses[[#This Row],[12 月]]/tblExpenses[[#Totals],[12 月]]</f>
        <v>8.658008658008658E-3</v>
      </c>
      <c r="AD16" s="37">
        <f>tblExpenses[[#This Row],[年次]]/tblExpenses[[#Totals],[年次]]</f>
        <v>5.2684228076025338E-2</v>
      </c>
    </row>
    <row r="17" spans="1:30" ht="30" customHeight="1" x14ac:dyDescent="0.25">
      <c r="B17" s="14" t="s">
        <v>63</v>
      </c>
      <c r="C17" s="35" t="s">
        <v>69</v>
      </c>
      <c r="D17" s="26">
        <v>1600</v>
      </c>
      <c r="E17" s="26">
        <v>1300</v>
      </c>
      <c r="F17" s="26">
        <v>1000</v>
      </c>
      <c r="G17" s="26">
        <v>700</v>
      </c>
      <c r="H17" s="26">
        <v>1300</v>
      </c>
      <c r="I17" s="26">
        <v>300</v>
      </c>
      <c r="J17" s="26">
        <v>1300</v>
      </c>
      <c r="K17" s="26">
        <v>1700</v>
      </c>
      <c r="L17" s="26">
        <v>900</v>
      </c>
      <c r="M17" s="26">
        <v>400</v>
      </c>
      <c r="N17" s="26">
        <v>2200</v>
      </c>
      <c r="O17" s="26">
        <v>1800</v>
      </c>
      <c r="P17" s="36">
        <f>SUM(tblExpenses[[#This Row],[列 1]:[12 月]])</f>
        <v>14500</v>
      </c>
      <c r="Q17" s="27">
        <v>0.14000000000000001</v>
      </c>
      <c r="R17" s="37">
        <f>tblExpenses[[#This Row],[列 1]]/tblExpenses[[#Totals],[列 1]]</f>
        <v>6.7796610169491525E-2</v>
      </c>
      <c r="S17" s="37">
        <f>tblExpenses[[#This Row],[2 月]]/tblExpenses[[#Totals],[2 月]]</f>
        <v>6.3414634146341464E-2</v>
      </c>
      <c r="T17" s="37">
        <f>tblExpenses[[#This Row],[3 月]]/tblExpenses[[#Totals],[3 月]]</f>
        <v>4.0160642570281124E-2</v>
      </c>
      <c r="U17" s="37">
        <f>tblExpenses[[#This Row],[4 月]]/tblExpenses[[#Totals],[4 月]]</f>
        <v>2.681992337164751E-2</v>
      </c>
      <c r="V17" s="37">
        <f>tblExpenses[[#This Row],[5 月]]/tblExpenses[[#Totals],[5 月]]</f>
        <v>5.0583657587548639E-2</v>
      </c>
      <c r="W17" s="37">
        <f>tblExpenses[[#This Row],[6 月]]/tblExpenses[[#Totals],[6 月]]</f>
        <v>1.0948905109489052E-2</v>
      </c>
      <c r="X17" s="37">
        <f>tblExpenses[[#This Row],[7 月]]/tblExpenses[[#Totals],[7 月]]</f>
        <v>4.8872180451127817E-2</v>
      </c>
      <c r="Y17" s="37">
        <f>tblExpenses[[#This Row],[8 月]]/tblExpenses[[#Totals],[8 月]]</f>
        <v>7.2340425531914887E-2</v>
      </c>
      <c r="Z17" s="37">
        <f>tblExpenses[[#This Row],[9 月]]/tblExpenses[[#Totals],[9 月]]</f>
        <v>3.9130434782608699E-2</v>
      </c>
      <c r="AA17" s="37">
        <f>tblExpenses[[#This Row],[10 月]]/tblExpenses[[#Totals],[10 月]]</f>
        <v>1.5444015444015444E-2</v>
      </c>
      <c r="AB17" s="37">
        <f>tblExpenses[[#This Row],[11 月]]/tblExpenses[[#Totals],[11 月]]</f>
        <v>7.4324324324324328E-2</v>
      </c>
      <c r="AC17" s="37">
        <f>tblExpenses[[#This Row],[12 月]]/tblExpenses[[#Totals],[12 月]]</f>
        <v>7.792207792207792E-2</v>
      </c>
      <c r="AD17" s="37">
        <f>tblExpenses[[#This Row],[年次]]/tblExpenses[[#Totals],[年次]]</f>
        <v>4.8349449816605536E-2</v>
      </c>
    </row>
    <row r="18" spans="1:30" ht="30" customHeight="1" x14ac:dyDescent="0.25">
      <c r="B18" s="14" t="s">
        <v>64</v>
      </c>
      <c r="C18" s="35" t="s">
        <v>69</v>
      </c>
      <c r="D18" s="26">
        <v>300</v>
      </c>
      <c r="E18" s="26">
        <v>200</v>
      </c>
      <c r="F18" s="26">
        <v>1900</v>
      </c>
      <c r="G18" s="26">
        <v>2100</v>
      </c>
      <c r="H18" s="26">
        <v>1300</v>
      </c>
      <c r="I18" s="26">
        <v>900</v>
      </c>
      <c r="J18" s="26">
        <v>700</v>
      </c>
      <c r="K18" s="26">
        <v>1300</v>
      </c>
      <c r="L18" s="26">
        <v>300</v>
      </c>
      <c r="M18" s="26">
        <v>600</v>
      </c>
      <c r="N18" s="26">
        <v>1000</v>
      </c>
      <c r="O18" s="26">
        <v>1300</v>
      </c>
      <c r="P18" s="36">
        <f>SUM(tblExpenses[[#This Row],[列 1]:[12 月]])</f>
        <v>11900</v>
      </c>
      <c r="Q18" s="27">
        <v>0.06</v>
      </c>
      <c r="R18" s="37">
        <f>tblExpenses[[#This Row],[列 1]]/tblExpenses[[#Totals],[列 1]]</f>
        <v>1.2711864406779662E-2</v>
      </c>
      <c r="S18" s="37">
        <f>tblExpenses[[#This Row],[2 月]]/tblExpenses[[#Totals],[2 月]]</f>
        <v>9.7560975609756097E-3</v>
      </c>
      <c r="T18" s="37">
        <f>tblExpenses[[#This Row],[3 月]]/tblExpenses[[#Totals],[3 月]]</f>
        <v>7.6305220883534142E-2</v>
      </c>
      <c r="U18" s="37">
        <f>tblExpenses[[#This Row],[4 月]]/tblExpenses[[#Totals],[4 月]]</f>
        <v>8.0459770114942528E-2</v>
      </c>
      <c r="V18" s="37">
        <f>tblExpenses[[#This Row],[5 月]]/tblExpenses[[#Totals],[5 月]]</f>
        <v>5.0583657587548639E-2</v>
      </c>
      <c r="W18" s="37">
        <f>tblExpenses[[#This Row],[6 月]]/tblExpenses[[#Totals],[6 月]]</f>
        <v>3.2846715328467155E-2</v>
      </c>
      <c r="X18" s="37">
        <f>tblExpenses[[#This Row],[7 月]]/tblExpenses[[#Totals],[7 月]]</f>
        <v>2.6315789473684209E-2</v>
      </c>
      <c r="Y18" s="37">
        <f>tblExpenses[[#This Row],[8 月]]/tblExpenses[[#Totals],[8 月]]</f>
        <v>5.5319148936170209E-2</v>
      </c>
      <c r="Z18" s="37">
        <f>tblExpenses[[#This Row],[9 月]]/tblExpenses[[#Totals],[9 月]]</f>
        <v>1.3043478260869565E-2</v>
      </c>
      <c r="AA18" s="37">
        <f>tblExpenses[[#This Row],[10 月]]/tblExpenses[[#Totals],[10 月]]</f>
        <v>2.3166023166023165E-2</v>
      </c>
      <c r="AB18" s="37">
        <f>tblExpenses[[#This Row],[11 月]]/tblExpenses[[#Totals],[11 月]]</f>
        <v>3.3783783783783786E-2</v>
      </c>
      <c r="AC18" s="37">
        <f>tblExpenses[[#This Row],[12 月]]/tblExpenses[[#Totals],[12 月]]</f>
        <v>5.627705627705628E-2</v>
      </c>
      <c r="AD18" s="37">
        <f>tblExpenses[[#This Row],[年次]]/tblExpenses[[#Totals],[年次]]</f>
        <v>3.9679893297765924E-2</v>
      </c>
    </row>
    <row r="19" spans="1:30" ht="30" customHeight="1" x14ac:dyDescent="0.25">
      <c r="B19" s="14" t="s">
        <v>65</v>
      </c>
      <c r="C19" s="35" t="s">
        <v>69</v>
      </c>
      <c r="D19" s="26">
        <v>800</v>
      </c>
      <c r="E19" s="26">
        <v>700</v>
      </c>
      <c r="F19" s="26">
        <v>600</v>
      </c>
      <c r="G19" s="26">
        <v>700</v>
      </c>
      <c r="H19" s="26">
        <v>700</v>
      </c>
      <c r="I19" s="26">
        <v>600</v>
      </c>
      <c r="J19" s="26">
        <v>1500</v>
      </c>
      <c r="K19" s="26">
        <v>2300</v>
      </c>
      <c r="L19" s="26">
        <v>2100</v>
      </c>
      <c r="M19" s="26">
        <v>1600</v>
      </c>
      <c r="N19" s="26">
        <v>1900</v>
      </c>
      <c r="O19" s="26">
        <v>700</v>
      </c>
      <c r="P19" s="36">
        <f>SUM(tblExpenses[[#This Row],[列 1]:[12 月]])</f>
        <v>14200</v>
      </c>
      <c r="Q19" s="27">
        <v>0.01</v>
      </c>
      <c r="R19" s="37">
        <f>tblExpenses[[#This Row],[列 1]]/tblExpenses[[#Totals],[列 1]]</f>
        <v>3.3898305084745763E-2</v>
      </c>
      <c r="S19" s="37">
        <f>tblExpenses[[#This Row],[2 月]]/tblExpenses[[#Totals],[2 月]]</f>
        <v>3.4146341463414637E-2</v>
      </c>
      <c r="T19" s="37">
        <f>tblExpenses[[#This Row],[3 月]]/tblExpenses[[#Totals],[3 月]]</f>
        <v>2.4096385542168676E-2</v>
      </c>
      <c r="U19" s="37">
        <f>tblExpenses[[#This Row],[4 月]]/tblExpenses[[#Totals],[4 月]]</f>
        <v>2.681992337164751E-2</v>
      </c>
      <c r="V19" s="37">
        <f>tblExpenses[[#This Row],[5 月]]/tblExpenses[[#Totals],[5 月]]</f>
        <v>2.7237354085603113E-2</v>
      </c>
      <c r="W19" s="37">
        <f>tblExpenses[[#This Row],[6 月]]/tblExpenses[[#Totals],[6 月]]</f>
        <v>2.1897810218978103E-2</v>
      </c>
      <c r="X19" s="37">
        <f>tblExpenses[[#This Row],[7 月]]/tblExpenses[[#Totals],[7 月]]</f>
        <v>5.6390977443609019E-2</v>
      </c>
      <c r="Y19" s="37">
        <f>tblExpenses[[#This Row],[8 月]]/tblExpenses[[#Totals],[8 月]]</f>
        <v>9.7872340425531917E-2</v>
      </c>
      <c r="Z19" s="37">
        <f>tblExpenses[[#This Row],[9 月]]/tblExpenses[[#Totals],[9 月]]</f>
        <v>9.1304347826086957E-2</v>
      </c>
      <c r="AA19" s="37">
        <f>tblExpenses[[#This Row],[10 月]]/tblExpenses[[#Totals],[10 月]]</f>
        <v>6.1776061776061778E-2</v>
      </c>
      <c r="AB19" s="37">
        <f>tblExpenses[[#This Row],[11 月]]/tblExpenses[[#Totals],[11 月]]</f>
        <v>6.4189189189189186E-2</v>
      </c>
      <c r="AC19" s="37">
        <f>tblExpenses[[#This Row],[12 月]]/tblExpenses[[#Totals],[12 月]]</f>
        <v>3.0303030303030304E-2</v>
      </c>
      <c r="AD19" s="37">
        <f>tblExpenses[[#This Row],[年次]]/tblExpenses[[#Totals],[年次]]</f>
        <v>4.7349116372124044E-2</v>
      </c>
    </row>
    <row r="20" spans="1:30" ht="30" customHeight="1" x14ac:dyDescent="0.25">
      <c r="B20" s="14" t="s">
        <v>66</v>
      </c>
      <c r="C20" s="35" t="s">
        <v>69</v>
      </c>
      <c r="D20" s="26">
        <v>1400</v>
      </c>
      <c r="E20" s="26">
        <v>400</v>
      </c>
      <c r="F20" s="26">
        <v>2400</v>
      </c>
      <c r="G20" s="26">
        <v>600</v>
      </c>
      <c r="H20" s="26">
        <v>2000</v>
      </c>
      <c r="I20" s="26">
        <v>1400</v>
      </c>
      <c r="J20" s="26">
        <v>2100</v>
      </c>
      <c r="K20" s="26">
        <v>2000</v>
      </c>
      <c r="L20" s="26">
        <v>2200</v>
      </c>
      <c r="M20" s="26">
        <v>300</v>
      </c>
      <c r="N20" s="26">
        <v>1400</v>
      </c>
      <c r="O20" s="26">
        <v>600</v>
      </c>
      <c r="P20" s="36">
        <f>SUM(tblExpenses[[#This Row],[列 1]:[12 月]])</f>
        <v>16800</v>
      </c>
      <c r="Q20" s="27">
        <v>0.01</v>
      </c>
      <c r="R20" s="37">
        <f>tblExpenses[[#This Row],[列 1]]/tblExpenses[[#Totals],[列 1]]</f>
        <v>5.9322033898305086E-2</v>
      </c>
      <c r="S20" s="37">
        <f>tblExpenses[[#This Row],[2 月]]/tblExpenses[[#Totals],[2 月]]</f>
        <v>1.9512195121951219E-2</v>
      </c>
      <c r="T20" s="37">
        <f>tblExpenses[[#This Row],[3 月]]/tblExpenses[[#Totals],[3 月]]</f>
        <v>9.6385542168674704E-2</v>
      </c>
      <c r="U20" s="37">
        <f>tblExpenses[[#This Row],[4 月]]/tblExpenses[[#Totals],[4 月]]</f>
        <v>2.2988505747126436E-2</v>
      </c>
      <c r="V20" s="37">
        <f>tblExpenses[[#This Row],[5 月]]/tblExpenses[[#Totals],[5 月]]</f>
        <v>7.7821011673151752E-2</v>
      </c>
      <c r="W20" s="37">
        <f>tblExpenses[[#This Row],[6 月]]/tblExpenses[[#Totals],[6 月]]</f>
        <v>5.1094890510948905E-2</v>
      </c>
      <c r="X20" s="37">
        <f>tblExpenses[[#This Row],[7 月]]/tblExpenses[[#Totals],[7 月]]</f>
        <v>7.8947368421052627E-2</v>
      </c>
      <c r="Y20" s="37">
        <f>tblExpenses[[#This Row],[8 月]]/tblExpenses[[#Totals],[8 月]]</f>
        <v>8.5106382978723402E-2</v>
      </c>
      <c r="Z20" s="37">
        <f>tblExpenses[[#This Row],[9 月]]/tblExpenses[[#Totals],[9 月]]</f>
        <v>9.5652173913043481E-2</v>
      </c>
      <c r="AA20" s="37">
        <f>tblExpenses[[#This Row],[10 月]]/tblExpenses[[#Totals],[10 月]]</f>
        <v>1.1583011583011582E-2</v>
      </c>
      <c r="AB20" s="37">
        <f>tblExpenses[[#This Row],[11 月]]/tblExpenses[[#Totals],[11 月]]</f>
        <v>4.72972972972973E-2</v>
      </c>
      <c r="AC20" s="37">
        <f>tblExpenses[[#This Row],[12 月]]/tblExpenses[[#Totals],[12 月]]</f>
        <v>2.5974025974025976E-2</v>
      </c>
      <c r="AD20" s="37">
        <f>tblExpenses[[#This Row],[年次]]/tblExpenses[[#Totals],[年次]]</f>
        <v>5.6018672890963656E-2</v>
      </c>
    </row>
    <row r="21" spans="1:30" ht="30" customHeight="1" x14ac:dyDescent="0.25">
      <c r="B21" s="14" t="s">
        <v>66</v>
      </c>
      <c r="C21" s="35" t="s">
        <v>69</v>
      </c>
      <c r="D21" s="26">
        <v>1400</v>
      </c>
      <c r="E21" s="26">
        <v>700</v>
      </c>
      <c r="F21" s="26">
        <v>2400</v>
      </c>
      <c r="G21" s="26">
        <v>1000</v>
      </c>
      <c r="H21" s="26">
        <v>700</v>
      </c>
      <c r="I21" s="26">
        <v>2400</v>
      </c>
      <c r="J21" s="26">
        <v>200</v>
      </c>
      <c r="K21" s="26">
        <v>1100</v>
      </c>
      <c r="L21" s="26">
        <v>2100</v>
      </c>
      <c r="M21" s="26">
        <v>1900</v>
      </c>
      <c r="N21" s="26">
        <v>1900</v>
      </c>
      <c r="O21" s="26">
        <v>2000</v>
      </c>
      <c r="P21" s="36">
        <f>SUM(tblExpenses[[#This Row],[列 1]:[12 月]])</f>
        <v>17800</v>
      </c>
      <c r="Q21" s="27">
        <v>0.01</v>
      </c>
      <c r="R21" s="37">
        <f>tblExpenses[[#This Row],[列 1]]/tblExpenses[[#Totals],[列 1]]</f>
        <v>5.9322033898305086E-2</v>
      </c>
      <c r="S21" s="37">
        <f>tblExpenses[[#This Row],[2 月]]/tblExpenses[[#Totals],[2 月]]</f>
        <v>3.4146341463414637E-2</v>
      </c>
      <c r="T21" s="37">
        <f>tblExpenses[[#This Row],[3 月]]/tblExpenses[[#Totals],[3 月]]</f>
        <v>9.6385542168674704E-2</v>
      </c>
      <c r="U21" s="37">
        <f>tblExpenses[[#This Row],[4 月]]/tblExpenses[[#Totals],[4 月]]</f>
        <v>3.8314176245210725E-2</v>
      </c>
      <c r="V21" s="37">
        <f>tblExpenses[[#This Row],[5 月]]/tblExpenses[[#Totals],[5 月]]</f>
        <v>2.7237354085603113E-2</v>
      </c>
      <c r="W21" s="37">
        <f>tblExpenses[[#This Row],[6 月]]/tblExpenses[[#Totals],[6 月]]</f>
        <v>8.7591240875912413E-2</v>
      </c>
      <c r="X21" s="37">
        <f>tblExpenses[[#This Row],[7 月]]/tblExpenses[[#Totals],[7 月]]</f>
        <v>7.5187969924812026E-3</v>
      </c>
      <c r="Y21" s="37">
        <f>tblExpenses[[#This Row],[8 月]]/tblExpenses[[#Totals],[8 月]]</f>
        <v>4.6808510638297871E-2</v>
      </c>
      <c r="Z21" s="37">
        <f>tblExpenses[[#This Row],[9 月]]/tblExpenses[[#Totals],[9 月]]</f>
        <v>9.1304347826086957E-2</v>
      </c>
      <c r="AA21" s="37">
        <f>tblExpenses[[#This Row],[10 月]]/tblExpenses[[#Totals],[10 月]]</f>
        <v>7.3359073359073365E-2</v>
      </c>
      <c r="AB21" s="37">
        <f>tblExpenses[[#This Row],[11 月]]/tblExpenses[[#Totals],[11 月]]</f>
        <v>6.4189189189189186E-2</v>
      </c>
      <c r="AC21" s="37">
        <f>tblExpenses[[#This Row],[12 月]]/tblExpenses[[#Totals],[12 月]]</f>
        <v>8.6580086580086577E-2</v>
      </c>
      <c r="AD21" s="37">
        <f>tblExpenses[[#This Row],[年次]]/tblExpenses[[#Totals],[年次]]</f>
        <v>5.9353117705901966E-2</v>
      </c>
    </row>
    <row r="22" spans="1:30" ht="30" customHeight="1" x14ac:dyDescent="0.25">
      <c r="A22" s="1"/>
      <c r="B22" s="14" t="s">
        <v>66</v>
      </c>
      <c r="C22" s="35" t="s">
        <v>69</v>
      </c>
      <c r="D22" s="26">
        <v>1100</v>
      </c>
      <c r="E22" s="26">
        <v>800</v>
      </c>
      <c r="F22" s="26">
        <v>2500</v>
      </c>
      <c r="G22" s="26">
        <v>1100</v>
      </c>
      <c r="H22" s="26">
        <v>900</v>
      </c>
      <c r="I22" s="26">
        <v>2400</v>
      </c>
      <c r="J22" s="26">
        <v>1300</v>
      </c>
      <c r="K22" s="26">
        <v>1400</v>
      </c>
      <c r="L22" s="26">
        <v>1900</v>
      </c>
      <c r="M22" s="26">
        <v>2400</v>
      </c>
      <c r="N22" s="26">
        <v>1500</v>
      </c>
      <c r="O22" s="26">
        <v>700</v>
      </c>
      <c r="P22" s="36">
        <f>SUM(tblExpenses[[#This Row],[列 1]:[12 月]])</f>
        <v>18000</v>
      </c>
      <c r="Q22" s="27">
        <v>0.01</v>
      </c>
      <c r="R22" s="37">
        <f>tblExpenses[[#This Row],[列 1]]/tblExpenses[[#Totals],[列 1]]</f>
        <v>4.6610169491525424E-2</v>
      </c>
      <c r="S22" s="37">
        <f>tblExpenses[[#This Row],[2 月]]/tblExpenses[[#Totals],[2 月]]</f>
        <v>3.9024390243902439E-2</v>
      </c>
      <c r="T22" s="37">
        <f>tblExpenses[[#This Row],[3 月]]/tblExpenses[[#Totals],[3 月]]</f>
        <v>0.10040160642570281</v>
      </c>
      <c r="U22" s="37">
        <f>tblExpenses[[#This Row],[4 月]]/tblExpenses[[#Totals],[4 月]]</f>
        <v>4.2145593869731802E-2</v>
      </c>
      <c r="V22" s="37">
        <f>tblExpenses[[#This Row],[5 月]]/tblExpenses[[#Totals],[5 月]]</f>
        <v>3.5019455252918288E-2</v>
      </c>
      <c r="W22" s="37">
        <f>tblExpenses[[#This Row],[6 月]]/tblExpenses[[#Totals],[6 月]]</f>
        <v>8.7591240875912413E-2</v>
      </c>
      <c r="X22" s="37">
        <f>tblExpenses[[#This Row],[7 月]]/tblExpenses[[#Totals],[7 月]]</f>
        <v>4.8872180451127817E-2</v>
      </c>
      <c r="Y22" s="37">
        <f>tblExpenses[[#This Row],[8 月]]/tblExpenses[[#Totals],[8 月]]</f>
        <v>5.9574468085106386E-2</v>
      </c>
      <c r="Z22" s="37">
        <f>tblExpenses[[#This Row],[9 月]]/tblExpenses[[#Totals],[9 月]]</f>
        <v>8.2608695652173908E-2</v>
      </c>
      <c r="AA22" s="37">
        <f>tblExpenses[[#This Row],[10 月]]/tblExpenses[[#Totals],[10 月]]</f>
        <v>9.2664092664092659E-2</v>
      </c>
      <c r="AB22" s="37">
        <f>tblExpenses[[#This Row],[11 月]]/tblExpenses[[#Totals],[11 月]]</f>
        <v>5.0675675675675678E-2</v>
      </c>
      <c r="AC22" s="37">
        <f>tblExpenses[[#This Row],[12 月]]/tblExpenses[[#Totals],[12 月]]</f>
        <v>3.0303030303030304E-2</v>
      </c>
      <c r="AD22" s="37">
        <f>tblExpenses[[#This Row],[年次]]/tblExpenses[[#Totals],[年次]]</f>
        <v>6.0020006668889632E-2</v>
      </c>
    </row>
    <row r="23" spans="1:30" ht="30" customHeight="1" x14ac:dyDescent="0.25">
      <c r="A23" s="3"/>
      <c r="B23" s="14" t="s">
        <v>67</v>
      </c>
      <c r="C23" s="35" t="s">
        <v>69</v>
      </c>
      <c r="D23" s="26">
        <v>800</v>
      </c>
      <c r="E23" s="26">
        <v>2000</v>
      </c>
      <c r="F23" s="26">
        <v>1100</v>
      </c>
      <c r="G23" s="26">
        <v>1100</v>
      </c>
      <c r="H23" s="26">
        <v>1100</v>
      </c>
      <c r="I23" s="26">
        <v>2000</v>
      </c>
      <c r="J23" s="26">
        <v>1200</v>
      </c>
      <c r="K23" s="26">
        <v>1600</v>
      </c>
      <c r="L23" s="26">
        <v>500</v>
      </c>
      <c r="M23" s="26">
        <v>700</v>
      </c>
      <c r="N23" s="26">
        <v>2100</v>
      </c>
      <c r="O23" s="26">
        <v>300</v>
      </c>
      <c r="P23" s="36">
        <f>SUM(tblExpenses[[#This Row],[列 1]:[12 月]])</f>
        <v>14500</v>
      </c>
      <c r="Q23" s="27">
        <v>0.02</v>
      </c>
      <c r="R23" s="37">
        <f>tblExpenses[[#This Row],[列 1]]/tblExpenses[[#Totals],[列 1]]</f>
        <v>3.3898305084745763E-2</v>
      </c>
      <c r="S23" s="37">
        <f>tblExpenses[[#This Row],[2 月]]/tblExpenses[[#Totals],[2 月]]</f>
        <v>9.7560975609756101E-2</v>
      </c>
      <c r="T23" s="37">
        <f>tblExpenses[[#This Row],[3 月]]/tblExpenses[[#Totals],[3 月]]</f>
        <v>4.4176706827309238E-2</v>
      </c>
      <c r="U23" s="37">
        <f>tblExpenses[[#This Row],[4 月]]/tblExpenses[[#Totals],[4 月]]</f>
        <v>4.2145593869731802E-2</v>
      </c>
      <c r="V23" s="37">
        <f>tblExpenses[[#This Row],[5 月]]/tblExpenses[[#Totals],[5 月]]</f>
        <v>4.2801556420233464E-2</v>
      </c>
      <c r="W23" s="37">
        <f>tblExpenses[[#This Row],[6 月]]/tblExpenses[[#Totals],[6 月]]</f>
        <v>7.2992700729927001E-2</v>
      </c>
      <c r="X23" s="37">
        <f>tblExpenses[[#This Row],[7 月]]/tblExpenses[[#Totals],[7 月]]</f>
        <v>4.5112781954887216E-2</v>
      </c>
      <c r="Y23" s="37">
        <f>tblExpenses[[#This Row],[8 月]]/tblExpenses[[#Totals],[8 月]]</f>
        <v>6.8085106382978725E-2</v>
      </c>
      <c r="Z23" s="37">
        <f>tblExpenses[[#This Row],[9 月]]/tblExpenses[[#Totals],[9 月]]</f>
        <v>2.1739130434782608E-2</v>
      </c>
      <c r="AA23" s="37">
        <f>tblExpenses[[#This Row],[10 月]]/tblExpenses[[#Totals],[10 月]]</f>
        <v>2.7027027027027029E-2</v>
      </c>
      <c r="AB23" s="37">
        <f>tblExpenses[[#This Row],[11 月]]/tblExpenses[[#Totals],[11 月]]</f>
        <v>7.0945945945945943E-2</v>
      </c>
      <c r="AC23" s="37">
        <f>tblExpenses[[#This Row],[12 月]]/tblExpenses[[#Totals],[12 月]]</f>
        <v>1.2987012987012988E-2</v>
      </c>
      <c r="AD23" s="37">
        <f>tblExpenses[[#This Row],[年次]]/tblExpenses[[#Totals],[年次]]</f>
        <v>4.8349449816605536E-2</v>
      </c>
    </row>
    <row r="24" spans="1:30" s="10" customFormat="1" ht="30" customHeight="1" x14ac:dyDescent="0.25">
      <c r="B24" s="7" t="s">
        <v>73</v>
      </c>
      <c r="C24" s="8" t="s">
        <v>69</v>
      </c>
      <c r="D24" s="45">
        <f>SUBTOTAL(109,tblExpenses[列 1])</f>
        <v>23600</v>
      </c>
      <c r="E24" s="45">
        <f>SUBTOTAL(109,tblExpenses[2 月])</f>
        <v>20500</v>
      </c>
      <c r="F24" s="45">
        <f>SUBTOTAL(109,tblExpenses[3 月])</f>
        <v>24900</v>
      </c>
      <c r="G24" s="45">
        <f>SUBTOTAL(109,tblExpenses[4 月])</f>
        <v>26100</v>
      </c>
      <c r="H24" s="45">
        <f>SUBTOTAL(109,tblExpenses[5 月])</f>
        <v>25700</v>
      </c>
      <c r="I24" s="45">
        <f>SUBTOTAL(109,tblExpenses[6 月])</f>
        <v>27400</v>
      </c>
      <c r="J24" s="45">
        <f>SUBTOTAL(109,tblExpenses[7 月])</f>
        <v>26600</v>
      </c>
      <c r="K24" s="45">
        <f>SUBTOTAL(109,tblExpenses[8 月])</f>
        <v>23500</v>
      </c>
      <c r="L24" s="45">
        <f>SUBTOTAL(109,tblExpenses[9 月])</f>
        <v>23000</v>
      </c>
      <c r="M24" s="45">
        <f>SUBTOTAL(109,tblExpenses[10 月])</f>
        <v>25900</v>
      </c>
      <c r="N24" s="45">
        <f>SUBTOTAL(109,tblExpenses[11 月])</f>
        <v>29600</v>
      </c>
      <c r="O24" s="45">
        <f>SUBTOTAL(109,tblExpenses[12 月])</f>
        <v>23100</v>
      </c>
      <c r="P24" s="45">
        <f>SUBTOTAL(109,tblExpenses[年次])</f>
        <v>299900</v>
      </c>
      <c r="Q24" s="29">
        <f>SUBTOTAL(109,tblExpenses[インデックス %])</f>
        <v>1</v>
      </c>
      <c r="R24" s="29">
        <f>SUBTOTAL(109,tblExpenses[1 月 %])</f>
        <v>1</v>
      </c>
      <c r="S24" s="29">
        <f>SUBTOTAL(109,tblExpenses[2 月 %])</f>
        <v>1.0000000000000002</v>
      </c>
      <c r="T24" s="29">
        <f>SUBTOTAL(109,tblExpenses[3 月 %])</f>
        <v>1.0000000000000002</v>
      </c>
      <c r="U24" s="29">
        <f>SUBTOTAL(109,tblExpenses[4 月 %])</f>
        <v>1</v>
      </c>
      <c r="V24" s="29">
        <f>SUBTOTAL(109,tblExpenses[5 月 %])</f>
        <v>1.0000000000000002</v>
      </c>
      <c r="W24" s="29">
        <f>SUBTOTAL(109,tblExpenses[6 月 %])</f>
        <v>1</v>
      </c>
      <c r="X24" s="29">
        <f>SUBTOTAL(109,tblExpenses[7 月 %])</f>
        <v>1</v>
      </c>
      <c r="Y24" s="29">
        <f>SUBTOTAL(109,tblExpenses[8 月 %])</f>
        <v>0.99999999999999989</v>
      </c>
      <c r="Z24" s="29">
        <f>SUBTOTAL(109,tblExpenses[9 月 %])</f>
        <v>1</v>
      </c>
      <c r="AA24" s="29">
        <f>SUBTOTAL(109,tblExpenses[10 月 %])</f>
        <v>1</v>
      </c>
      <c r="AB24" s="29">
        <f>SUBTOTAL(109,tblExpenses[11 月 %])</f>
        <v>0.99999999999999989</v>
      </c>
      <c r="AC24" s="29">
        <f>SUBTOTAL(109,tblExpenses[12 月 %])</f>
        <v>1</v>
      </c>
      <c r="AD24" s="29">
        <f>SUBTOTAL(109,tblExpenses[年 %])</f>
        <v>0.99999999999999989</v>
      </c>
    </row>
    <row r="25" spans="1:30" ht="30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25">
      <c r="B26" s="11" t="s">
        <v>68</v>
      </c>
      <c r="C26" s="11"/>
      <c r="D26" s="12">
        <f>売上原価!$D$14-tblExpenses[[#Totals],[列 1]]</f>
        <v>12300</v>
      </c>
      <c r="E26" s="12">
        <f>売上原価!E14-tblExpenses[[#Totals],[2 月]]</f>
        <v>17500</v>
      </c>
      <c r="F26" s="12">
        <f>売上原価!F14-tblExpenses[[#Totals],[3 月]]</f>
        <v>25600</v>
      </c>
      <c r="G26" s="12">
        <f>売上原価!G14-tblExpenses[[#Totals],[4 月]]</f>
        <v>10900</v>
      </c>
      <c r="H26" s="12">
        <f>売上原価!H14-tblExpenses[[#Totals],[5 月]]</f>
        <v>15600</v>
      </c>
      <c r="I26" s="12">
        <f>売上原価!I14-tblExpenses[[#Totals],[6 月]]</f>
        <v>-800</v>
      </c>
      <c r="J26" s="12">
        <f>売上原価!J14-tblExpenses[[#Totals],[7 月]]</f>
        <v>3200</v>
      </c>
      <c r="K26" s="12">
        <f>売上原価!K14-tblExpenses[[#Totals],[8 月]]</f>
        <v>21400</v>
      </c>
      <c r="L26" s="12">
        <f>売上原価!L14-tblExpenses[[#Totals],[9 月]]</f>
        <v>10000</v>
      </c>
      <c r="M26" s="12">
        <f>売上原価!M14-tblExpenses[[#Totals],[10 月]]</f>
        <v>14800</v>
      </c>
      <c r="N26" s="12">
        <f>売上原価!N14-tblExpenses[[#Totals],[11 月]]</f>
        <v>17900</v>
      </c>
      <c r="O26" s="12">
        <f>売上原価!O14-tblExpenses[[#Totals],[12 月]]</f>
        <v>35900</v>
      </c>
      <c r="P26" s="12">
        <f>売上原価!P14-tblExpenses[[#Totals],[年次]]</f>
        <v>184300</v>
      </c>
      <c r="Q26" s="11"/>
      <c r="R26" s="13">
        <f>D26/$P$26</f>
        <v>6.6739012479652735E-2</v>
      </c>
      <c r="S26" s="13">
        <f t="shared" ref="S26:AD26" si="1">E26/$P$26</f>
        <v>9.4953879544221381E-2</v>
      </c>
      <c r="T26" s="13">
        <f t="shared" si="1"/>
        <v>0.13890396093326099</v>
      </c>
      <c r="U26" s="13">
        <f t="shared" si="1"/>
        <v>5.9142702116115033E-2</v>
      </c>
      <c r="V26" s="13">
        <f t="shared" si="1"/>
        <v>8.4644601193705912E-2</v>
      </c>
      <c r="W26" s="13">
        <f t="shared" si="1"/>
        <v>-4.3407487791644059E-3</v>
      </c>
      <c r="X26" s="13">
        <f t="shared" si="1"/>
        <v>1.7362995116657624E-2</v>
      </c>
      <c r="Y26" s="13">
        <f t="shared" si="1"/>
        <v>0.11611502984264786</v>
      </c>
      <c r="Z26" s="13">
        <f t="shared" si="1"/>
        <v>5.425935973955507E-2</v>
      </c>
      <c r="AA26" s="13">
        <f t="shared" si="1"/>
        <v>8.0303852414541507E-2</v>
      </c>
      <c r="AB26" s="13">
        <f t="shared" si="1"/>
        <v>9.7124253933803584E-2</v>
      </c>
      <c r="AC26" s="13">
        <f t="shared" si="1"/>
        <v>0.19479110146500273</v>
      </c>
      <c r="AD26" s="13">
        <f t="shared" si="1"/>
        <v>1</v>
      </c>
    </row>
    <row r="30" spans="1:30" ht="30" customHeight="1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30" ht="30" customHeight="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30" ht="30" customHeight="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3:20" ht="30" customHeight="1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3:20" ht="30" customHeight="1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</sheetData>
  <phoneticPr fontId="4"/>
  <dataValidations count="18">
    <dataValidation allowBlank="1" showInputMessage="1" showErrorMessage="1" prompt="会社名は、収益 (売上) シートのエントリを使用して自動更新されます" sqref="AD1"/>
    <dataValidation allowBlank="1" showInputMessage="1" showErrorMessage="1" prompt="タイトルは収益 (売上) ワークシートから自動更新されます。下記の経費表に値を入れ、経費合計を計算します" sqref="B2"/>
    <dataValidation allowBlank="1" showInputMessage="1" showErrorMessage="1" prompt="この列にはインデックスの割合を入力します" sqref="Q4"/>
    <dataValidation allowBlank="1" showInputMessage="1" showErrorMessage="1" prompt="正味利は、粗利益と経費合計に基づき毎月および毎年自動計算されます" sqref="B26"/>
    <dataValidation allowBlank="1" showInputMessage="1" showErrorMessage="1" prompt="この列には、列 B に記載されているソースの経費を入力します" sqref="D4:O4"/>
    <dataValidation allowBlank="1" showInputMessage="1" showErrorMessage="1" prompt="この列には経費の経時のトレンド グラフがあります" sqref="C4"/>
    <dataValidation allowBlank="1" showInputMessage="1" showErrorMessage="1" prompt="この列には経費を入力します" sqref="B4"/>
    <dataValidation allowBlank="1" showInputMessage="1" showErrorMessage="1" prompt="さまざまなソースの経費の割合が、この列のこの年の経費合計に対して、自動計算されます" sqref="AD3"/>
    <dataValidation allowBlank="1" showInputMessage="1" showErrorMessage="1" prompt="さまざまなソースの経費の割合が、この列の経費合計に対してこのセルの月用に、自動計算されます" sqref="R3:AC3"/>
    <dataValidation allowBlank="1" showInputMessage="1" showErrorMessage="1" prompt="自動的に更新される月" sqref="E3:O3"/>
    <dataValidation allowBlank="1" showInputMessage="1" showErrorMessage="1" prompt="この行の日付は、会計年度の開始月に基づいて自動更新されます。開始月を変更するには、セル AC2 を変更します" sqref="D3"/>
    <dataValidation allowBlank="1" showInputMessage="1" showErrorMessage="1" prompt="年間経費は、この列で自動的に計算されます" sqref="P3"/>
    <dataValidation allowBlank="1" showInputMessage="1" showErrorMessage="1" prompt="この列にはインデックスの割合があります" sqref="Q3"/>
    <dataValidation allowBlank="1" showInputMessage="1" showErrorMessage="1" prompt="このセルは、収益 (売上) ワークシートの推計期間タイトルから自動更新されます" sqref="B1"/>
    <dataValidation allowBlank="1" showInputMessage="1" showErrorMessage="1" prompt="月と年は右側のセルで自動更新されます。月または年を変更するには、AC2 と AD2 のセルを収益 (売上) ワークシートで変更します" sqref="AB2"/>
    <dataValidation allowBlank="1" showInputMessage="1" showErrorMessage="1" prompt="自動的に更新される月。変更するには、収益 (売上) シートのセル AC2 を変更します" sqref="AC2"/>
    <dataValidation allowBlank="1" showInputMessage="1" showErrorMessage="1" prompt="自動的に更新される年。変更するには、収益 (売上) シートのセル AD2 を変更します" sqref="AD2"/>
    <dataValidation allowBlank="1" showInputMessage="1" showErrorMessage="1" prompt="このワークシートでは、各月、年の経費合計、および各項目の年間経費合計を計算します。正味利は、粗利益と経費合計に基づき自動計算されます " sqref="A1:A1048576"/>
  </dataValidations>
  <printOptions horizontalCentered="1"/>
  <pageMargins left="0.25" right="0.25" top="0.75" bottom="0.75" header="0.3" footer="0.3"/>
  <pageSetup paperSize="9" scale="39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経費!D24:O24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経費!D5:O5</xm:f>
              <xm:sqref>C5</xm:sqref>
            </x14:sparkline>
            <x14:sparkline>
              <xm:f>経費!D6:O6</xm:f>
              <xm:sqref>C6</xm:sqref>
            </x14:sparkline>
            <x14:sparkline>
              <xm:f>経費!D7:O7</xm:f>
              <xm:sqref>C7</xm:sqref>
            </x14:sparkline>
            <x14:sparkline>
              <xm:f>経費!D8:O8</xm:f>
              <xm:sqref>C8</xm:sqref>
            </x14:sparkline>
            <x14:sparkline>
              <xm:f>経費!D9:O9</xm:f>
              <xm:sqref>C9</xm:sqref>
            </x14:sparkline>
            <x14:sparkline>
              <xm:f>経費!D10:O10</xm:f>
              <xm:sqref>C10</xm:sqref>
            </x14:sparkline>
            <x14:sparkline>
              <xm:f>経費!D11:O11</xm:f>
              <xm:sqref>C11</xm:sqref>
            </x14:sparkline>
            <x14:sparkline>
              <xm:f>経費!D12:O12</xm:f>
              <xm:sqref>C12</xm:sqref>
            </x14:sparkline>
            <x14:sparkline>
              <xm:f>経費!D13:O13</xm:f>
              <xm:sqref>C13</xm:sqref>
            </x14:sparkline>
            <x14:sparkline>
              <xm:f>経費!D14:O14</xm:f>
              <xm:sqref>C14</xm:sqref>
            </x14:sparkline>
            <x14:sparkline>
              <xm:f>経費!D15:O15</xm:f>
              <xm:sqref>C15</xm:sqref>
            </x14:sparkline>
            <x14:sparkline>
              <xm:f>経費!D16:O16</xm:f>
              <xm:sqref>C16</xm:sqref>
            </x14:sparkline>
            <x14:sparkline>
              <xm:f>経費!D17:O17</xm:f>
              <xm:sqref>C17</xm:sqref>
            </x14:sparkline>
            <x14:sparkline>
              <xm:f>経費!D18:O18</xm:f>
              <xm:sqref>C18</xm:sqref>
            </x14:sparkline>
            <x14:sparkline>
              <xm:f>経費!D19:O19</xm:f>
              <xm:sqref>C19</xm:sqref>
            </x14:sparkline>
            <x14:sparkline>
              <xm:f>経費!D20:O20</xm:f>
              <xm:sqref>C20</xm:sqref>
            </x14:sparkline>
            <x14:sparkline>
              <xm:f>経費!D21:O21</xm:f>
              <xm:sqref>C21</xm:sqref>
            </x14:sparkline>
            <x14:sparkline>
              <xm:f>経費!D22:O22</xm:f>
              <xm:sqref>C22</xm:sqref>
            </x14:sparkline>
            <x14:sparkline>
              <xm:f>経費!D23:O23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収益 (売上)</vt:lpstr>
      <vt:lpstr>売上原価</vt:lpstr>
      <vt:lpstr>経費</vt:lpstr>
      <vt:lpstr>FYMonthStart</vt:lpstr>
      <vt:lpstr>FYStartYear</vt:lpstr>
      <vt:lpstr>経費!Print_Titles</vt:lpstr>
      <vt:lpstr>'収益 (売上)'!Print_Titles</vt:lpstr>
      <vt:lpstr>売上原価!Print_Titles</vt:lpstr>
      <vt:lpstr>Projection_Period_Title</vt:lpstr>
      <vt:lpstr>Title1</vt:lpstr>
      <vt:lpstr>Title2</vt:lpstr>
      <vt:lpstr>Title3</vt:lpstr>
      <vt:lpstr>Wksht_Title</vt:lpstr>
      <vt:lpstr>会社名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2017-09-11T02:21:09Z</dcterms:modified>
</cp:coreProperties>
</file>