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4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DB418FAC-F61B-48CD-87C5-668B9AF7FA28}" xr6:coauthVersionLast="44" xr6:coauthVersionMax="44" xr10:uidLastSave="{00000000-0000-0000-0000-000000000000}"/>
  <bookViews>
    <workbookView xWindow="-120" yWindow="-120" windowWidth="28860" windowHeight="14385" tabRatio="686" xr2:uid="{00000000-000D-0000-FFFF-FFFF00000000}"/>
  </bookViews>
  <sheets>
    <sheet name="มกราคม" sheetId="4" r:id="rId1"/>
    <sheet name="กุมภาพันธ์" sheetId="5" r:id="rId2"/>
    <sheet name="มีนาคม" sheetId="17" r:id="rId3"/>
    <sheet name="เมษายน" sheetId="18" r:id="rId4"/>
    <sheet name="พฤษภาคม" sheetId="19" r:id="rId5"/>
    <sheet name="มิถุนายน" sheetId="20" r:id="rId6"/>
    <sheet name="กรกฎาคม" sheetId="21" r:id="rId7"/>
    <sheet name="สิงหาคม" sheetId="22" r:id="rId8"/>
    <sheet name="กันยายน" sheetId="23" r:id="rId9"/>
    <sheet name="ตุลาคม" sheetId="24" r:id="rId10"/>
    <sheet name="พฤศจิกายน" sheetId="25" r:id="rId11"/>
    <sheet name="ธันวาคม" sheetId="15" r:id="rId12"/>
    <sheet name="ชื่อพนักงาน" sheetId="16" r:id="rId13"/>
  </sheets>
  <definedNames>
    <definedName name="Employee_Absence_Title">มกราคม!$B$1</definedName>
    <definedName name="Key_name">มกราคม!$B$2</definedName>
    <definedName name="KeyCustom1">มกราคม!$L$2</definedName>
    <definedName name="KeyCustom1Label">มกราคม!$M$2</definedName>
    <definedName name="KeyCustom2">มกราคม!$P$2</definedName>
    <definedName name="KeyCustom2Label">มกราคม!$Q$2</definedName>
    <definedName name="KeyPersonal">มกราคม!$G$2</definedName>
    <definedName name="KeyPersonalLabel">มกราคม!$H$2</definedName>
    <definedName name="KeySick">มกราคม!$J$2</definedName>
    <definedName name="KeySickLabel">มกราคม!$K$2</definedName>
    <definedName name="KeyVacation">มกราคม!$C$2</definedName>
    <definedName name="KeyVacationLabel">มกราคม!$D$2</definedName>
    <definedName name="MonthName" localSheetId="6">กรกฎาคม!$B$4</definedName>
    <definedName name="MonthName" localSheetId="8">กันยายน!$B$4</definedName>
    <definedName name="MonthName" localSheetId="1">กุมภาพันธ์!$B$4</definedName>
    <definedName name="MonthName" localSheetId="9">ตุลาคม!$B$4</definedName>
    <definedName name="MonthName" localSheetId="11">ธันวาคม!$B$4</definedName>
    <definedName name="MonthName" localSheetId="10">พฤศจิกายน!$B$4</definedName>
    <definedName name="MonthName" localSheetId="4">พฤษภาคม!$B$4</definedName>
    <definedName name="MonthName" localSheetId="0">มกราคม!$B$4</definedName>
    <definedName name="MonthName" localSheetId="5">มิถุนายน!$B$4</definedName>
    <definedName name="MonthName" localSheetId="2">มีนาคม!$B$4</definedName>
    <definedName name="MonthName" localSheetId="3">เมษายน!$B$4</definedName>
    <definedName name="MonthName" localSheetId="7">สิงหาคม!$B$4</definedName>
    <definedName name="_xlnm.Print_Titles" localSheetId="6">กรกฎาคม!$4:$6</definedName>
    <definedName name="_xlnm.Print_Titles" localSheetId="8">กันยายน!$4:$6</definedName>
    <definedName name="_xlnm.Print_Titles" localSheetId="1">กุมภาพันธ์!$4:$6</definedName>
    <definedName name="_xlnm.Print_Titles" localSheetId="9">ตุลาคม!$4:$6</definedName>
    <definedName name="_xlnm.Print_Titles" localSheetId="11">ธันวาคม!$4:$6</definedName>
    <definedName name="_xlnm.Print_Titles" localSheetId="10">พฤศจิกายน!$4:$6</definedName>
    <definedName name="_xlnm.Print_Titles" localSheetId="4">พฤษภาคม!$4:$6</definedName>
    <definedName name="_xlnm.Print_Titles" localSheetId="0">มกราคม!$4:$6</definedName>
    <definedName name="_xlnm.Print_Titles" localSheetId="5">มิถุนายน!$4:$6</definedName>
    <definedName name="_xlnm.Print_Titles" localSheetId="2">มีนาคม!$4:$6</definedName>
    <definedName name="_xlnm.Print_Titles" localSheetId="3">เมษายน!$4:$6</definedName>
    <definedName name="_xlnm.Print_Titles" localSheetId="7">สิงหาคม!$4:$6</definedName>
    <definedName name="ชื่อคอลัมน์13">EmployeeName[[#Headers],[ชื่อพนักงาน]]</definedName>
    <definedName name="ชื่อเรื่อง1">มกราคม[[#Headers],[ชื่อพนักงาน]]</definedName>
    <definedName name="ชื่อเรื่อง10">ตุลาคม[[#Headers],[ชื่อพนักงาน]]</definedName>
    <definedName name="ชื่อเรื่อง11">พฤศจิกายน[[#Headers],[ชื่อพนักงาน]]</definedName>
    <definedName name="ชื่อเรื่อง12">ธันวาคม[[#Headers],[ชื่อพนักงาน]]</definedName>
    <definedName name="ชื่อเรื่อง2">กุมภาพันธ์[[#Headers],[ชื่อพนักงาน]]</definedName>
    <definedName name="ชื่อเรื่อง3">มีนาคม[[#Headers],[ชื่อพนักงาน]]</definedName>
    <definedName name="ชื่อเรื่อง4">เมษายน[[#Headers],[ชื่อพนักงาน]]</definedName>
    <definedName name="ชื่อเรื่อง5">พฤษภาคม[[#Headers],[ชื่อพนักงาน]]</definedName>
    <definedName name="ชื่อเรื่อง6">มิถุนายน[[#Headers],[ชื่อพนักงาน]]</definedName>
    <definedName name="ชื่อเรื่อง7">กรกฎาคม[[#Headers],[ชื่อพนักงาน]]</definedName>
    <definedName name="ชื่อเรื่อง8">สิงหาคม[[#Headers],[ชื่อพนักงาน]]</definedName>
    <definedName name="ชื่อเรื่อง9">กันยายน[[#Headers],[ชื่อพนักงาน]]</definedName>
    <definedName name="ปีปฏิทิน">มกราคม!$AH$4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5" l="1"/>
  <c r="B12" i="25"/>
  <c r="B12" i="24"/>
  <c r="B12" i="23"/>
  <c r="B12" i="22"/>
  <c r="B12" i="21"/>
  <c r="B12" i="20"/>
  <c r="B12" i="19"/>
  <c r="B12" i="18"/>
  <c r="B12" i="17"/>
  <c r="B12" i="5"/>
  <c r="B12" i="4"/>
  <c r="AH7" i="25" l="1"/>
  <c r="AH8" i="25"/>
  <c r="AH9" i="25"/>
  <c r="AH10" i="25"/>
  <c r="AH11" i="25"/>
  <c r="AH7" i="23"/>
  <c r="AH8" i="23"/>
  <c r="AH9" i="23"/>
  <c r="AH10" i="23"/>
  <c r="AH11" i="23"/>
  <c r="AH7" i="20"/>
  <c r="AH8" i="20"/>
  <c r="AH9" i="20"/>
  <c r="AH10" i="20"/>
  <c r="AH11" i="20"/>
  <c r="AH7" i="18"/>
  <c r="AH8" i="18"/>
  <c r="AH9" i="18"/>
  <c r="AH10" i="18"/>
  <c r="AH11" i="18"/>
  <c r="AD12" i="15"/>
  <c r="AE12" i="15"/>
  <c r="AF12" i="15"/>
  <c r="AG12" i="15"/>
  <c r="AE12" i="25"/>
  <c r="AF12" i="25"/>
  <c r="AG12" i="25"/>
  <c r="AE12" i="24"/>
  <c r="AF12" i="24"/>
  <c r="AG12" i="24"/>
  <c r="AE12" i="23"/>
  <c r="AF12" i="23"/>
  <c r="AG12" i="23"/>
  <c r="AF12" i="22"/>
  <c r="AG12" i="22"/>
  <c r="AF12" i="21"/>
  <c r="AG12" i="21"/>
  <c r="AF12" i="20"/>
  <c r="AG12" i="20"/>
  <c r="AF12" i="19"/>
  <c r="AG12" i="19"/>
  <c r="AG12" i="18"/>
  <c r="AF12" i="18"/>
  <c r="AF12" i="17"/>
  <c r="AG12" i="17"/>
  <c r="AH9" i="4" l="1"/>
  <c r="AH10" i="4"/>
  <c r="AF5" i="25" l="1"/>
  <c r="AE5" i="25"/>
  <c r="AD5" i="25"/>
  <c r="AC5" i="25"/>
  <c r="AB5" i="25"/>
  <c r="AA5" i="25"/>
  <c r="Z5" i="25"/>
  <c r="Y5" i="25"/>
  <c r="X5" i="25"/>
  <c r="W5" i="25"/>
  <c r="V5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AD12" i="25"/>
  <c r="AC12" i="25"/>
  <c r="AB12" i="25"/>
  <c r="AA12" i="25"/>
  <c r="Z12" i="25"/>
  <c r="Y12" i="25"/>
  <c r="X12" i="25"/>
  <c r="W12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AH4" i="25"/>
  <c r="B1" i="25"/>
  <c r="AG5" i="24"/>
  <c r="AF5" i="24"/>
  <c r="AE5" i="24"/>
  <c r="AD5" i="24"/>
  <c r="AC5" i="24"/>
  <c r="AB5" i="24"/>
  <c r="AA5" i="24"/>
  <c r="Z5" i="24"/>
  <c r="Y5" i="24"/>
  <c r="X5" i="24"/>
  <c r="W5" i="24"/>
  <c r="V5" i="24"/>
  <c r="U5" i="24"/>
  <c r="T5" i="24"/>
  <c r="S5" i="24"/>
  <c r="R5" i="24"/>
  <c r="Q5" i="24"/>
  <c r="P5" i="24"/>
  <c r="O5" i="24"/>
  <c r="N5" i="24"/>
  <c r="M5" i="24"/>
  <c r="L5" i="24"/>
  <c r="K5" i="24"/>
  <c r="J5" i="24"/>
  <c r="I5" i="24"/>
  <c r="H5" i="24"/>
  <c r="G5" i="24"/>
  <c r="F5" i="24"/>
  <c r="E5" i="24"/>
  <c r="D5" i="24"/>
  <c r="C5" i="24"/>
  <c r="AD12" i="24"/>
  <c r="AC12" i="24"/>
  <c r="AB12" i="24"/>
  <c r="AA12" i="24"/>
  <c r="Z12" i="24"/>
  <c r="Y12" i="24"/>
  <c r="X12" i="24"/>
  <c r="W12" i="24"/>
  <c r="V12" i="24"/>
  <c r="U12" i="24"/>
  <c r="T12" i="24"/>
  <c r="S12" i="24"/>
  <c r="R12" i="24"/>
  <c r="Q12" i="24"/>
  <c r="P12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AH11" i="24"/>
  <c r="AH10" i="24"/>
  <c r="AH9" i="24"/>
  <c r="AH8" i="24"/>
  <c r="AH7" i="24"/>
  <c r="AH4" i="24"/>
  <c r="B1" i="24"/>
  <c r="AF5" i="23"/>
  <c r="AE5" i="23"/>
  <c r="AD5" i="23"/>
  <c r="AC5" i="23"/>
  <c r="AB5" i="23"/>
  <c r="AA5" i="23"/>
  <c r="Z5" i="23"/>
  <c r="Y5" i="23"/>
  <c r="X5" i="23"/>
  <c r="W5" i="23"/>
  <c r="V5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AH12" i="23"/>
  <c r="AH4" i="23"/>
  <c r="B1" i="23"/>
  <c r="AG5" i="22"/>
  <c r="AF5" i="22"/>
  <c r="AE5" i="22"/>
  <c r="AD5" i="22"/>
  <c r="AC5" i="22"/>
  <c r="AB5" i="22"/>
  <c r="AA5" i="22"/>
  <c r="Z5" i="22"/>
  <c r="Y5" i="22"/>
  <c r="X5" i="22"/>
  <c r="W5" i="22"/>
  <c r="V5" i="22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5" i="22"/>
  <c r="D5" i="22"/>
  <c r="C5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AH11" i="22"/>
  <c r="AH10" i="22"/>
  <c r="AH9" i="22"/>
  <c r="AH8" i="22"/>
  <c r="AH7" i="22"/>
  <c r="AH4" i="22"/>
  <c r="B1" i="22"/>
  <c r="AG5" i="21"/>
  <c r="AF5" i="21"/>
  <c r="AE5" i="21"/>
  <c r="AD5" i="21"/>
  <c r="AC5" i="21"/>
  <c r="AB5" i="21"/>
  <c r="AA5" i="21"/>
  <c r="Z5" i="21"/>
  <c r="Y5" i="21"/>
  <c r="X5" i="21"/>
  <c r="W5" i="21"/>
  <c r="V5" i="21"/>
  <c r="U5" i="21"/>
  <c r="T5" i="21"/>
  <c r="S5" i="21"/>
  <c r="R5" i="21"/>
  <c r="Q5" i="21"/>
  <c r="P5" i="21"/>
  <c r="O5" i="21"/>
  <c r="N5" i="21"/>
  <c r="M5" i="21"/>
  <c r="L5" i="21"/>
  <c r="K5" i="21"/>
  <c r="J5" i="21"/>
  <c r="I5" i="21"/>
  <c r="H5" i="21"/>
  <c r="G5" i="21"/>
  <c r="F5" i="21"/>
  <c r="E5" i="21"/>
  <c r="D5" i="21"/>
  <c r="C5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AH11" i="21"/>
  <c r="AH10" i="21"/>
  <c r="AH9" i="21"/>
  <c r="AH8" i="21"/>
  <c r="AH7" i="21"/>
  <c r="AH4" i="21"/>
  <c r="B1" i="21"/>
  <c r="AF5" i="20"/>
  <c r="AE5" i="20"/>
  <c r="AD5" i="20"/>
  <c r="AC5" i="20"/>
  <c r="AB5" i="20"/>
  <c r="AA5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AH4" i="20"/>
  <c r="B1" i="20"/>
  <c r="AG5" i="19"/>
  <c r="AF5" i="19"/>
  <c r="AE5" i="19"/>
  <c r="AD5" i="19"/>
  <c r="AC5" i="19"/>
  <c r="AB5" i="19"/>
  <c r="AA5" i="19"/>
  <c r="Z5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AH11" i="19"/>
  <c r="AH10" i="19"/>
  <c r="AH9" i="19"/>
  <c r="AH8" i="19"/>
  <c r="AH7" i="19"/>
  <c r="AH4" i="19"/>
  <c r="B1" i="19"/>
  <c r="AF5" i="18"/>
  <c r="AE5" i="18"/>
  <c r="AD5" i="18"/>
  <c r="AC5" i="18"/>
  <c r="AB5" i="18"/>
  <c r="AA5" i="18"/>
  <c r="Z5" i="18"/>
  <c r="Y5" i="18"/>
  <c r="X5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AE12" i="18"/>
  <c r="AD12" i="18"/>
  <c r="AC12" i="18"/>
  <c r="AB12" i="18"/>
  <c r="AA12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AH12" i="18"/>
  <c r="AH4" i="18"/>
  <c r="B1" i="18"/>
  <c r="AG5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AE12" i="17"/>
  <c r="AD12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AH11" i="17"/>
  <c r="AH10" i="17"/>
  <c r="AH9" i="17"/>
  <c r="AH8" i="17"/>
  <c r="AH7" i="17"/>
  <c r="AH4" i="17"/>
  <c r="B1" i="17"/>
  <c r="B1" i="15"/>
  <c r="B1" i="5"/>
  <c r="AH12" i="17" l="1"/>
  <c r="AH12" i="21"/>
  <c r="AH12" i="22"/>
  <c r="AH12" i="25"/>
  <c r="AH12" i="20"/>
  <c r="AH12" i="19"/>
  <c r="AH12" i="24"/>
  <c r="AB5" i="5"/>
  <c r="AH4" i="5" l="1"/>
  <c r="AH4" i="15" l="1"/>
  <c r="C12" i="4" l="1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7" i="15" l="1"/>
  <c r="AH8" i="15"/>
  <c r="AH9" i="15"/>
  <c r="AH10" i="15"/>
  <c r="AH11" i="15"/>
  <c r="AH12" i="15" l="1"/>
  <c r="C12" i="15"/>
  <c r="D12" i="15"/>
  <c r="E12" i="15"/>
  <c r="F12" i="15"/>
  <c r="G12" i="15"/>
  <c r="H12" i="15"/>
  <c r="I12" i="15"/>
  <c r="J12" i="15"/>
  <c r="K12" i="15"/>
  <c r="L12" i="15"/>
  <c r="M12" i="15"/>
  <c r="N12" i="15"/>
  <c r="O12" i="15"/>
  <c r="P12" i="15"/>
  <c r="Q12" i="15"/>
  <c r="R12" i="15"/>
  <c r="S12" i="15"/>
  <c r="T12" i="15"/>
  <c r="U12" i="15"/>
  <c r="V12" i="15"/>
  <c r="W12" i="15"/>
  <c r="X12" i="15"/>
  <c r="Y12" i="15"/>
  <c r="Z12" i="15"/>
  <c r="AA12" i="15"/>
  <c r="AB12" i="15"/>
  <c r="AC12" i="15"/>
  <c r="AG5" i="15" l="1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AH11" i="5" l="1"/>
  <c r="AH10" i="5"/>
  <c r="AH9" i="5"/>
  <c r="AH11" i="4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AH8" i="5"/>
  <c r="AH7" i="5"/>
  <c r="AE5" i="5"/>
  <c r="AD5" i="5"/>
  <c r="AC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AH12" i="5" l="1"/>
  <c r="AH7" i="4"/>
  <c r="AH8" i="4"/>
  <c r="AH12" i="4" l="1"/>
  <c r="AE5" i="4"/>
  <c r="AA5" i="4"/>
  <c r="W5" i="4"/>
  <c r="O5" i="4"/>
  <c r="G5" i="4"/>
  <c r="AD5" i="4"/>
  <c r="Z5" i="4"/>
  <c r="R5" i="4"/>
  <c r="N5" i="4"/>
  <c r="F5" i="4"/>
  <c r="M5" i="4"/>
  <c r="AG5" i="4"/>
  <c r="AC5" i="4"/>
  <c r="Y5" i="4"/>
  <c r="S5" i="4"/>
  <c r="K5" i="4"/>
  <c r="E5" i="4"/>
  <c r="AF5" i="4"/>
  <c r="AB5" i="4"/>
  <c r="X5" i="4"/>
  <c r="T5" i="4"/>
  <c r="P5" i="4"/>
  <c r="L5" i="4"/>
  <c r="H5" i="4"/>
  <c r="D5" i="4"/>
  <c r="Q5" i="4"/>
  <c r="I5" i="4"/>
  <c r="C5" i="4"/>
  <c r="V5" i="4"/>
  <c r="J5" i="4"/>
  <c r="U5" i="4"/>
</calcChain>
</file>

<file path=xl/sharedStrings.xml><?xml version="1.0" encoding="utf-8"?>
<sst xmlns="http://schemas.openxmlformats.org/spreadsheetml/2006/main" count="643" uniqueCount="64">
  <si>
    <t>กำหนดการการขาดงานของพนักงาน</t>
  </si>
  <si>
    <t>คีย์ประเภทการขาดงาน</t>
  </si>
  <si>
    <t>มกราคม</t>
  </si>
  <si>
    <t>ชื่อพนักงาน</t>
  </si>
  <si>
    <t>พนักงาน 1</t>
  </si>
  <si>
    <t>พนักงาน 2</t>
  </si>
  <si>
    <t>พนักงาน 3</t>
  </si>
  <si>
    <t>พนักงาน 4</t>
  </si>
  <si>
    <t>พนักงาน 5</t>
  </si>
  <si>
    <t>V</t>
  </si>
  <si>
    <t>วันที่ที่ขาดงาน</t>
  </si>
  <si>
    <t>1</t>
  </si>
  <si>
    <t>วันหยุดพักผ่อน</t>
  </si>
  <si>
    <t>2</t>
  </si>
  <si>
    <t>3</t>
  </si>
  <si>
    <t>P</t>
  </si>
  <si>
    <t>4</t>
  </si>
  <si>
    <t>5</t>
  </si>
  <si>
    <t>ส่วนบุคคล</t>
  </si>
  <si>
    <t>6</t>
  </si>
  <si>
    <t>7</t>
  </si>
  <si>
    <t>8</t>
  </si>
  <si>
    <t>9</t>
  </si>
  <si>
    <t>ป่วย</t>
  </si>
  <si>
    <t>10</t>
  </si>
  <si>
    <t>11</t>
  </si>
  <si>
    <t>12</t>
  </si>
  <si>
    <t>กำหนดเอง 1</t>
  </si>
  <si>
    <t>13</t>
  </si>
  <si>
    <t>14</t>
  </si>
  <si>
    <t>15</t>
  </si>
  <si>
    <t>16</t>
  </si>
  <si>
    <t>กำหนดเอง 2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</si>
  <si>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</si>
  <si>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</si>
  <si>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</si>
  <si>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</si>
  <si>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</si>
  <si>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</si>
  <si>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</si>
  <si>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</si>
  <si>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</si>
  <si>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</si>
  <si>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</si>
  <si>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</si>
  <si>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</si>
  <si>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</si>
  <si>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</si>
  <si>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ใส่ปี:</t>
  </si>
  <si>
    <t>จำนวนวัน:</t>
  </si>
  <si>
    <t>กุมภาพันธ์</t>
  </si>
  <si>
    <t xml:space="preserve"> </t>
  </si>
  <si>
    <t xml:space="preserve">  </t>
  </si>
  <si>
    <t>มีนาคม</t>
  </si>
  <si>
    <t>เมษายน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</si>
  <si>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</si>
  <si>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</si>
  <si>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</si>
  <si>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</si>
  <si>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</si>
  <si>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</si>
  <si>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</si>
  <si>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พฤษภาคม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</si>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</sst>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฿&quot;* #,##0_-;\-&quot;฿&quot;* #,##0_-;_-&quot;฿&quot;* &quot;-&quot;_-;_-@_-"/>
    <numFmt numFmtId="44" formatCode="_-&quot;฿&quot;* #,##0.00_-;\-&quot;฿&quot;* #,##0.00_-;_-&quot;฿&quot;* &quot;-&quot;??_-;_-@_-"/>
    <numFmt numFmtId="187" formatCode="_(* #,##0_);_(* \(#,##0\);_(* &quot;-&quot;_);_(@_)"/>
    <numFmt numFmtId="188" formatCode="_(* #,##0.00_);_(* \(#,##0.00\);_(* &quot;-&quot;??_);_(@_)"/>
    <numFmt numFmtId="189" formatCode="0;0;"/>
  </numFmts>
  <fonts count="19" x14ac:knownFonts="1">
    <font>
      <sz val="11"/>
      <color theme="1"/>
      <name val="Leelawadee"/>
      <family val="2"/>
    </font>
    <font>
      <sz val="11"/>
      <color theme="1"/>
      <name val="Leelawadee"/>
      <family val="2"/>
    </font>
    <font>
      <b/>
      <sz val="11"/>
      <color theme="1"/>
      <name val="Leelawadee"/>
      <family val="2"/>
    </font>
    <font>
      <sz val="11"/>
      <color theme="0"/>
      <name val="Leelawadee"/>
      <family val="2"/>
    </font>
    <font>
      <sz val="11"/>
      <color theme="4" tint="-0.499984740745262"/>
      <name val="Leelawadee"/>
      <family val="2"/>
    </font>
    <font>
      <sz val="11"/>
      <color rgb="FF006100"/>
      <name val="Leelawadee"/>
      <family val="2"/>
    </font>
    <font>
      <sz val="11"/>
      <color rgb="FF9C0006"/>
      <name val="Leelawadee"/>
      <family val="2"/>
    </font>
    <font>
      <b/>
      <sz val="26"/>
      <color theme="3"/>
      <name val="Leelawadee"/>
      <family val="2"/>
    </font>
    <font>
      <b/>
      <sz val="26"/>
      <color theme="3" tint="-0.24994659260841701"/>
      <name val="Leelawadee"/>
      <family val="2"/>
    </font>
    <font>
      <b/>
      <sz val="18"/>
      <color theme="4" tint="-0.24994659260841701"/>
      <name val="Leelawadee"/>
      <family val="2"/>
    </font>
    <font>
      <b/>
      <sz val="11"/>
      <color theme="0"/>
      <name val="Leelawadee"/>
      <family val="2"/>
    </font>
    <font>
      <i/>
      <sz val="11"/>
      <color rgb="FF7F7F7F"/>
      <name val="Leelawadee"/>
      <family val="2"/>
    </font>
    <font>
      <sz val="11"/>
      <color rgb="FFFF0000"/>
      <name val="Leelawadee"/>
      <family val="2"/>
    </font>
    <font>
      <b/>
      <sz val="11"/>
      <color rgb="FFFA7D00"/>
      <name val="Leelawadee"/>
      <family val="2"/>
    </font>
    <font>
      <sz val="11"/>
      <color rgb="FF3F3F76"/>
      <name val="Leelawadee"/>
      <family val="2"/>
    </font>
    <font>
      <b/>
      <sz val="11"/>
      <color rgb="FF3F3F3F"/>
      <name val="Leelawadee"/>
      <family val="2"/>
    </font>
    <font>
      <sz val="11"/>
      <color rgb="FF9C5700"/>
      <name val="Leelawadee"/>
      <family val="2"/>
    </font>
    <font>
      <sz val="11"/>
      <color rgb="FFFA7D00"/>
      <name val="Leelawadee"/>
      <family val="2"/>
    </font>
    <font>
      <sz val="11"/>
      <color theme="3"/>
      <name val="Leelawadee"/>
      <family val="2"/>
    </font>
  </fonts>
  <fills count="3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8E3E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189" fontId="0" fillId="0" borderId="0">
      <alignment horizontal="left" vertical="center"/>
    </xf>
    <xf numFmtId="0" fontId="7" fillId="0" borderId="0" applyNumberFormat="0" applyFill="0" applyBorder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2" borderId="0" applyNumberFormat="0" applyBorder="0" applyProtection="0">
      <alignment horizontal="center" vertical="center"/>
    </xf>
    <xf numFmtId="0" fontId="2" fillId="20" borderId="0" applyNumberFormat="0" applyProtection="0">
      <alignment horizontal="right" vertical="center" indent="1"/>
    </xf>
    <xf numFmtId="0" fontId="1" fillId="0" borderId="0" applyNumberFormat="0" applyFill="0" applyBorder="0" applyProtection="0">
      <alignment horizontal="left" vertical="center" indent="2"/>
    </xf>
    <xf numFmtId="0" fontId="3" fillId="3" borderId="0" applyNumberFormat="0" applyBorder="0" applyAlignment="0" applyProtection="0"/>
    <xf numFmtId="0" fontId="1" fillId="4" borderId="0" applyNumberFormat="0" applyBorder="0" applyProtection="0">
      <alignment horizontal="center" vertical="center"/>
    </xf>
    <xf numFmtId="0" fontId="2" fillId="9" borderId="0" applyNumberFormat="0" applyBorder="0" applyAlignment="0" applyProtection="0"/>
    <xf numFmtId="0" fontId="1" fillId="5" borderId="0" applyNumberFormat="0" applyBorder="0" applyAlignment="0" applyProtection="0"/>
    <xf numFmtId="0" fontId="3" fillId="7" borderId="0" applyNumberFormat="0" applyBorder="0" applyAlignment="0" applyProtection="0"/>
    <xf numFmtId="0" fontId="1" fillId="6" borderId="0" applyNumberFormat="0" applyBorder="0" applyAlignment="0" applyProtection="0"/>
    <xf numFmtId="0" fontId="2" fillId="15" borderId="0" applyNumberFormat="0" applyBorder="0" applyAlignment="0" applyProtection="0"/>
    <xf numFmtId="0" fontId="1" fillId="8" borderId="0" applyNumberFormat="0" applyBorder="0" applyAlignment="0" applyProtection="0"/>
    <xf numFmtId="0" fontId="3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0" applyNumberFormat="0" applyBorder="0" applyAlignment="0" applyProtection="0"/>
    <xf numFmtId="0" fontId="1" fillId="2" borderId="0" applyNumberFormat="0" applyBorder="0" applyAlignment="0" applyProtection="0"/>
    <xf numFmtId="0" fontId="2" fillId="12" borderId="0" applyNumberFormat="0" applyBorder="0" applyProtection="0">
      <alignment horizontal="left" vertical="center" indent="1"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1" fontId="1" fillId="0" borderId="0" applyFill="0" applyBorder="0" applyProtection="0">
      <alignment horizontal="center" vertical="center"/>
    </xf>
    <xf numFmtId="0" fontId="1" fillId="0" borderId="0" applyNumberFormat="0" applyFill="0" applyBorder="0">
      <alignment horizontal="left" vertical="center" wrapText="1" indent="2"/>
    </xf>
    <xf numFmtId="0" fontId="4" fillId="0" borderId="0">
      <alignment horizontal="center"/>
    </xf>
    <xf numFmtId="188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16" fillId="23" borderId="0" applyNumberFormat="0" applyBorder="0" applyAlignment="0" applyProtection="0"/>
    <xf numFmtId="0" fontId="14" fillId="24" borderId="1" applyNumberFormat="0" applyAlignment="0" applyProtection="0"/>
    <xf numFmtId="0" fontId="15" fillId="25" borderId="2" applyNumberFormat="0" applyAlignment="0" applyProtection="0"/>
    <xf numFmtId="0" fontId="13" fillId="25" borderId="1" applyNumberFormat="0" applyAlignment="0" applyProtection="0"/>
    <xf numFmtId="0" fontId="17" fillId="0" borderId="3" applyNumberFormat="0" applyFill="0" applyAlignment="0" applyProtection="0"/>
    <xf numFmtId="0" fontId="10" fillId="26" borderId="4" applyNumberFormat="0" applyAlignment="0" applyProtection="0"/>
    <xf numFmtId="0" fontId="12" fillId="0" borderId="0" applyNumberFormat="0" applyFill="0" applyBorder="0" applyAlignment="0" applyProtection="0"/>
    <xf numFmtId="0" fontId="1" fillId="27" borderId="5" applyNumberFormat="0" applyFont="0" applyAlignment="0" applyProtection="0"/>
    <xf numFmtId="0" fontId="11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0">
    <xf numFmtId="189" fontId="0" fillId="0" borderId="0" xfId="0">
      <alignment horizontal="left" vertical="center"/>
    </xf>
    <xf numFmtId="0" fontId="1" fillId="0" borderId="0" xfId="26">
      <alignment horizontal="left" vertical="center" wrapText="1" indent="2"/>
    </xf>
    <xf numFmtId="189" fontId="0" fillId="0" borderId="0" xfId="0" applyAlignment="1" applyProtection="1">
      <alignment horizontal="center" vertical="center"/>
    </xf>
    <xf numFmtId="189" fontId="0" fillId="0" borderId="0" xfId="0" applyFont="1" applyFill="1" applyBorder="1" applyAlignment="1" applyProtection="1">
      <alignment horizontal="center" vertical="center"/>
    </xf>
    <xf numFmtId="0" fontId="2" fillId="15" borderId="0" xfId="12" applyAlignment="1" applyProtection="1">
      <alignment horizontal="center" vertical="center"/>
    </xf>
    <xf numFmtId="0" fontId="2" fillId="10" borderId="0" xfId="19" applyAlignment="1" applyProtection="1">
      <alignment horizontal="center" vertical="center"/>
    </xf>
    <xf numFmtId="0" fontId="1" fillId="0" borderId="0" xfId="26" applyFill="1" applyBorder="1">
      <alignment horizontal="left" vertical="center" wrapText="1" indent="2"/>
    </xf>
    <xf numFmtId="1" fontId="1" fillId="0" borderId="0" xfId="25" applyFill="1" applyBorder="1" applyProtection="1">
      <alignment horizontal="center" vertical="center"/>
    </xf>
    <xf numFmtId="189" fontId="0" fillId="0" borderId="0" xfId="0" applyProtection="1">
      <alignment horizontal="left" vertical="center"/>
    </xf>
    <xf numFmtId="0" fontId="9" fillId="2" borderId="0" xfId="3" applyProtection="1">
      <alignment horizontal="center" vertical="center"/>
    </xf>
    <xf numFmtId="0" fontId="7" fillId="0" borderId="0" xfId="1" applyAlignment="1" applyProtection="1">
      <alignment vertical="top"/>
    </xf>
    <xf numFmtId="0" fontId="1" fillId="2" borderId="0" xfId="21" applyBorder="1" applyAlignment="1" applyProtection="1">
      <alignment horizontal="left" vertical="center" indent="1"/>
    </xf>
    <xf numFmtId="0" fontId="0" fillId="0" borderId="0" xfId="21" applyFont="1" applyFill="1" applyBorder="1" applyAlignment="1" applyProtection="1">
      <alignment horizontal="center" vertical="center"/>
    </xf>
    <xf numFmtId="0" fontId="1" fillId="0" borderId="0" xfId="26" applyFill="1" applyBorder="1" applyProtection="1">
      <alignment horizontal="left" vertical="center" wrapText="1" indent="2"/>
    </xf>
    <xf numFmtId="189" fontId="0" fillId="0" borderId="0" xfId="0" applyAlignment="1" applyProtection="1">
      <alignment horizontal="left" vertical="center" wrapText="1"/>
    </xf>
    <xf numFmtId="0" fontId="2" fillId="20" borderId="0" xfId="4" applyProtection="1">
      <alignment horizontal="right" vertical="center" indent="1"/>
    </xf>
    <xf numFmtId="0" fontId="4" fillId="0" borderId="0" xfId="27" applyProtection="1">
      <alignment horizontal="center"/>
    </xf>
    <xf numFmtId="189" fontId="0" fillId="0" borderId="0" xfId="0" applyFont="1" applyFill="1" applyBorder="1" applyAlignment="1" applyProtection="1">
      <alignment horizontal="left" vertical="center" indent="1"/>
    </xf>
    <xf numFmtId="0" fontId="7" fillId="0" borderId="0" xfId="1">
      <alignment vertical="top"/>
    </xf>
    <xf numFmtId="0" fontId="1" fillId="2" borderId="0" xfId="21" applyAlignment="1" applyProtection="1">
      <alignment horizontal="left" vertical="center"/>
    </xf>
    <xf numFmtId="0" fontId="2" fillId="13" borderId="0" xfId="23" applyFont="1" applyAlignment="1" applyProtection="1">
      <alignment horizontal="center" vertical="center"/>
    </xf>
    <xf numFmtId="189" fontId="2" fillId="9" borderId="0" xfId="8" applyNumberFormat="1" applyFont="1" applyAlignment="1" applyProtection="1">
      <alignment horizontal="center" vertical="center"/>
    </xf>
    <xf numFmtId="189" fontId="2" fillId="14" borderId="0" xfId="24" applyNumberFormat="1" applyFont="1" applyAlignment="1" applyProtection="1">
      <alignment horizontal="center" vertical="center"/>
    </xf>
    <xf numFmtId="189" fontId="18" fillId="0" borderId="0" xfId="0" applyFont="1" applyFill="1" applyBorder="1" applyAlignment="1" applyProtection="1">
      <alignment horizontal="center" vertical="center"/>
    </xf>
    <xf numFmtId="0" fontId="1" fillId="2" borderId="0" xfId="21" applyAlignment="1" applyProtection="1">
      <alignment vertical="center"/>
    </xf>
    <xf numFmtId="189" fontId="0" fillId="0" borderId="0" xfId="0" applyAlignment="1">
      <alignment horizontal="left" vertical="center"/>
    </xf>
    <xf numFmtId="189" fontId="0" fillId="0" borderId="0" xfId="0" applyAlignment="1">
      <alignment horizontal="center" vertical="center"/>
    </xf>
    <xf numFmtId="0" fontId="1" fillId="2" borderId="0" xfId="21" applyAlignment="1" applyProtection="1">
      <alignment horizontal="left" vertical="center"/>
    </xf>
    <xf numFmtId="0" fontId="9" fillId="2" borderId="0" xfId="3" applyProtection="1">
      <alignment horizontal="center" vertical="center"/>
    </xf>
    <xf numFmtId="0" fontId="1" fillId="2" borderId="0" xfId="21" applyAlignment="1" applyProtection="1">
      <alignment horizontal="left" vertical="center"/>
    </xf>
  </cellXfs>
  <cellStyles count="49">
    <cellStyle name="20% - ส่วนที่ถูกเน้น1" xfId="15" builtinId="30" customBuiltin="1"/>
    <cellStyle name="20% - ส่วนที่ถูกเน้น2" xfId="44" builtinId="34" customBuiltin="1"/>
    <cellStyle name="20% - ส่วนที่ถูกเน้น3" xfId="21" builtinId="38" customBuiltin="1"/>
    <cellStyle name="20% - ส่วนที่ถูกเน้น4" xfId="7" builtinId="42" customBuiltin="1"/>
    <cellStyle name="20% - ส่วนที่ถูกเน้น5" xfId="47" builtinId="46" customBuiltin="1"/>
    <cellStyle name="20% - ส่วนที่ถูกเน้น6" xfId="11" builtinId="50" customBuiltin="1"/>
    <cellStyle name="40% - ส่วนที่ถูกเน้น1" xfId="16" builtinId="31" customBuiltin="1"/>
    <cellStyle name="40% - ส่วนที่ถูกเน้น2" xfId="19" builtinId="35" customBuiltin="1"/>
    <cellStyle name="40% - ส่วนที่ถูกเน้น3" xfId="22" builtinId="39" customBuiltin="1"/>
    <cellStyle name="40% - ส่วนที่ถูกเน้น4" xfId="8" builtinId="43" customBuiltin="1"/>
    <cellStyle name="40% - ส่วนที่ถูกเน้น5" xfId="24" builtinId="47" customBuiltin="1"/>
    <cellStyle name="40% - ส่วนที่ถูกเน้น6" xfId="12" builtinId="51" customBuiltin="1"/>
    <cellStyle name="60% - ส่วนที่ถูกเน้น1" xfId="17" builtinId="32" customBuiltin="1"/>
    <cellStyle name="60% - ส่วนที่ถูกเน้น2" xfId="45" builtinId="36" customBuiltin="1"/>
    <cellStyle name="60% - ส่วนที่ถูกเน้น3" xfId="23" builtinId="40" customBuiltin="1"/>
    <cellStyle name="60% - ส่วนที่ถูกเน้น4" xfId="9" builtinId="44" customBuiltin="1"/>
    <cellStyle name="60% - ส่วนที่ถูกเน้น5" xfId="48" builtinId="48" customBuiltin="1"/>
    <cellStyle name="60% - ส่วนที่ถูกเน้น6" xfId="13" builtinId="52" customBuiltin="1"/>
    <cellStyle name="การคำนวณ" xfId="38" builtinId="22" customBuiltin="1"/>
    <cellStyle name="ข้อความเตือน" xfId="41" builtinId="11" customBuiltin="1"/>
    <cellStyle name="ข้อความอธิบาย" xfId="43" builtinId="53" customBuiltin="1"/>
    <cellStyle name="จุลภาค" xfId="28" builtinId="3" customBuiltin="1"/>
    <cellStyle name="จุลภาค [0]" xfId="29" builtinId="6" customBuiltin="1"/>
    <cellStyle name="ชื่อเรื่อง" xfId="1" builtinId="15" customBuiltin="1"/>
    <cellStyle name="เซลล์ตรวจสอบ" xfId="40" builtinId="23" customBuiltin="1"/>
    <cellStyle name="เซลล์ที่มีลิงก์" xfId="39" builtinId="24" customBuiltin="1"/>
    <cellStyle name="ดี" xfId="33" builtinId="26" customBuiltin="1"/>
    <cellStyle name="ปกติ" xfId="0" builtinId="0" customBuiltin="1"/>
    <cellStyle name="ป้อนค่า" xfId="36" builtinId="20" customBuiltin="1"/>
    <cellStyle name="ปานกลาง" xfId="35" builtinId="28" customBuiltin="1"/>
    <cellStyle name="ป้ายชื่อ" xfId="27" xr:uid="{00000000-0005-0000-0000-000018000000}"/>
    <cellStyle name="เปอร์เซ็นต์" xfId="32" builtinId="5" customBuiltin="1"/>
    <cellStyle name="ผลรวม" xfId="25" builtinId="25" customBuiltin="1"/>
    <cellStyle name="พนักงาน" xfId="26" xr:uid="{00000000-0005-0000-0000-000013000000}"/>
    <cellStyle name="แย่" xfId="34" builtinId="27" customBuiltin="1"/>
    <cellStyle name="สกุลเงิน" xfId="30" builtinId="4" customBuiltin="1"/>
    <cellStyle name="สกุลเงิน [0]" xfId="31" builtinId="7" customBuiltin="1"/>
    <cellStyle name="ส่วนที่ถูกเน้น1" xfId="14" builtinId="29" customBuiltin="1"/>
    <cellStyle name="ส่วนที่ถูกเน้น2" xfId="18" builtinId="33" customBuiltin="1"/>
    <cellStyle name="ส่วนที่ถูกเน้น3" xfId="20" builtinId="37" customBuiltin="1"/>
    <cellStyle name="ส่วนที่ถูกเน้น4" xfId="6" builtinId="41" customBuiltin="1"/>
    <cellStyle name="ส่วนที่ถูกเน้น5" xfId="46" builtinId="45" customBuiltin="1"/>
    <cellStyle name="ส่วนที่ถูกเน้น6" xfId="10" builtinId="49" customBuiltin="1"/>
    <cellStyle name="แสดงผล" xfId="37" builtinId="21" customBuiltin="1"/>
    <cellStyle name="หมายเหตุ" xfId="42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902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alignment horizontal="center" vertical="center" textRotation="0" wrapText="0" indent="0" justifyLastLine="0" shrinkToFit="0" readingOrder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0"/>
      </font>
      <border>
        <vertical/>
        <horizontal/>
      </border>
    </dxf>
    <dxf>
      <font>
        <b val="0"/>
        <i val="0"/>
        <color theme="3"/>
      </font>
      <border>
        <vertical/>
        <horizontal/>
      </border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ill>
        <patternFill patternType="none">
          <fgColor indexed="64"/>
          <bgColor indexed="65"/>
        </patternFill>
      </fill>
    </dxf>
    <dxf>
      <protection locked="1" hidden="0"/>
    </dxf>
    <dxf>
      <protection locked="1" hidden="0"/>
    </dxf>
    <dxf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ill>
        <patternFill patternType="solid">
          <bgColor theme="6" tint="0.79998168889431442"/>
        </patternFill>
      </fill>
      <border diagonalUp="0" diagonalDown="0">
        <left/>
        <right/>
        <top style="thin">
          <color theme="0" tint="-0.14996795556505021"/>
        </top>
        <bottom style="medium">
          <color theme="2" tint="-0.499984740745262"/>
        </bottom>
        <vertical/>
        <horizontal/>
      </border>
    </dxf>
    <dxf>
      <font>
        <color theme="1"/>
      </font>
      <fill>
        <patternFill patternType="solid">
          <bgColor theme="6" tint="0.79998168889431442"/>
        </patternFill>
      </fill>
      <border diagonalUp="0" diagonalDown="0">
        <left/>
        <right/>
        <top style="thin">
          <color theme="0" tint="-0.14993743705557422"/>
        </top>
        <bottom style="medium">
          <color theme="2" tint="-0.499984740745262"/>
        </bottom>
        <vertical/>
        <horizontal style="thin">
          <color theme="0" tint="-0.14993743705557422"/>
        </horizontal>
      </border>
    </dxf>
    <dxf>
      <font>
        <color theme="1"/>
      </font>
      <fill>
        <patternFill patternType="solid">
          <bgColor theme="2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/>
      </border>
    </dxf>
    <dxf>
      <font>
        <color theme="1"/>
      </font>
      <fill>
        <patternFill patternType="none">
          <bgColor auto="1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3743705557422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>
          <bgColor theme="0" tint="-4.9989318521683403E-2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>
          <bgColor theme="0" tint="-0.14996795556505021"/>
        </patternFill>
      </fill>
    </dxf>
    <dxf>
      <fill>
        <patternFill patternType="solid">
          <fgColor theme="4" tint="0.79992065187536243"/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color theme="1"/>
      </font>
      <fill>
        <patternFill patternType="none">
          <bgColor auto="1"/>
        </patternFill>
      </fill>
      <border>
        <left/>
        <right/>
        <top style="thin">
          <color theme="2" tint="-9.9917600024414813E-2"/>
        </top>
        <bottom style="thin">
          <color theme="2" tint="-9.9948118533890809E-2"/>
        </bottom>
        <vertical/>
        <horizontal style="thin">
          <color theme="2" tint="-9.9917600024414813E-2"/>
        </horizontal>
      </border>
    </dxf>
    <dxf>
      <font>
        <color theme="1"/>
      </font>
      <fill>
        <patternFill>
          <bgColor theme="6" tint="0.79998168889431442"/>
        </patternFill>
      </fill>
      <border diagonalUp="0" diagonalDown="0">
        <left style="thin">
          <color theme="0"/>
        </left>
        <right style="thin">
          <color theme="0"/>
        </right>
        <top/>
        <bottom style="medium">
          <color theme="2" tint="-0.499984740745262"/>
        </bottom>
        <vertical style="thin">
          <color theme="0"/>
        </vertical>
        <horizontal/>
      </border>
    </dxf>
    <dxf>
      <font>
        <color theme="0"/>
      </font>
      <fill>
        <patternFill>
          <bgColor theme="3"/>
        </patternFill>
      </fill>
    </dxf>
    <dxf>
      <font>
        <color theme="1"/>
      </font>
      <border diagonalUp="0" diagonalDown="0">
        <left/>
        <right/>
        <top/>
        <bottom/>
        <vertical style="thin">
          <color theme="0"/>
        </vertical>
        <horizontal/>
      </border>
    </dxf>
  </dxfs>
  <tableStyles count="1" defaultPivotStyle="PivotStyleLight16">
    <tableStyle name="ตารางการขาดงานของพนักงาน" pivot="0" count="13" xr9:uid="{00000000-0011-0000-FFFF-FFFF00000000}">
      <tableStyleElement type="wholeTable" dxfId="901"/>
      <tableStyleElement type="headerRow" dxfId="900"/>
      <tableStyleElement type="totalRow" dxfId="899"/>
      <tableStyleElement type="firstColumn" dxfId="898"/>
      <tableStyleElement type="lastColumn" dxfId="897"/>
      <tableStyleElement type="firstRowStripe" dxfId="896"/>
      <tableStyleElement type="secondRowStripe" dxfId="895"/>
      <tableStyleElement type="firstColumnStripe" dxfId="894"/>
      <tableStyleElement type="secondColumnStripe" dxfId="893"/>
      <tableStyleElement type="firstHeaderCell" dxfId="892"/>
      <tableStyleElement type="lastHeaderCell" dxfId="891"/>
      <tableStyleElement type="firstTotalCell" dxfId="890"/>
      <tableStyleElement type="lastTotalCell" dxfId="88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มกราคม" displayName="มกราคม" ref="B6:AH12" totalsRowCount="1" headerRowDxfId="883" dataDxfId="882" totalsRowDxfId="881">
  <autoFilter ref="B6:AH11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</autoFilter>
  <tableColumns count="33">
    <tableColumn id="1" xr3:uid="{00000000-0010-0000-0000-000001000000}" name="ชื่อพนักงาน" totalsRowFunction="custom" dataDxfId="880" totalsRowDxfId="32" dataCellStyle="พนักงาน">
      <totalsRowFormula>MonthName&amp;" ผลรวม"</totalsRowFormula>
    </tableColumn>
    <tableColumn id="2" xr3:uid="{00000000-0010-0000-0000-000002000000}" name="1" totalsRowFunction="custom" dataDxfId="879" totalsRowDxfId="31">
      <totalsRowFormula>SUBTOTAL(103,มกราคม!$C$7:$C$11)</totalsRowFormula>
    </tableColumn>
    <tableColumn id="3" xr3:uid="{00000000-0010-0000-0000-000003000000}" name="2" totalsRowFunction="custom" dataDxfId="878" totalsRowDxfId="30">
      <totalsRowFormula>SUBTOTAL(103,มกราคม!$D$7:$D$11)</totalsRowFormula>
    </tableColumn>
    <tableColumn id="4" xr3:uid="{00000000-0010-0000-0000-000004000000}" name="3" totalsRowFunction="custom" dataDxfId="877" totalsRowDxfId="29">
      <totalsRowFormula>SUBTOTAL(103,มกราคม!$E$7:$E$11)</totalsRowFormula>
    </tableColumn>
    <tableColumn id="5" xr3:uid="{00000000-0010-0000-0000-000005000000}" name="4" totalsRowFunction="custom" dataDxfId="876" totalsRowDxfId="28">
      <totalsRowFormula>SUBTOTAL(103,มกราคม!$F$7:$F$11)</totalsRowFormula>
    </tableColumn>
    <tableColumn id="6" xr3:uid="{00000000-0010-0000-0000-000006000000}" name="5" totalsRowFunction="custom" totalsRowDxfId="27">
      <totalsRowFormula>SUBTOTAL(103,มกราคม!$G$7:$G$11)</totalsRowFormula>
    </tableColumn>
    <tableColumn id="7" xr3:uid="{00000000-0010-0000-0000-000007000000}" name="6" totalsRowFunction="custom" dataDxfId="875" totalsRowDxfId="26">
      <totalsRowFormula>SUBTOTAL(103,มกราคม!$H$7:$H$11)</totalsRowFormula>
    </tableColumn>
    <tableColumn id="8" xr3:uid="{00000000-0010-0000-0000-000008000000}" name="7" totalsRowFunction="custom" dataDxfId="874" totalsRowDxfId="25">
      <totalsRowFormula>SUBTOTAL(103,มกราคม!$I$7:$I$11)</totalsRowFormula>
    </tableColumn>
    <tableColumn id="9" xr3:uid="{00000000-0010-0000-0000-000009000000}" name="8" totalsRowFunction="custom" dataDxfId="873" totalsRowDxfId="24">
      <totalsRowFormula>SUBTOTAL(103,มกราคม!$J$7:$J$11)</totalsRowFormula>
    </tableColumn>
    <tableColumn id="10" xr3:uid="{00000000-0010-0000-0000-00000A000000}" name="9" totalsRowFunction="custom" dataDxfId="872" totalsRowDxfId="23">
      <totalsRowFormula>SUBTOTAL(103,มกราคม!$K$7:$K$11)</totalsRowFormula>
    </tableColumn>
    <tableColumn id="11" xr3:uid="{00000000-0010-0000-0000-00000B000000}" name="10" totalsRowFunction="custom" dataDxfId="871" totalsRowDxfId="22">
      <totalsRowFormula>SUBTOTAL(103,มกราคม!$L$7:$L$11)</totalsRowFormula>
    </tableColumn>
    <tableColumn id="12" xr3:uid="{00000000-0010-0000-0000-00000C000000}" name="11" totalsRowFunction="custom" dataDxfId="870" totalsRowDxfId="21">
      <totalsRowFormula>SUBTOTAL(103,มกราคม!$M$7:$M$11)</totalsRowFormula>
    </tableColumn>
    <tableColumn id="13" xr3:uid="{00000000-0010-0000-0000-00000D000000}" name="12" totalsRowFunction="custom" dataDxfId="869" totalsRowDxfId="20">
      <totalsRowFormula>SUBTOTAL(103,มกราคม!$N$7:$N$11)</totalsRowFormula>
    </tableColumn>
    <tableColumn id="14" xr3:uid="{00000000-0010-0000-0000-00000E000000}" name="13" totalsRowFunction="custom" dataDxfId="868" totalsRowDxfId="19">
      <totalsRowFormula>SUBTOTAL(103,มกราคม!$O$7:$O$11)</totalsRowFormula>
    </tableColumn>
    <tableColumn id="15" xr3:uid="{00000000-0010-0000-0000-00000F000000}" name="14" totalsRowFunction="custom" dataDxfId="867" totalsRowDxfId="18">
      <totalsRowFormula>SUBTOTAL(103,มกราคม!$P$7:$P$11)</totalsRowFormula>
    </tableColumn>
    <tableColumn id="16" xr3:uid="{00000000-0010-0000-0000-000010000000}" name="15" totalsRowFunction="custom" dataDxfId="866" totalsRowDxfId="17">
      <totalsRowFormula>SUBTOTAL(103,มกราคม!$Q$7:$Q$11)</totalsRowFormula>
    </tableColumn>
    <tableColumn id="17" xr3:uid="{00000000-0010-0000-0000-000011000000}" name="16" totalsRowFunction="custom" dataDxfId="865" totalsRowDxfId="16">
      <totalsRowFormula>SUBTOTAL(103,มกราคม!$R$7:$R$11)</totalsRowFormula>
    </tableColumn>
    <tableColumn id="18" xr3:uid="{00000000-0010-0000-0000-000012000000}" name="17" totalsRowFunction="custom" dataDxfId="864" totalsRowDxfId="15">
      <totalsRowFormula>SUBTOTAL(103,มกราคม!$S$7:$S$11)</totalsRowFormula>
    </tableColumn>
    <tableColumn id="19" xr3:uid="{00000000-0010-0000-0000-000013000000}" name="18" totalsRowFunction="custom" dataDxfId="863" totalsRowDxfId="14">
      <totalsRowFormula>SUBTOTAL(103,มกราคม!$T$7:$T$11)</totalsRowFormula>
    </tableColumn>
    <tableColumn id="20" xr3:uid="{00000000-0010-0000-0000-000014000000}" name="19" totalsRowFunction="custom" dataDxfId="862" totalsRowDxfId="13">
      <totalsRowFormula>SUBTOTAL(103,มกราคม!$U$7:$U$11)</totalsRowFormula>
    </tableColumn>
    <tableColumn id="21" xr3:uid="{00000000-0010-0000-0000-000015000000}" name="20" totalsRowFunction="custom" dataDxfId="861" totalsRowDxfId="12">
      <totalsRowFormula>SUBTOTAL(103,มกราคม!$V$7:$V$11)</totalsRowFormula>
    </tableColumn>
    <tableColumn id="22" xr3:uid="{00000000-0010-0000-0000-000016000000}" name="21" totalsRowFunction="custom" dataDxfId="860" totalsRowDxfId="11">
      <totalsRowFormula>SUBTOTAL(103,มกราคม!$W$7:$W$11)</totalsRowFormula>
    </tableColumn>
    <tableColumn id="23" xr3:uid="{00000000-0010-0000-0000-000017000000}" name="22" totalsRowFunction="custom" dataDxfId="859" totalsRowDxfId="10">
      <totalsRowFormula>SUBTOTAL(103,มกราคม!$X$7:$X$11)</totalsRowFormula>
    </tableColumn>
    <tableColumn id="24" xr3:uid="{00000000-0010-0000-0000-000018000000}" name="23" totalsRowFunction="custom" dataDxfId="858" totalsRowDxfId="9">
      <totalsRowFormula>SUBTOTAL(103,มกราคม!$Y$7:$Y$11)</totalsRowFormula>
    </tableColumn>
    <tableColumn id="25" xr3:uid="{00000000-0010-0000-0000-000019000000}" name="24" totalsRowFunction="custom" dataDxfId="857" totalsRowDxfId="8">
      <totalsRowFormula>SUBTOTAL(103,มกราคม!$Z$7:$Z$11)</totalsRowFormula>
    </tableColumn>
    <tableColumn id="26" xr3:uid="{00000000-0010-0000-0000-00001A000000}" name="25" totalsRowFunction="custom" dataDxfId="856" totalsRowDxfId="7">
      <totalsRowFormula>SUBTOTAL(103,มกราคม!$AA$7:$AA$11)</totalsRowFormula>
    </tableColumn>
    <tableColumn id="27" xr3:uid="{00000000-0010-0000-0000-00001B000000}" name="26" totalsRowFunction="custom" dataDxfId="855" totalsRowDxfId="6">
      <totalsRowFormula>SUBTOTAL(103,มกราคม!$AB$7:$AB$11)</totalsRowFormula>
    </tableColumn>
    <tableColumn id="28" xr3:uid="{00000000-0010-0000-0000-00001C000000}" name="27" totalsRowFunction="custom" dataDxfId="854" totalsRowDxfId="5">
      <totalsRowFormula>SUBTOTAL(103,มกราคม!$AC$7:$AC$11)</totalsRowFormula>
    </tableColumn>
    <tableColumn id="29" xr3:uid="{00000000-0010-0000-0000-00001D000000}" name="28" totalsRowFunction="custom" dataDxfId="853" totalsRowDxfId="4">
      <totalsRowFormula>SUBTOTAL(103,มกราคม!$AD$7:$AD$11)</totalsRowFormula>
    </tableColumn>
    <tableColumn id="30" xr3:uid="{00000000-0010-0000-0000-00001E000000}" name="29" totalsRowFunction="custom" dataDxfId="852" totalsRowDxfId="3">
      <totalsRowFormula>SUBTOTAL(103,มกราคม!$AE$7:$AE$11)</totalsRowFormula>
    </tableColumn>
    <tableColumn id="31" xr3:uid="{00000000-0010-0000-0000-00001F000000}" name="30" totalsRowFunction="custom" dataDxfId="851" totalsRowDxfId="2">
      <totalsRowFormula>SUBTOTAL(103,มกราคม!$AF$7:$AF$11)</totalsRowFormula>
    </tableColumn>
    <tableColumn id="32" xr3:uid="{00000000-0010-0000-0000-000020000000}" name="31" totalsRowFunction="custom" dataDxfId="850" totalsRowDxfId="1">
      <totalsRowFormula>SUBTOTAL(103,มกราคม!$AG$7:$AG$11)</totalsRowFormula>
    </tableColumn>
    <tableColumn id="33" xr3:uid="{00000000-0010-0000-0000-000021000000}" name="จำนวนวัน:" totalsRowFunction="sum" dataDxfId="849" totalsRowDxfId="0" dataCellStyle="ผลรวม">
      <calculatedColumnFormula>COUNTA(มกราคม!$C7:$AG7)</calculatedColumnFormula>
    </tableColumn>
  </tableColumns>
  <tableStyleInfo name="ตารางการขาดงานของพนักงาน" showFirstColumn="1" showLastColumn="1" showRowStripes="1" showColumnStripes="0"/>
  <extLst>
    <ext xmlns:x14="http://schemas.microsoft.com/office/spreadsheetml/2009/9/main" uri="{504A1905-F514-4f6f-8877-14C23A59335A}">
      <x14:table altTextSummary="ใส่ชื่อพนักงานและวันที่ที่ขาดงาน บันทึกประเภทการขาดงานของแต่ละคีย์ในแถว 12: V=ลาพักร้อน, S=ลาป่วย, P=ลากิจ และพื้นที่ที่สำรองไว้สองรายการสำหรับรายการแบบกำหนดเอง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9000000}" name="ตุลาคม" displayName="ตุลาคม" ref="B6:AH12" totalsRowCount="1" headerRowDxfId="249" dataDxfId="248" totalsRowDxfId="247">
  <tableColumns count="33">
    <tableColumn id="1" xr3:uid="{00000000-0010-0000-0900-000001000000}" name="ชื่อพนักงาน" totalsRowFunction="custom" dataDxfId="246" totalsRowDxfId="245" dataCellStyle="พนักงาน">
      <totalsRowFormula>MonthName&amp;" ผลรวม"</totalsRowFormula>
    </tableColumn>
    <tableColumn id="2" xr3:uid="{00000000-0010-0000-0900-000002000000}" name="1" totalsRowFunction="count" dataDxfId="244" totalsRowDxfId="243" totalsRowCellStyle="ปกติ"/>
    <tableColumn id="3" xr3:uid="{00000000-0010-0000-0900-000003000000}" name="2" totalsRowFunction="count" dataDxfId="242" totalsRowDxfId="241" totalsRowCellStyle="ปกติ"/>
    <tableColumn id="4" xr3:uid="{00000000-0010-0000-0900-000004000000}" name="3" totalsRowFunction="count" dataDxfId="240" totalsRowDxfId="239" totalsRowCellStyle="ปกติ"/>
    <tableColumn id="5" xr3:uid="{00000000-0010-0000-0900-000005000000}" name="4" totalsRowFunction="count" dataDxfId="238" totalsRowDxfId="237" totalsRowCellStyle="ปกติ"/>
    <tableColumn id="6" xr3:uid="{00000000-0010-0000-0900-000006000000}" name="5" totalsRowFunction="count" dataDxfId="236" totalsRowDxfId="235" totalsRowCellStyle="ปกติ"/>
    <tableColumn id="7" xr3:uid="{00000000-0010-0000-0900-000007000000}" name="6" totalsRowFunction="count" dataDxfId="234" totalsRowDxfId="233" totalsRowCellStyle="ปกติ"/>
    <tableColumn id="8" xr3:uid="{00000000-0010-0000-0900-000008000000}" name="7" totalsRowFunction="count" dataDxfId="232" totalsRowDxfId="231" totalsRowCellStyle="ปกติ"/>
    <tableColumn id="9" xr3:uid="{00000000-0010-0000-0900-000009000000}" name="8" totalsRowFunction="count" dataDxfId="230" totalsRowDxfId="229" totalsRowCellStyle="ปกติ"/>
    <tableColumn id="10" xr3:uid="{00000000-0010-0000-0900-00000A000000}" name="9" totalsRowFunction="count" dataDxfId="228" totalsRowDxfId="227" totalsRowCellStyle="ปกติ"/>
    <tableColumn id="11" xr3:uid="{00000000-0010-0000-0900-00000B000000}" name="10" totalsRowFunction="count" dataDxfId="226" totalsRowDxfId="225" totalsRowCellStyle="ปกติ"/>
    <tableColumn id="12" xr3:uid="{00000000-0010-0000-0900-00000C000000}" name="11" totalsRowFunction="count" dataDxfId="224" totalsRowDxfId="223" totalsRowCellStyle="ปกติ"/>
    <tableColumn id="13" xr3:uid="{00000000-0010-0000-0900-00000D000000}" name="12" totalsRowFunction="count" dataDxfId="222" totalsRowDxfId="221" totalsRowCellStyle="ปกติ"/>
    <tableColumn id="14" xr3:uid="{00000000-0010-0000-0900-00000E000000}" name="13" totalsRowFunction="count" dataDxfId="220" totalsRowDxfId="219" totalsRowCellStyle="ปกติ"/>
    <tableColumn id="15" xr3:uid="{00000000-0010-0000-0900-00000F000000}" name="14" totalsRowFunction="count" dataDxfId="218" totalsRowDxfId="217" totalsRowCellStyle="ปกติ"/>
    <tableColumn id="16" xr3:uid="{00000000-0010-0000-0900-000010000000}" name="15" totalsRowFunction="count" dataDxfId="216" totalsRowDxfId="215" totalsRowCellStyle="ปกติ"/>
    <tableColumn id="17" xr3:uid="{00000000-0010-0000-0900-000011000000}" name="16" totalsRowFunction="count" dataDxfId="214" totalsRowDxfId="213" totalsRowCellStyle="ปกติ"/>
    <tableColumn id="18" xr3:uid="{00000000-0010-0000-0900-000012000000}" name="17" totalsRowFunction="count" dataDxfId="212" totalsRowDxfId="211" totalsRowCellStyle="ปกติ"/>
    <tableColumn id="19" xr3:uid="{00000000-0010-0000-0900-000013000000}" name="18" totalsRowFunction="count" dataDxfId="210" totalsRowDxfId="209" totalsRowCellStyle="ปกติ"/>
    <tableColumn id="20" xr3:uid="{00000000-0010-0000-0900-000014000000}" name="19" totalsRowFunction="count" dataDxfId="208" totalsRowDxfId="207" totalsRowCellStyle="ปกติ"/>
    <tableColumn id="21" xr3:uid="{00000000-0010-0000-0900-000015000000}" name="20" totalsRowFunction="count" dataDxfId="206" totalsRowDxfId="205" totalsRowCellStyle="ปกติ"/>
    <tableColumn id="22" xr3:uid="{00000000-0010-0000-0900-000016000000}" name="21" totalsRowFunction="count" dataDxfId="204" totalsRowDxfId="203" totalsRowCellStyle="ปกติ"/>
    <tableColumn id="23" xr3:uid="{00000000-0010-0000-0900-000017000000}" name="22" totalsRowFunction="count" dataDxfId="202" totalsRowDxfId="201" totalsRowCellStyle="ปกติ"/>
    <tableColumn id="24" xr3:uid="{00000000-0010-0000-0900-000018000000}" name="23" totalsRowFunction="count" dataDxfId="200" totalsRowDxfId="199" totalsRowCellStyle="ปกติ"/>
    <tableColumn id="25" xr3:uid="{00000000-0010-0000-0900-000019000000}" name="24" totalsRowFunction="count" dataDxfId="198" totalsRowDxfId="197" totalsRowCellStyle="ปกติ"/>
    <tableColumn id="26" xr3:uid="{00000000-0010-0000-0900-00001A000000}" name="25" totalsRowFunction="count" dataDxfId="196" totalsRowDxfId="195" totalsRowCellStyle="ปกติ"/>
    <tableColumn id="27" xr3:uid="{00000000-0010-0000-0900-00001B000000}" name="26" totalsRowFunction="count" dataDxfId="194" totalsRowDxfId="193" totalsRowCellStyle="ปกติ"/>
    <tableColumn id="28" xr3:uid="{00000000-0010-0000-0900-00001C000000}" name="27" totalsRowFunction="count" dataDxfId="192" totalsRowDxfId="191" totalsRowCellStyle="ปกติ"/>
    <tableColumn id="29" xr3:uid="{00000000-0010-0000-0900-00001D000000}" name="28" totalsRowFunction="count" dataDxfId="190" totalsRowDxfId="189" totalsRowCellStyle="ปกติ"/>
    <tableColumn id="30" xr3:uid="{00000000-0010-0000-0900-00001E000000}" name="29" totalsRowFunction="count" dataDxfId="188" totalsRowDxfId="187" totalsRowCellStyle="ปกติ"/>
    <tableColumn id="31" xr3:uid="{00000000-0010-0000-0900-00001F000000}" name="30" totalsRowFunction="count" dataDxfId="186" totalsRowDxfId="185" totalsRowCellStyle="ปกติ"/>
    <tableColumn id="32" xr3:uid="{00000000-0010-0000-0900-000020000000}" name="31" totalsRowFunction="count" dataDxfId="184" totalsRowDxfId="183" totalsRowCellStyle="ปกติ"/>
    <tableColumn id="33" xr3:uid="{00000000-0010-0000-0900-000021000000}" name="จำนวนวัน:" totalsRowFunction="sum" dataDxfId="182" totalsRowDxfId="181" dataCellStyle="ผลรวม" totalsRowCellStyle="ปกติ">
      <calculatedColumnFormula>COUNTA(ตุลาคม[[#This Row],[1]:[31]])</calculatedColumnFormula>
    </tableColumn>
  </tableColumns>
  <tableStyleInfo name="ตารางการขาดงานของพนักงาน" showFirstColumn="1" showLastColumn="1" showRowStripes="1" showColumnStripes="0"/>
  <extLst>
    <ext xmlns:x14="http://schemas.microsoft.com/office/spreadsheetml/2009/9/main" uri="{504A1905-F514-4f6f-8877-14C23A59335A}">
      <x14:table altTextSummary="ใส่ชื่อพนักงานและวันที่ที่ขาดงาน บันทึกประเภทการขาดงานของแต่ละคีย์ในแถว 12: V=ลาพักร้อน, S=ลาป่วย, P=ลากิจ และพื้นที่ที่สำรองไว้สองรายการสำหรับรายการแบบกำหนดเอง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พฤศจิกายน" displayName="พฤศจิกายน" ref="B6:AH12" totalsRowCount="1" headerRowDxfId="175" dataDxfId="174" totalsRowDxfId="173">
  <tableColumns count="33">
    <tableColumn id="1" xr3:uid="{00000000-0010-0000-0A00-000001000000}" name="ชื่อพนักงาน" totalsRowFunction="custom" dataDxfId="172" totalsRowDxfId="171" dataCellStyle="พนักงาน">
      <totalsRowFormula>MonthName&amp;" ผลรวม"</totalsRowFormula>
    </tableColumn>
    <tableColumn id="2" xr3:uid="{00000000-0010-0000-0A00-000002000000}" name="1" totalsRowFunction="count" dataDxfId="170" totalsRowDxfId="169" totalsRowCellStyle="ปกติ"/>
    <tableColumn id="3" xr3:uid="{00000000-0010-0000-0A00-000003000000}" name="2" totalsRowFunction="count" dataDxfId="168" totalsRowDxfId="167" totalsRowCellStyle="ปกติ"/>
    <tableColumn id="4" xr3:uid="{00000000-0010-0000-0A00-000004000000}" name="3" totalsRowFunction="count" dataDxfId="166" totalsRowDxfId="165" totalsRowCellStyle="ปกติ"/>
    <tableColumn id="5" xr3:uid="{00000000-0010-0000-0A00-000005000000}" name="4" totalsRowFunction="count" dataDxfId="164" totalsRowDxfId="163" totalsRowCellStyle="ปกติ"/>
    <tableColumn id="6" xr3:uid="{00000000-0010-0000-0A00-000006000000}" name="5" totalsRowFunction="count" dataDxfId="162" totalsRowDxfId="161" totalsRowCellStyle="ปกติ"/>
    <tableColumn id="7" xr3:uid="{00000000-0010-0000-0A00-000007000000}" name="6" totalsRowFunction="count" dataDxfId="160" totalsRowDxfId="159" totalsRowCellStyle="ปกติ"/>
    <tableColumn id="8" xr3:uid="{00000000-0010-0000-0A00-000008000000}" name="7" totalsRowFunction="count" dataDxfId="158" totalsRowDxfId="157" totalsRowCellStyle="ปกติ"/>
    <tableColumn id="9" xr3:uid="{00000000-0010-0000-0A00-000009000000}" name="8" totalsRowFunction="count" dataDxfId="156" totalsRowDxfId="155" totalsRowCellStyle="ปกติ"/>
    <tableColumn id="10" xr3:uid="{00000000-0010-0000-0A00-00000A000000}" name="9" totalsRowFunction="count" dataDxfId="154" totalsRowDxfId="153" totalsRowCellStyle="ปกติ"/>
    <tableColumn id="11" xr3:uid="{00000000-0010-0000-0A00-00000B000000}" name="10" totalsRowFunction="count" dataDxfId="152" totalsRowDxfId="151" totalsRowCellStyle="ปกติ"/>
    <tableColumn id="12" xr3:uid="{00000000-0010-0000-0A00-00000C000000}" name="11" totalsRowFunction="count" dataDxfId="150" totalsRowDxfId="149" totalsRowCellStyle="ปกติ"/>
    <tableColumn id="13" xr3:uid="{00000000-0010-0000-0A00-00000D000000}" name="12" totalsRowFunction="count" dataDxfId="148" totalsRowDxfId="147" totalsRowCellStyle="ปกติ"/>
    <tableColumn id="14" xr3:uid="{00000000-0010-0000-0A00-00000E000000}" name="13" totalsRowFunction="count" dataDxfId="146" totalsRowDxfId="145" totalsRowCellStyle="ปกติ"/>
    <tableColumn id="15" xr3:uid="{00000000-0010-0000-0A00-00000F000000}" name="14" totalsRowFunction="count" dataDxfId="144" totalsRowDxfId="143" totalsRowCellStyle="ปกติ"/>
    <tableColumn id="16" xr3:uid="{00000000-0010-0000-0A00-000010000000}" name="15" totalsRowFunction="count" dataDxfId="142" totalsRowDxfId="141" totalsRowCellStyle="ปกติ"/>
    <tableColumn id="17" xr3:uid="{00000000-0010-0000-0A00-000011000000}" name="16" totalsRowFunction="count" dataDxfId="140" totalsRowDxfId="139" totalsRowCellStyle="ปกติ"/>
    <tableColumn id="18" xr3:uid="{00000000-0010-0000-0A00-000012000000}" name="17" totalsRowFunction="count" dataDxfId="138" totalsRowDxfId="137" totalsRowCellStyle="ปกติ"/>
    <tableColumn id="19" xr3:uid="{00000000-0010-0000-0A00-000013000000}" name="18" totalsRowFunction="count" dataDxfId="136" totalsRowDxfId="135" totalsRowCellStyle="ปกติ"/>
    <tableColumn id="20" xr3:uid="{00000000-0010-0000-0A00-000014000000}" name="19" totalsRowFunction="count" dataDxfId="134" totalsRowDxfId="133" totalsRowCellStyle="ปกติ"/>
    <tableColumn id="21" xr3:uid="{00000000-0010-0000-0A00-000015000000}" name="20" totalsRowFunction="count" dataDxfId="132" totalsRowDxfId="131" totalsRowCellStyle="ปกติ"/>
    <tableColumn id="22" xr3:uid="{00000000-0010-0000-0A00-000016000000}" name="21" totalsRowFunction="count" dataDxfId="130" totalsRowDxfId="129" totalsRowCellStyle="ปกติ"/>
    <tableColumn id="23" xr3:uid="{00000000-0010-0000-0A00-000017000000}" name="22" totalsRowFunction="count" dataDxfId="128" totalsRowDxfId="127" totalsRowCellStyle="ปกติ"/>
    <tableColumn id="24" xr3:uid="{00000000-0010-0000-0A00-000018000000}" name="23" totalsRowFunction="count" dataDxfId="126" totalsRowDxfId="125" totalsRowCellStyle="ปกติ"/>
    <tableColumn id="25" xr3:uid="{00000000-0010-0000-0A00-000019000000}" name="24" totalsRowFunction="count" dataDxfId="124" totalsRowDxfId="123" totalsRowCellStyle="ปกติ"/>
    <tableColumn id="26" xr3:uid="{00000000-0010-0000-0A00-00001A000000}" name="25" totalsRowFunction="count" dataDxfId="122" totalsRowDxfId="121" totalsRowCellStyle="ปกติ"/>
    <tableColumn id="27" xr3:uid="{00000000-0010-0000-0A00-00001B000000}" name="26" totalsRowFunction="count" dataDxfId="120" totalsRowDxfId="119" totalsRowCellStyle="ปกติ"/>
    <tableColumn id="28" xr3:uid="{00000000-0010-0000-0A00-00001C000000}" name="27" totalsRowFunction="count" dataDxfId="118" totalsRowDxfId="117" totalsRowCellStyle="ปกติ"/>
    <tableColumn id="29" xr3:uid="{00000000-0010-0000-0A00-00001D000000}" name="28" totalsRowFunction="count" dataDxfId="116" totalsRowDxfId="115" totalsRowCellStyle="ปกติ"/>
    <tableColumn id="30" xr3:uid="{00000000-0010-0000-0A00-00001E000000}" name="29" totalsRowFunction="count" dataDxfId="114" totalsRowDxfId="113" totalsRowCellStyle="ปกติ"/>
    <tableColumn id="31" xr3:uid="{00000000-0010-0000-0A00-00001F000000}" name="30" totalsRowFunction="count" dataDxfId="112" totalsRowDxfId="111" totalsRowCellStyle="ปกติ"/>
    <tableColumn id="32" xr3:uid="{00000000-0010-0000-0A00-000020000000}" name=" " totalsRowFunction="count" dataDxfId="110" totalsRowDxfId="109" totalsRowCellStyle="ปกติ"/>
    <tableColumn id="33" xr3:uid="{00000000-0010-0000-0A00-000021000000}" name="จำนวนวัน:" totalsRowFunction="sum" dataDxfId="108" totalsRowDxfId="107" dataCellStyle="ผลรวม" totalsRowCellStyle="ปกติ">
      <calculatedColumnFormula>COUNTA(พฤศจิกายน[[#This Row],[1]:[30]])</calculatedColumnFormula>
    </tableColumn>
  </tableColumns>
  <tableStyleInfo name="ตารางการขาดงานของพนักงาน" showFirstColumn="1" showLastColumn="1" showRowStripes="1" showColumnStripes="0"/>
  <extLst>
    <ext xmlns:x14="http://schemas.microsoft.com/office/spreadsheetml/2009/9/main" uri="{504A1905-F514-4f6f-8877-14C23A59335A}">
      <x14:table altTextSummary="ใส่ชื่อพนักงานและวันที่ที่ขาดงาน บันทึกประเภทการขาดงานของแต่ละคีย์ในแถว 12: V=ลาพักร้อน, S=ลาป่วย, P=ลากิจ และพื้นที่ที่สำรองไว้สองรายการสำหรับรายการแบบกำหนดเอง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ธันวาคม" displayName="ธันวาคม" ref="B6:AH12" totalsRowCount="1" headerRowDxfId="101" dataDxfId="100" totalsRowDxfId="99">
  <tableColumns count="33">
    <tableColumn id="1" xr3:uid="{00000000-0010-0000-0B00-000001000000}" name="ชื่อพนักงาน" totalsRowFunction="custom" dataDxfId="98" totalsRowDxfId="97" dataCellStyle="พนักงาน">
      <totalsRowFormula>MonthName&amp;" ผลรวม"</totalsRowFormula>
    </tableColumn>
    <tableColumn id="2" xr3:uid="{00000000-0010-0000-0B00-000002000000}" name="1" totalsRowFunction="count" dataDxfId="96" totalsRowDxfId="95" totalsRowCellStyle="ปกติ"/>
    <tableColumn id="3" xr3:uid="{00000000-0010-0000-0B00-000003000000}" name="2" totalsRowFunction="count" dataDxfId="94" totalsRowDxfId="93" totalsRowCellStyle="ปกติ"/>
    <tableColumn id="4" xr3:uid="{00000000-0010-0000-0B00-000004000000}" name="3" totalsRowFunction="count" dataDxfId="92" totalsRowDxfId="91" totalsRowCellStyle="ปกติ"/>
    <tableColumn id="5" xr3:uid="{00000000-0010-0000-0B00-000005000000}" name="4" totalsRowFunction="count" dataDxfId="90" totalsRowDxfId="89" totalsRowCellStyle="ปกติ"/>
    <tableColumn id="6" xr3:uid="{00000000-0010-0000-0B00-000006000000}" name="5" totalsRowFunction="count" dataDxfId="88" totalsRowDxfId="87" totalsRowCellStyle="ปกติ"/>
    <tableColumn id="7" xr3:uid="{00000000-0010-0000-0B00-000007000000}" name="6" totalsRowFunction="count" dataDxfId="86" totalsRowDxfId="85" totalsRowCellStyle="ปกติ"/>
    <tableColumn id="8" xr3:uid="{00000000-0010-0000-0B00-000008000000}" name="7" totalsRowFunction="count" dataDxfId="84" totalsRowDxfId="83" totalsRowCellStyle="ปกติ"/>
    <tableColumn id="9" xr3:uid="{00000000-0010-0000-0B00-000009000000}" name="8" totalsRowFunction="count" dataDxfId="82" totalsRowDxfId="81" totalsRowCellStyle="ปกติ"/>
    <tableColumn id="10" xr3:uid="{00000000-0010-0000-0B00-00000A000000}" name="9" totalsRowFunction="count" dataDxfId="80" totalsRowDxfId="79" totalsRowCellStyle="ปกติ"/>
    <tableColumn id="11" xr3:uid="{00000000-0010-0000-0B00-00000B000000}" name="10" totalsRowFunction="count" dataDxfId="78" totalsRowDxfId="77" totalsRowCellStyle="ปกติ"/>
    <tableColumn id="12" xr3:uid="{00000000-0010-0000-0B00-00000C000000}" name="11" totalsRowFunction="count" dataDxfId="76" totalsRowDxfId="75" totalsRowCellStyle="ปกติ"/>
    <tableColumn id="13" xr3:uid="{00000000-0010-0000-0B00-00000D000000}" name="12" totalsRowFunction="count" dataDxfId="74" totalsRowDxfId="73" totalsRowCellStyle="ปกติ"/>
    <tableColumn id="14" xr3:uid="{00000000-0010-0000-0B00-00000E000000}" name="13" totalsRowFunction="count" dataDxfId="72" totalsRowDxfId="71" totalsRowCellStyle="ปกติ"/>
    <tableColumn id="15" xr3:uid="{00000000-0010-0000-0B00-00000F000000}" name="14" totalsRowFunction="count" dataDxfId="70" totalsRowDxfId="69" totalsRowCellStyle="ปกติ"/>
    <tableColumn id="16" xr3:uid="{00000000-0010-0000-0B00-000010000000}" name="15" totalsRowFunction="count" dataDxfId="68" totalsRowDxfId="67" totalsRowCellStyle="ปกติ"/>
    <tableColumn id="17" xr3:uid="{00000000-0010-0000-0B00-000011000000}" name="16" totalsRowFunction="count" dataDxfId="66" totalsRowDxfId="65" totalsRowCellStyle="ปกติ"/>
    <tableColumn id="18" xr3:uid="{00000000-0010-0000-0B00-000012000000}" name="17" totalsRowFunction="count" dataDxfId="64" totalsRowDxfId="63" totalsRowCellStyle="ปกติ"/>
    <tableColumn id="19" xr3:uid="{00000000-0010-0000-0B00-000013000000}" name="18" totalsRowFunction="count" dataDxfId="62" totalsRowDxfId="61" totalsRowCellStyle="ปกติ"/>
    <tableColumn id="20" xr3:uid="{00000000-0010-0000-0B00-000014000000}" name="19" totalsRowFunction="count" dataDxfId="60" totalsRowDxfId="59" totalsRowCellStyle="ปกติ"/>
    <tableColumn id="21" xr3:uid="{00000000-0010-0000-0B00-000015000000}" name="20" totalsRowFunction="count" dataDxfId="58" totalsRowDxfId="57" totalsRowCellStyle="ปกติ"/>
    <tableColumn id="22" xr3:uid="{00000000-0010-0000-0B00-000016000000}" name="21" totalsRowFunction="count" dataDxfId="56" totalsRowDxfId="55" totalsRowCellStyle="ปกติ"/>
    <tableColumn id="23" xr3:uid="{00000000-0010-0000-0B00-000017000000}" name="22" totalsRowFunction="count" dataDxfId="54" totalsRowDxfId="53" totalsRowCellStyle="ปกติ"/>
    <tableColumn id="24" xr3:uid="{00000000-0010-0000-0B00-000018000000}" name="23" totalsRowFunction="count" dataDxfId="52" totalsRowDxfId="51" totalsRowCellStyle="ปกติ"/>
    <tableColumn id="25" xr3:uid="{00000000-0010-0000-0B00-000019000000}" name="24" totalsRowFunction="count" dataDxfId="50" totalsRowDxfId="49" totalsRowCellStyle="ปกติ"/>
    <tableColumn id="26" xr3:uid="{00000000-0010-0000-0B00-00001A000000}" name="25" totalsRowFunction="count" dataDxfId="48" totalsRowDxfId="47" totalsRowCellStyle="ปกติ"/>
    <tableColumn id="27" xr3:uid="{00000000-0010-0000-0B00-00001B000000}" name="26" totalsRowFunction="count" dataDxfId="46" totalsRowDxfId="45" totalsRowCellStyle="ปกติ"/>
    <tableColumn id="28" xr3:uid="{00000000-0010-0000-0B00-00001C000000}" name="27" totalsRowFunction="count" dataDxfId="44" totalsRowDxfId="43" totalsRowCellStyle="ปกติ"/>
    <tableColumn id="29" xr3:uid="{00000000-0010-0000-0B00-00001D000000}" name="28" totalsRowFunction="count" dataDxfId="42" totalsRowDxfId="41" totalsRowCellStyle="ปกติ"/>
    <tableColumn id="30" xr3:uid="{00000000-0010-0000-0B00-00001E000000}" name="29" totalsRowFunction="count" dataDxfId="40" totalsRowDxfId="39" totalsRowCellStyle="ปกติ"/>
    <tableColumn id="31" xr3:uid="{00000000-0010-0000-0B00-00001F000000}" name="30" totalsRowFunction="count" dataDxfId="38" totalsRowDxfId="37" totalsRowCellStyle="ปกติ"/>
    <tableColumn id="32" xr3:uid="{00000000-0010-0000-0B00-000020000000}" name="31" totalsRowFunction="count" dataDxfId="36" totalsRowDxfId="35" totalsRowCellStyle="ปกติ"/>
    <tableColumn id="33" xr3:uid="{00000000-0010-0000-0B00-000021000000}" name="จำนวนวัน:" totalsRowFunction="sum" dataDxfId="34" totalsRowDxfId="33" dataCellStyle="ผลรวม" totalsRowCellStyle="ปกติ">
      <calculatedColumnFormula>COUNTA(ธันวาคม[[#This Row],[1]:[31]])</calculatedColumnFormula>
    </tableColumn>
  </tableColumns>
  <tableStyleInfo name="ตารางการขาดงานของพนักงาน" showFirstColumn="1" showLastColumn="1" showRowStripes="1" showColumnStripes="0"/>
  <extLst>
    <ext xmlns:x14="http://schemas.microsoft.com/office/spreadsheetml/2009/9/main" uri="{504A1905-F514-4f6f-8877-14C23A59335A}">
      <x14:table altTextSummary="ใส่รายการชื่อและวันที่ปฏิทินเพื่อบันทึกการขาดงานของพนักงานและระบุประเภทการขาดงาน เช่น V=ลาพักร้อน, S=ลาป่วย, P=ลากิจ และพื้นที่ที่สำรองไว้สองรายการสำหรับรายการที่กำหนดเอง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EmployeeName" displayName="EmployeeName" ref="B3:B8" totalsRowShown="0">
  <autoFilter ref="B3:B8" xr:uid="{00000000-0009-0000-0100-00000D000000}"/>
  <tableColumns count="1">
    <tableColumn id="1" xr3:uid="{00000000-0010-0000-0C00-000001000000}" name="ชื่อพนักงาน" dataCellStyle="พนักงาน"/>
  </tableColumns>
  <tableStyleInfo name="ตารางการขาดงานของพนักงาน" showFirstColumn="1" showLastColumn="1" showRowStripes="1" showColumnStripes="0"/>
  <extLst>
    <ext xmlns:x14="http://schemas.microsoft.com/office/spreadsheetml/2009/9/main" uri="{504A1905-F514-4f6f-8877-14C23A59335A}">
      <x14:table altTextSummary="ใส่ชื่อพนักงานในตารางนี้ ชื่อเหล่านี้จะถูกใช้เป็นตัวเลือกในคอลัมน์ B ของกำหนดการการขาดงานในแต่ละเดือน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กุมภาพันธ์" displayName="กุมภาพันธ์" ref="B6:AH12" totalsRowCount="1" headerRowDxfId="841" dataDxfId="840" totalsRowDxfId="839">
  <tableColumns count="33">
    <tableColumn id="1" xr3:uid="{00000000-0010-0000-0100-000001000000}" name="ชื่อพนักงาน" totalsRowFunction="custom" dataDxfId="838" totalsRowDxfId="837" dataCellStyle="พนักงาน">
      <totalsRowFormula>MonthName&amp;" ผลรวม"</totalsRowFormula>
    </tableColumn>
    <tableColumn id="2" xr3:uid="{00000000-0010-0000-0100-000002000000}" name="1" totalsRowFunction="count" dataDxfId="836" totalsRowDxfId="835" totalsRowCellStyle="ปกติ"/>
    <tableColumn id="3" xr3:uid="{00000000-0010-0000-0100-000003000000}" name="2" totalsRowFunction="count" dataDxfId="834" totalsRowDxfId="833" totalsRowCellStyle="ปกติ"/>
    <tableColumn id="4" xr3:uid="{00000000-0010-0000-0100-000004000000}" name="3" totalsRowFunction="count" dataDxfId="832" totalsRowDxfId="831" totalsRowCellStyle="ปกติ"/>
    <tableColumn id="5" xr3:uid="{00000000-0010-0000-0100-000005000000}" name="4" totalsRowFunction="count" dataDxfId="830" totalsRowDxfId="829" totalsRowCellStyle="ปกติ"/>
    <tableColumn id="6" xr3:uid="{00000000-0010-0000-0100-000006000000}" name="5" totalsRowFunction="count" dataDxfId="828" totalsRowDxfId="827" totalsRowCellStyle="ปกติ"/>
    <tableColumn id="7" xr3:uid="{00000000-0010-0000-0100-000007000000}" name="6" totalsRowFunction="count" dataDxfId="826" totalsRowDxfId="825" totalsRowCellStyle="ปกติ"/>
    <tableColumn id="8" xr3:uid="{00000000-0010-0000-0100-000008000000}" name="7" totalsRowFunction="count" dataDxfId="824" totalsRowDxfId="823" totalsRowCellStyle="ปกติ"/>
    <tableColumn id="9" xr3:uid="{00000000-0010-0000-0100-000009000000}" name="8" totalsRowFunction="count" dataDxfId="822" totalsRowDxfId="821" totalsRowCellStyle="ปกติ"/>
    <tableColumn id="10" xr3:uid="{00000000-0010-0000-0100-00000A000000}" name="9" totalsRowFunction="count" dataDxfId="820" totalsRowDxfId="819" totalsRowCellStyle="ปกติ"/>
    <tableColumn id="11" xr3:uid="{00000000-0010-0000-0100-00000B000000}" name="10" totalsRowFunction="count" dataDxfId="818" totalsRowDxfId="817" totalsRowCellStyle="ปกติ"/>
    <tableColumn id="12" xr3:uid="{00000000-0010-0000-0100-00000C000000}" name="11" totalsRowFunction="count" dataDxfId="816" totalsRowDxfId="815" totalsRowCellStyle="ปกติ"/>
    <tableColumn id="13" xr3:uid="{00000000-0010-0000-0100-00000D000000}" name="12" totalsRowFunction="count" dataDxfId="814" totalsRowDxfId="813" totalsRowCellStyle="ปกติ"/>
    <tableColumn id="14" xr3:uid="{00000000-0010-0000-0100-00000E000000}" name="13" totalsRowFunction="count" dataDxfId="812" totalsRowDxfId="811" totalsRowCellStyle="ปกติ"/>
    <tableColumn id="15" xr3:uid="{00000000-0010-0000-0100-00000F000000}" name="14" totalsRowFunction="count" dataDxfId="810" totalsRowDxfId="809" totalsRowCellStyle="ปกติ"/>
    <tableColumn id="16" xr3:uid="{00000000-0010-0000-0100-000010000000}" name="15" totalsRowFunction="count" dataDxfId="808" totalsRowDxfId="807" totalsRowCellStyle="ปกติ"/>
    <tableColumn id="17" xr3:uid="{00000000-0010-0000-0100-000011000000}" name="16" totalsRowFunction="count" dataDxfId="806" totalsRowDxfId="805" totalsRowCellStyle="ปกติ"/>
    <tableColumn id="18" xr3:uid="{00000000-0010-0000-0100-000012000000}" name="17" totalsRowFunction="count" dataDxfId="804" totalsRowDxfId="803" totalsRowCellStyle="ปกติ"/>
    <tableColumn id="19" xr3:uid="{00000000-0010-0000-0100-000013000000}" name="18" totalsRowFunction="count" dataDxfId="802" totalsRowDxfId="801" totalsRowCellStyle="ปกติ"/>
    <tableColumn id="20" xr3:uid="{00000000-0010-0000-0100-000014000000}" name="19" totalsRowFunction="count" dataDxfId="800" totalsRowDxfId="799" totalsRowCellStyle="ปกติ"/>
    <tableColumn id="21" xr3:uid="{00000000-0010-0000-0100-000015000000}" name="20" totalsRowFunction="count" dataDxfId="798" totalsRowDxfId="797" totalsRowCellStyle="ปกติ"/>
    <tableColumn id="22" xr3:uid="{00000000-0010-0000-0100-000016000000}" name="21" totalsRowFunction="count" dataDxfId="796" totalsRowDxfId="795" totalsRowCellStyle="ปกติ"/>
    <tableColumn id="23" xr3:uid="{00000000-0010-0000-0100-000017000000}" name="22" totalsRowFunction="count" dataDxfId="794" totalsRowDxfId="793" totalsRowCellStyle="ปกติ"/>
    <tableColumn id="24" xr3:uid="{00000000-0010-0000-0100-000018000000}" name="23" totalsRowFunction="count" dataDxfId="792" totalsRowDxfId="791" totalsRowCellStyle="ปกติ"/>
    <tableColumn id="25" xr3:uid="{00000000-0010-0000-0100-000019000000}" name="24" totalsRowFunction="count" dataDxfId="790" totalsRowDxfId="789" totalsRowCellStyle="ปกติ"/>
    <tableColumn id="26" xr3:uid="{00000000-0010-0000-0100-00001A000000}" name="25" totalsRowFunction="count" dataDxfId="788" totalsRowDxfId="787" totalsRowCellStyle="ปกติ"/>
    <tableColumn id="27" xr3:uid="{00000000-0010-0000-0100-00001B000000}" name="26" totalsRowFunction="count" dataDxfId="786" totalsRowDxfId="785" totalsRowCellStyle="ปกติ"/>
    <tableColumn id="28" xr3:uid="{00000000-0010-0000-0100-00001C000000}" name="27" totalsRowFunction="count" dataDxfId="784" totalsRowDxfId="783" totalsRowCellStyle="ปกติ"/>
    <tableColumn id="29" xr3:uid="{00000000-0010-0000-0100-00001D000000}" name="28" totalsRowFunction="count" dataDxfId="782" totalsRowDxfId="781" totalsRowCellStyle="ปกติ"/>
    <tableColumn id="30" xr3:uid="{00000000-0010-0000-0100-00001E000000}" name="29" totalsRowFunction="count" dataDxfId="780" totalsRowDxfId="779" totalsRowCellStyle="ปกติ"/>
    <tableColumn id="31" xr3:uid="{00000000-0010-0000-0100-00001F000000}" name=" " dataDxfId="778" totalsRowDxfId="777" totalsRowCellStyle="ปกติ"/>
    <tableColumn id="32" xr3:uid="{00000000-0010-0000-0100-000020000000}" name="  " dataDxfId="776" totalsRowDxfId="775" totalsRowCellStyle="ปกติ"/>
    <tableColumn id="33" xr3:uid="{00000000-0010-0000-0100-000021000000}" name="จำนวนวัน:" totalsRowFunction="sum" dataDxfId="774" totalsRowDxfId="773" dataCellStyle="ผลรวม" totalsRowCellStyle="ปกติ">
      <calculatedColumnFormula>COUNTA(กุมภาพันธ์[[#This Row],[1]:[29]])</calculatedColumnFormula>
    </tableColumn>
  </tableColumns>
  <tableStyleInfo name="ตารางการขาดงานของพนักงาน" showFirstColumn="1" showLastColumn="1" showRowStripes="1" showColumnStripes="0"/>
  <extLst>
    <ext xmlns:x14="http://schemas.microsoft.com/office/spreadsheetml/2009/9/main" uri="{504A1905-F514-4f6f-8877-14C23A59335A}">
      <x14:table altTextSummary="ใส่ชื่อพนักงานและวันที่ที่ขาดงาน บันทึกประเภทการขาดงานของแต่ละคีย์ในแถว 12: V=ลาพักร้อน, S=ลาป่วย, P=ลากิจ และพื้นที่ที่สำรองไว้สองรายการสำหรับรายการแบบกำหนดเอง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2000000}" name="มีนาคม" displayName="มีนาคม" ref="B6:AH12" totalsRowCount="1" headerRowDxfId="767" dataDxfId="766" totalsRowDxfId="765">
  <tableColumns count="33">
    <tableColumn id="1" xr3:uid="{00000000-0010-0000-0200-000001000000}" name="ชื่อพนักงาน" totalsRowFunction="custom" dataDxfId="764" totalsRowDxfId="763" dataCellStyle="พนักงาน">
      <totalsRowFormula>MonthName&amp;" ผลรวม"</totalsRowFormula>
    </tableColumn>
    <tableColumn id="2" xr3:uid="{00000000-0010-0000-0200-000002000000}" name="1" totalsRowFunction="count" dataDxfId="762" totalsRowDxfId="761" totalsRowCellStyle="ปกติ"/>
    <tableColumn id="3" xr3:uid="{00000000-0010-0000-0200-000003000000}" name="2" totalsRowFunction="count" dataDxfId="760" totalsRowDxfId="759" totalsRowCellStyle="ปกติ"/>
    <tableColumn id="4" xr3:uid="{00000000-0010-0000-0200-000004000000}" name="3" totalsRowFunction="count" dataDxfId="758" totalsRowDxfId="757" totalsRowCellStyle="ปกติ"/>
    <tableColumn id="5" xr3:uid="{00000000-0010-0000-0200-000005000000}" name="4" totalsRowFunction="count" dataDxfId="756" totalsRowDxfId="755" totalsRowCellStyle="ปกติ"/>
    <tableColumn id="6" xr3:uid="{00000000-0010-0000-0200-000006000000}" name="5" totalsRowFunction="count" dataDxfId="754" totalsRowDxfId="753" totalsRowCellStyle="ปกติ"/>
    <tableColumn id="7" xr3:uid="{00000000-0010-0000-0200-000007000000}" name="6" totalsRowFunction="count" dataDxfId="752" totalsRowDxfId="751" totalsRowCellStyle="ปกติ"/>
    <tableColumn id="8" xr3:uid="{00000000-0010-0000-0200-000008000000}" name="7" totalsRowFunction="count" dataDxfId="750" totalsRowDxfId="749" totalsRowCellStyle="ปกติ"/>
    <tableColumn id="9" xr3:uid="{00000000-0010-0000-0200-000009000000}" name="8" totalsRowFunction="count" dataDxfId="748" totalsRowDxfId="747" totalsRowCellStyle="ปกติ"/>
    <tableColumn id="10" xr3:uid="{00000000-0010-0000-0200-00000A000000}" name="9" totalsRowFunction="count" dataDxfId="746" totalsRowDxfId="745" totalsRowCellStyle="ปกติ"/>
    <tableColumn id="11" xr3:uid="{00000000-0010-0000-0200-00000B000000}" name="10" totalsRowFunction="count" dataDxfId="744" totalsRowDxfId="743" totalsRowCellStyle="ปกติ"/>
    <tableColumn id="12" xr3:uid="{00000000-0010-0000-0200-00000C000000}" name="11" totalsRowFunction="count" dataDxfId="742" totalsRowDxfId="741" totalsRowCellStyle="ปกติ"/>
    <tableColumn id="13" xr3:uid="{00000000-0010-0000-0200-00000D000000}" name="12" totalsRowFunction="count" dataDxfId="740" totalsRowDxfId="739" totalsRowCellStyle="ปกติ"/>
    <tableColumn id="14" xr3:uid="{00000000-0010-0000-0200-00000E000000}" name="13" totalsRowFunction="count" dataDxfId="738" totalsRowDxfId="737" totalsRowCellStyle="ปกติ"/>
    <tableColumn id="15" xr3:uid="{00000000-0010-0000-0200-00000F000000}" name="14" totalsRowFunction="count" dataDxfId="736" totalsRowDxfId="735" totalsRowCellStyle="ปกติ"/>
    <tableColumn id="16" xr3:uid="{00000000-0010-0000-0200-000010000000}" name="15" totalsRowFunction="count" dataDxfId="734" totalsRowDxfId="733" totalsRowCellStyle="ปกติ"/>
    <tableColumn id="17" xr3:uid="{00000000-0010-0000-0200-000011000000}" name="16" totalsRowFunction="count" dataDxfId="732" totalsRowDxfId="731" totalsRowCellStyle="ปกติ"/>
    <tableColumn id="18" xr3:uid="{00000000-0010-0000-0200-000012000000}" name="17" totalsRowFunction="count" dataDxfId="730" totalsRowDxfId="729" totalsRowCellStyle="ปกติ"/>
    <tableColumn id="19" xr3:uid="{00000000-0010-0000-0200-000013000000}" name="18" totalsRowFunction="count" dataDxfId="728" totalsRowDxfId="727" totalsRowCellStyle="ปกติ"/>
    <tableColumn id="20" xr3:uid="{00000000-0010-0000-0200-000014000000}" name="19" totalsRowFunction="count" dataDxfId="726" totalsRowDxfId="725" totalsRowCellStyle="ปกติ"/>
    <tableColumn id="21" xr3:uid="{00000000-0010-0000-0200-000015000000}" name="20" totalsRowFunction="count" dataDxfId="724" totalsRowDxfId="723" totalsRowCellStyle="ปกติ"/>
    <tableColumn id="22" xr3:uid="{00000000-0010-0000-0200-000016000000}" name="21" totalsRowFunction="count" dataDxfId="722" totalsRowDxfId="721" totalsRowCellStyle="ปกติ"/>
    <tableColumn id="23" xr3:uid="{00000000-0010-0000-0200-000017000000}" name="22" totalsRowFunction="count" dataDxfId="720" totalsRowDxfId="719" totalsRowCellStyle="ปกติ"/>
    <tableColumn id="24" xr3:uid="{00000000-0010-0000-0200-000018000000}" name="23" totalsRowFunction="count" dataDxfId="718" totalsRowDxfId="717" totalsRowCellStyle="ปกติ"/>
    <tableColumn id="25" xr3:uid="{00000000-0010-0000-0200-000019000000}" name="24" totalsRowFunction="count" dataDxfId="716" totalsRowDxfId="715" totalsRowCellStyle="ปกติ"/>
    <tableColumn id="26" xr3:uid="{00000000-0010-0000-0200-00001A000000}" name="25" totalsRowFunction="count" dataDxfId="714" totalsRowDxfId="713" totalsRowCellStyle="ปกติ"/>
    <tableColumn id="27" xr3:uid="{00000000-0010-0000-0200-00001B000000}" name="26" totalsRowFunction="count" dataDxfId="712" totalsRowDxfId="711" totalsRowCellStyle="ปกติ"/>
    <tableColumn id="28" xr3:uid="{00000000-0010-0000-0200-00001C000000}" name="27" totalsRowFunction="count" dataDxfId="710" totalsRowDxfId="709" totalsRowCellStyle="ปกติ"/>
    <tableColumn id="29" xr3:uid="{00000000-0010-0000-0200-00001D000000}" name="28" totalsRowFunction="count" dataDxfId="708" totalsRowDxfId="707" totalsRowCellStyle="ปกติ"/>
    <tableColumn id="30" xr3:uid="{00000000-0010-0000-0200-00001E000000}" name="29" totalsRowFunction="count" dataDxfId="706" totalsRowDxfId="705" totalsRowCellStyle="ปกติ"/>
    <tableColumn id="31" xr3:uid="{00000000-0010-0000-0200-00001F000000}" name="30" totalsRowFunction="count" dataDxfId="704" totalsRowDxfId="703" totalsRowCellStyle="ปกติ"/>
    <tableColumn id="32" xr3:uid="{00000000-0010-0000-0200-000020000000}" name="31" totalsRowFunction="count" dataDxfId="702" totalsRowDxfId="701" totalsRowCellStyle="ปกติ"/>
    <tableColumn id="33" xr3:uid="{00000000-0010-0000-0200-000021000000}" name="จำนวนวัน:" totalsRowFunction="sum" dataDxfId="700" totalsRowDxfId="699" dataCellStyle="ผลรวม" totalsRowCellStyle="ปกติ">
      <calculatedColumnFormula>COUNTA(มีนาคม[[#This Row],[1]:[31]])</calculatedColumnFormula>
    </tableColumn>
  </tableColumns>
  <tableStyleInfo name="ตารางการขาดงานของพนักงาน" showFirstColumn="1" showLastColumn="1" showRowStripes="1" showColumnStripes="0"/>
  <extLst>
    <ext xmlns:x14="http://schemas.microsoft.com/office/spreadsheetml/2009/9/main" uri="{504A1905-F514-4f6f-8877-14C23A59335A}">
      <x14:table altTextSummary="ใส่ชื่อพนักงานและวันที่ที่ขาดงาน บันทึกประเภทการขาดงานของแต่ละคีย์ในแถว 12: V=ลาพักร้อน, S=ลาป่วย, P=ลากิจ และพื้นที่ที่สำรองไว้สองรายการสำหรับรายการแบบกำหนดเอง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3000000}" name="เมษายน" displayName="เมษายน" ref="B6:AH12" totalsRowCount="1" headerRowDxfId="693" dataDxfId="692" totalsRowDxfId="691">
  <tableColumns count="33">
    <tableColumn id="1" xr3:uid="{00000000-0010-0000-0300-000001000000}" name="ชื่อพนักงาน" totalsRowFunction="custom" dataDxfId="690" totalsRowDxfId="689" dataCellStyle="พนักงาน">
      <totalsRowFormula>MonthName&amp;" ผลรวม"</totalsRowFormula>
    </tableColumn>
    <tableColumn id="2" xr3:uid="{00000000-0010-0000-0300-000002000000}" name="1" totalsRowFunction="count" dataDxfId="688" totalsRowDxfId="687" totalsRowCellStyle="ปกติ"/>
    <tableColumn id="3" xr3:uid="{00000000-0010-0000-0300-000003000000}" name="2" totalsRowFunction="count" dataDxfId="686" totalsRowDxfId="685" totalsRowCellStyle="ปกติ"/>
    <tableColumn id="4" xr3:uid="{00000000-0010-0000-0300-000004000000}" name="3" totalsRowFunction="count" dataDxfId="684" totalsRowDxfId="683" totalsRowCellStyle="ปกติ"/>
    <tableColumn id="5" xr3:uid="{00000000-0010-0000-0300-000005000000}" name="4" totalsRowFunction="count" dataDxfId="682" totalsRowDxfId="681" totalsRowCellStyle="ปกติ"/>
    <tableColumn id="6" xr3:uid="{00000000-0010-0000-0300-000006000000}" name="5" totalsRowFunction="count" dataDxfId="680" totalsRowDxfId="679" totalsRowCellStyle="ปกติ"/>
    <tableColumn id="7" xr3:uid="{00000000-0010-0000-0300-000007000000}" name="6" totalsRowFunction="count" dataDxfId="678" totalsRowDxfId="677" totalsRowCellStyle="ปกติ"/>
    <tableColumn id="8" xr3:uid="{00000000-0010-0000-0300-000008000000}" name="7" totalsRowFunction="count" dataDxfId="676" totalsRowDxfId="675" totalsRowCellStyle="ปกติ"/>
    <tableColumn id="9" xr3:uid="{00000000-0010-0000-0300-000009000000}" name="8" totalsRowFunction="count" dataDxfId="674" totalsRowDxfId="673" totalsRowCellStyle="ปกติ"/>
    <tableColumn id="10" xr3:uid="{00000000-0010-0000-0300-00000A000000}" name="9" totalsRowFunction="count" dataDxfId="672" totalsRowDxfId="671" totalsRowCellStyle="ปกติ"/>
    <tableColumn id="11" xr3:uid="{00000000-0010-0000-0300-00000B000000}" name="10" totalsRowFunction="count" dataDxfId="670" totalsRowDxfId="669" totalsRowCellStyle="ปกติ"/>
    <tableColumn id="12" xr3:uid="{00000000-0010-0000-0300-00000C000000}" name="11" totalsRowFunction="count" dataDxfId="668" totalsRowDxfId="667" totalsRowCellStyle="ปกติ"/>
    <tableColumn id="13" xr3:uid="{00000000-0010-0000-0300-00000D000000}" name="12" totalsRowFunction="count" dataDxfId="666" totalsRowDxfId="665" totalsRowCellStyle="ปกติ"/>
    <tableColumn id="14" xr3:uid="{00000000-0010-0000-0300-00000E000000}" name="13" totalsRowFunction="count" dataDxfId="664" totalsRowDxfId="663" totalsRowCellStyle="ปกติ"/>
    <tableColumn id="15" xr3:uid="{00000000-0010-0000-0300-00000F000000}" name="14" totalsRowFunction="count" dataDxfId="662" totalsRowDxfId="661" totalsRowCellStyle="ปกติ"/>
    <tableColumn id="16" xr3:uid="{00000000-0010-0000-0300-000010000000}" name="15" totalsRowFunction="count" dataDxfId="660" totalsRowDxfId="659" totalsRowCellStyle="ปกติ"/>
    <tableColumn id="17" xr3:uid="{00000000-0010-0000-0300-000011000000}" name="16" totalsRowFunction="count" dataDxfId="658" totalsRowDxfId="657" totalsRowCellStyle="ปกติ"/>
    <tableColumn id="18" xr3:uid="{00000000-0010-0000-0300-000012000000}" name="17" totalsRowFunction="count" dataDxfId="656" totalsRowDxfId="655" totalsRowCellStyle="ปกติ"/>
    <tableColumn id="19" xr3:uid="{00000000-0010-0000-0300-000013000000}" name="18" totalsRowFunction="count" dataDxfId="654" totalsRowDxfId="653" totalsRowCellStyle="ปกติ"/>
    <tableColumn id="20" xr3:uid="{00000000-0010-0000-0300-000014000000}" name="19" totalsRowFunction="count" dataDxfId="652" totalsRowDxfId="651" totalsRowCellStyle="ปกติ"/>
    <tableColumn id="21" xr3:uid="{00000000-0010-0000-0300-000015000000}" name="20" totalsRowFunction="count" dataDxfId="650" totalsRowDxfId="649" totalsRowCellStyle="ปกติ"/>
    <tableColumn id="22" xr3:uid="{00000000-0010-0000-0300-000016000000}" name="21" totalsRowFunction="count" dataDxfId="648" totalsRowDxfId="647" totalsRowCellStyle="ปกติ"/>
    <tableColumn id="23" xr3:uid="{00000000-0010-0000-0300-000017000000}" name="22" totalsRowFunction="count" dataDxfId="646" totalsRowDxfId="645" totalsRowCellStyle="ปกติ"/>
    <tableColumn id="24" xr3:uid="{00000000-0010-0000-0300-000018000000}" name="23" totalsRowFunction="count" dataDxfId="644" totalsRowDxfId="643" totalsRowCellStyle="ปกติ"/>
    <tableColumn id="25" xr3:uid="{00000000-0010-0000-0300-000019000000}" name="24" totalsRowFunction="count" dataDxfId="642" totalsRowDxfId="641" totalsRowCellStyle="ปกติ"/>
    <tableColumn id="26" xr3:uid="{00000000-0010-0000-0300-00001A000000}" name="25" totalsRowFunction="count" dataDxfId="640" totalsRowDxfId="639" totalsRowCellStyle="ปกติ"/>
    <tableColumn id="27" xr3:uid="{00000000-0010-0000-0300-00001B000000}" name="26" totalsRowFunction="count" dataDxfId="638" totalsRowDxfId="637" totalsRowCellStyle="ปกติ"/>
    <tableColumn id="28" xr3:uid="{00000000-0010-0000-0300-00001C000000}" name="27" totalsRowFunction="count" dataDxfId="636" totalsRowDxfId="635" totalsRowCellStyle="ปกติ"/>
    <tableColumn id="29" xr3:uid="{00000000-0010-0000-0300-00001D000000}" name="28" totalsRowFunction="count" dataDxfId="634" totalsRowDxfId="633" totalsRowCellStyle="ปกติ"/>
    <tableColumn id="30" xr3:uid="{00000000-0010-0000-0300-00001E000000}" name="29" totalsRowFunction="count" dataDxfId="632" totalsRowDxfId="631" totalsRowCellStyle="ปกติ"/>
    <tableColumn id="31" xr3:uid="{00000000-0010-0000-0300-00001F000000}" name="30" totalsRowFunction="count" dataDxfId="630" totalsRowDxfId="629" totalsRowCellStyle="ปกติ"/>
    <tableColumn id="32" xr3:uid="{00000000-0010-0000-0300-000020000000}" name=" " totalsRowFunction="custom" dataDxfId="628" totalsRowDxfId="627" totalsRowCellStyle="ปกติ">
      <totalsRowFormula>SUBTOTAL(103,เมษายน[30])</totalsRowFormula>
    </tableColumn>
    <tableColumn id="33" xr3:uid="{00000000-0010-0000-0300-000021000000}" name="จำนวนวัน:" totalsRowFunction="sum" dataDxfId="626" totalsRowDxfId="625" dataCellStyle="ผลรวม" totalsRowCellStyle="ปกติ">
      <calculatedColumnFormula>COUNTA(เมษายน[[#This Row],[1]:[30]])</calculatedColumnFormula>
    </tableColumn>
  </tableColumns>
  <tableStyleInfo name="ตารางการขาดงานของพนักงาน" showFirstColumn="1" showLastColumn="1" showRowStripes="1" showColumnStripes="0"/>
  <extLst>
    <ext xmlns:x14="http://schemas.microsoft.com/office/spreadsheetml/2009/9/main" uri="{504A1905-F514-4f6f-8877-14C23A59335A}">
      <x14:table altTextSummary="ใส่ชื่อพนักงานและวันที่ที่ขาดงาน บันทึกประเภทการขาดงานของแต่ละคีย์ในแถว 12: V=ลาพักร้อน, S=ลาป่วย, P=ลากิจ และพื้นที่ที่สำรองไว้สองรายการสำหรับรายการแบบกำหนดเอง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4000000}" name="พฤษภาคม" displayName="พฤษภาคม" ref="B6:AH12" totalsRowCount="1" headerRowDxfId="619" dataDxfId="618" totalsRowDxfId="617">
  <tableColumns count="33">
    <tableColumn id="1" xr3:uid="{00000000-0010-0000-0400-000001000000}" name="ชื่อพนักงาน" totalsRowFunction="custom" dataDxfId="616" totalsRowDxfId="615" dataCellStyle="พนักงาน">
      <totalsRowFormula>MonthName&amp;" ผลรวม"</totalsRowFormula>
    </tableColumn>
    <tableColumn id="2" xr3:uid="{00000000-0010-0000-0400-000002000000}" name="1" totalsRowFunction="count" dataDxfId="614" totalsRowDxfId="613" totalsRowCellStyle="ปกติ"/>
    <tableColumn id="3" xr3:uid="{00000000-0010-0000-0400-000003000000}" name="2" totalsRowFunction="count" dataDxfId="612" totalsRowDxfId="611" totalsRowCellStyle="ปกติ"/>
    <tableColumn id="4" xr3:uid="{00000000-0010-0000-0400-000004000000}" name="3" totalsRowFunction="count" dataDxfId="610" totalsRowDxfId="609" totalsRowCellStyle="ปกติ"/>
    <tableColumn id="5" xr3:uid="{00000000-0010-0000-0400-000005000000}" name="4" totalsRowFunction="count" dataDxfId="608" totalsRowDxfId="607" totalsRowCellStyle="ปกติ"/>
    <tableColumn id="6" xr3:uid="{00000000-0010-0000-0400-000006000000}" name="5" totalsRowFunction="count" dataDxfId="606" totalsRowDxfId="605" totalsRowCellStyle="ปกติ"/>
    <tableColumn id="7" xr3:uid="{00000000-0010-0000-0400-000007000000}" name="6" totalsRowFunction="count" dataDxfId="604" totalsRowDxfId="603" totalsRowCellStyle="ปกติ"/>
    <tableColumn id="8" xr3:uid="{00000000-0010-0000-0400-000008000000}" name="7" totalsRowFunction="count" dataDxfId="602" totalsRowDxfId="601" totalsRowCellStyle="ปกติ"/>
    <tableColumn id="9" xr3:uid="{00000000-0010-0000-0400-000009000000}" name="8" totalsRowFunction="count" dataDxfId="600" totalsRowDxfId="599" totalsRowCellStyle="ปกติ"/>
    <tableColumn id="10" xr3:uid="{00000000-0010-0000-0400-00000A000000}" name="9" totalsRowFunction="count" dataDxfId="598" totalsRowDxfId="597" totalsRowCellStyle="ปกติ"/>
    <tableColumn id="11" xr3:uid="{00000000-0010-0000-0400-00000B000000}" name="10" totalsRowFunction="count" dataDxfId="596" totalsRowDxfId="595" totalsRowCellStyle="ปกติ"/>
    <tableColumn id="12" xr3:uid="{00000000-0010-0000-0400-00000C000000}" name="11" totalsRowFunction="count" dataDxfId="594" totalsRowDxfId="593" totalsRowCellStyle="ปกติ"/>
    <tableColumn id="13" xr3:uid="{00000000-0010-0000-0400-00000D000000}" name="12" totalsRowFunction="count" dataDxfId="592" totalsRowDxfId="591" totalsRowCellStyle="ปกติ"/>
    <tableColumn id="14" xr3:uid="{00000000-0010-0000-0400-00000E000000}" name="13" totalsRowFunction="count" dataDxfId="590" totalsRowDxfId="589" totalsRowCellStyle="ปกติ"/>
    <tableColumn id="15" xr3:uid="{00000000-0010-0000-0400-00000F000000}" name="14" totalsRowFunction="count" dataDxfId="588" totalsRowDxfId="587" totalsRowCellStyle="ปกติ"/>
    <tableColumn id="16" xr3:uid="{00000000-0010-0000-0400-000010000000}" name="15" totalsRowFunction="count" dataDxfId="586" totalsRowDxfId="585" totalsRowCellStyle="ปกติ"/>
    <tableColumn id="17" xr3:uid="{00000000-0010-0000-0400-000011000000}" name="16" totalsRowFunction="count" dataDxfId="584" totalsRowDxfId="583" totalsRowCellStyle="ปกติ"/>
    <tableColumn id="18" xr3:uid="{00000000-0010-0000-0400-000012000000}" name="17" totalsRowFunction="count" dataDxfId="582" totalsRowDxfId="581" totalsRowCellStyle="ปกติ"/>
    <tableColumn id="19" xr3:uid="{00000000-0010-0000-0400-000013000000}" name="18" totalsRowFunction="count" dataDxfId="580" totalsRowDxfId="579" totalsRowCellStyle="ปกติ"/>
    <tableColumn id="20" xr3:uid="{00000000-0010-0000-0400-000014000000}" name="19" totalsRowFunction="count" dataDxfId="578" totalsRowDxfId="577" totalsRowCellStyle="ปกติ"/>
    <tableColumn id="21" xr3:uid="{00000000-0010-0000-0400-000015000000}" name="20" totalsRowFunction="count" dataDxfId="576" totalsRowDxfId="575" totalsRowCellStyle="ปกติ"/>
    <tableColumn id="22" xr3:uid="{00000000-0010-0000-0400-000016000000}" name="21" totalsRowFunction="count" dataDxfId="574" totalsRowDxfId="573" totalsRowCellStyle="ปกติ"/>
    <tableColumn id="23" xr3:uid="{00000000-0010-0000-0400-000017000000}" name="22" totalsRowFunction="count" dataDxfId="572" totalsRowDxfId="571" totalsRowCellStyle="ปกติ"/>
    <tableColumn id="24" xr3:uid="{00000000-0010-0000-0400-000018000000}" name="23" totalsRowFunction="count" dataDxfId="570" totalsRowDxfId="569" totalsRowCellStyle="ปกติ"/>
    <tableColumn id="25" xr3:uid="{00000000-0010-0000-0400-000019000000}" name="24" totalsRowFunction="count" dataDxfId="568" totalsRowDxfId="567" totalsRowCellStyle="ปกติ"/>
    <tableColumn id="26" xr3:uid="{00000000-0010-0000-0400-00001A000000}" name="25" totalsRowFunction="count" dataDxfId="566" totalsRowDxfId="565" totalsRowCellStyle="ปกติ"/>
    <tableColumn id="27" xr3:uid="{00000000-0010-0000-0400-00001B000000}" name="26" totalsRowFunction="count" dataDxfId="564" totalsRowDxfId="563" totalsRowCellStyle="ปกติ"/>
    <tableColumn id="28" xr3:uid="{00000000-0010-0000-0400-00001C000000}" name="27" totalsRowFunction="count" dataDxfId="562" totalsRowDxfId="561" totalsRowCellStyle="ปกติ"/>
    <tableColumn id="29" xr3:uid="{00000000-0010-0000-0400-00001D000000}" name="28" totalsRowFunction="count" dataDxfId="560" totalsRowDxfId="559" totalsRowCellStyle="ปกติ"/>
    <tableColumn id="30" xr3:uid="{00000000-0010-0000-0400-00001E000000}" name="29" totalsRowFunction="count" dataDxfId="558" totalsRowDxfId="557" totalsRowCellStyle="ปกติ"/>
    <tableColumn id="31" xr3:uid="{00000000-0010-0000-0400-00001F000000}" name="30" totalsRowFunction="count" dataDxfId="556" totalsRowDxfId="555" totalsRowCellStyle="ปกติ"/>
    <tableColumn id="32" xr3:uid="{00000000-0010-0000-0400-000020000000}" name="31" totalsRowFunction="count" dataDxfId="554" totalsRowDxfId="553" totalsRowCellStyle="ปกติ"/>
    <tableColumn id="33" xr3:uid="{00000000-0010-0000-0400-000021000000}" name="จำนวนวัน:" totalsRowFunction="sum" dataDxfId="552" totalsRowDxfId="551" dataCellStyle="ผลรวม" totalsRowCellStyle="ปกติ">
      <calculatedColumnFormula>COUNTA(พฤษภาคม[[#This Row],[1]:[31]])</calculatedColumnFormula>
    </tableColumn>
  </tableColumns>
  <tableStyleInfo name="ตารางการขาดงานของพนักงาน" showFirstColumn="1" showLastColumn="1" showRowStripes="1" showColumnStripes="0"/>
  <extLst>
    <ext xmlns:x14="http://schemas.microsoft.com/office/spreadsheetml/2009/9/main" uri="{504A1905-F514-4f6f-8877-14C23A59335A}">
      <x14:table altTextSummary="ใส่ชื่อพนักงานและวันที่ที่ขาดงาน บันทึกประเภทการขาดงานของแต่ละคีย์ในแถว 12: V=ลาพักร้อน, S=ลาป่วย, P=ลากิจ และพื้นที่ที่สำรองไว้สองรายการสำหรับรายการแบบกำหนดเอง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5000000}" name="มิถุนายน" displayName="มิถุนายน" ref="B6:AH12" totalsRowCount="1" headerRowDxfId="545" dataDxfId="544" totalsRowDxfId="543">
  <tableColumns count="33">
    <tableColumn id="1" xr3:uid="{00000000-0010-0000-0500-000001000000}" name="ชื่อพนักงาน" totalsRowFunction="custom" dataDxfId="542" totalsRowDxfId="541" dataCellStyle="พนักงาน">
      <totalsRowFormula>MonthName&amp;" ผลรวม"</totalsRowFormula>
    </tableColumn>
    <tableColumn id="2" xr3:uid="{00000000-0010-0000-0500-000002000000}" name="1" totalsRowFunction="count" dataDxfId="540" totalsRowDxfId="539" totalsRowCellStyle="ปกติ"/>
    <tableColumn id="3" xr3:uid="{00000000-0010-0000-0500-000003000000}" name="2" totalsRowFunction="count" dataDxfId="538" totalsRowDxfId="537" totalsRowCellStyle="ปกติ"/>
    <tableColumn id="4" xr3:uid="{00000000-0010-0000-0500-000004000000}" name="3" totalsRowFunction="count" dataDxfId="536" totalsRowDxfId="535" totalsRowCellStyle="ปกติ"/>
    <tableColumn id="5" xr3:uid="{00000000-0010-0000-0500-000005000000}" name="4" totalsRowFunction="count" dataDxfId="534" totalsRowDxfId="533" totalsRowCellStyle="ปกติ"/>
    <tableColumn id="6" xr3:uid="{00000000-0010-0000-0500-000006000000}" name="5" totalsRowFunction="count" dataDxfId="532" totalsRowDxfId="531" totalsRowCellStyle="ปกติ"/>
    <tableColumn id="7" xr3:uid="{00000000-0010-0000-0500-000007000000}" name="6" totalsRowFunction="count" dataDxfId="530" totalsRowDxfId="529" totalsRowCellStyle="ปกติ"/>
    <tableColumn id="8" xr3:uid="{00000000-0010-0000-0500-000008000000}" name="7" totalsRowFunction="count" dataDxfId="528" totalsRowDxfId="527" totalsRowCellStyle="ปกติ"/>
    <tableColumn id="9" xr3:uid="{00000000-0010-0000-0500-000009000000}" name="8" totalsRowFunction="count" dataDxfId="526" totalsRowDxfId="525" totalsRowCellStyle="ปกติ"/>
    <tableColumn id="10" xr3:uid="{00000000-0010-0000-0500-00000A000000}" name="9" totalsRowFunction="count" dataDxfId="524" totalsRowDxfId="523" totalsRowCellStyle="ปกติ"/>
    <tableColumn id="11" xr3:uid="{00000000-0010-0000-0500-00000B000000}" name="10" totalsRowFunction="count" dataDxfId="522" totalsRowDxfId="521" totalsRowCellStyle="ปกติ"/>
    <tableColumn id="12" xr3:uid="{00000000-0010-0000-0500-00000C000000}" name="11" totalsRowFunction="count" dataDxfId="520" totalsRowDxfId="519" totalsRowCellStyle="ปกติ"/>
    <tableColumn id="13" xr3:uid="{00000000-0010-0000-0500-00000D000000}" name="12" totalsRowFunction="count" dataDxfId="518" totalsRowDxfId="517" totalsRowCellStyle="ปกติ"/>
    <tableColumn id="14" xr3:uid="{00000000-0010-0000-0500-00000E000000}" name="13" totalsRowFunction="count" dataDxfId="516" totalsRowDxfId="515" totalsRowCellStyle="ปกติ"/>
    <tableColumn id="15" xr3:uid="{00000000-0010-0000-0500-00000F000000}" name="14" totalsRowFunction="count" dataDxfId="514" totalsRowDxfId="513" totalsRowCellStyle="ปกติ"/>
    <tableColumn id="16" xr3:uid="{00000000-0010-0000-0500-000010000000}" name="15" totalsRowFunction="count" dataDxfId="512" totalsRowDxfId="511" totalsRowCellStyle="ปกติ"/>
    <tableColumn id="17" xr3:uid="{00000000-0010-0000-0500-000011000000}" name="16" totalsRowFunction="count" dataDxfId="510" totalsRowDxfId="509" totalsRowCellStyle="ปกติ"/>
    <tableColumn id="18" xr3:uid="{00000000-0010-0000-0500-000012000000}" name="17" totalsRowFunction="count" dataDxfId="508" totalsRowDxfId="507" totalsRowCellStyle="ปกติ"/>
    <tableColumn id="19" xr3:uid="{00000000-0010-0000-0500-000013000000}" name="18" totalsRowFunction="count" dataDxfId="506" totalsRowDxfId="505" totalsRowCellStyle="ปกติ"/>
    <tableColumn id="20" xr3:uid="{00000000-0010-0000-0500-000014000000}" name="19" totalsRowFunction="count" dataDxfId="504" totalsRowDxfId="503" totalsRowCellStyle="ปกติ"/>
    <tableColumn id="21" xr3:uid="{00000000-0010-0000-0500-000015000000}" name="20" totalsRowFunction="count" dataDxfId="502" totalsRowDxfId="501" totalsRowCellStyle="ปกติ"/>
    <tableColumn id="22" xr3:uid="{00000000-0010-0000-0500-000016000000}" name="21" totalsRowFunction="count" dataDxfId="500" totalsRowDxfId="499" totalsRowCellStyle="ปกติ"/>
    <tableColumn id="23" xr3:uid="{00000000-0010-0000-0500-000017000000}" name="22" totalsRowFunction="count" dataDxfId="498" totalsRowDxfId="497" totalsRowCellStyle="ปกติ"/>
    <tableColumn id="24" xr3:uid="{00000000-0010-0000-0500-000018000000}" name="23" totalsRowFunction="count" dataDxfId="496" totalsRowDxfId="495" totalsRowCellStyle="ปกติ"/>
    <tableColumn id="25" xr3:uid="{00000000-0010-0000-0500-000019000000}" name="24" totalsRowFunction="count" dataDxfId="494" totalsRowDxfId="493" totalsRowCellStyle="ปกติ"/>
    <tableColumn id="26" xr3:uid="{00000000-0010-0000-0500-00001A000000}" name="25" totalsRowFunction="count" dataDxfId="492" totalsRowDxfId="491" totalsRowCellStyle="ปกติ"/>
    <tableColumn id="27" xr3:uid="{00000000-0010-0000-0500-00001B000000}" name="26" totalsRowFunction="count" dataDxfId="490" totalsRowDxfId="489" totalsRowCellStyle="ปกติ"/>
    <tableColumn id="28" xr3:uid="{00000000-0010-0000-0500-00001C000000}" name="27" totalsRowFunction="count" dataDxfId="488" totalsRowDxfId="487" totalsRowCellStyle="ปกติ"/>
    <tableColumn id="29" xr3:uid="{00000000-0010-0000-0500-00001D000000}" name="28" totalsRowFunction="count" dataDxfId="486" totalsRowDxfId="485" totalsRowCellStyle="ปกติ"/>
    <tableColumn id="30" xr3:uid="{00000000-0010-0000-0500-00001E000000}" name="29" totalsRowFunction="count" dataDxfId="484" totalsRowDxfId="483" totalsRowCellStyle="ปกติ"/>
    <tableColumn id="31" xr3:uid="{00000000-0010-0000-0500-00001F000000}" name="30" totalsRowFunction="count" dataDxfId="482" totalsRowDxfId="481" totalsRowCellStyle="ปกติ"/>
    <tableColumn id="32" xr3:uid="{00000000-0010-0000-0500-000020000000}" name=" " totalsRowFunction="count" dataDxfId="480" totalsRowDxfId="479" totalsRowCellStyle="ปกติ"/>
    <tableColumn id="33" xr3:uid="{00000000-0010-0000-0500-000021000000}" name="จำนวนวัน:" totalsRowFunction="sum" dataDxfId="478" totalsRowDxfId="477" dataCellStyle="ผลรวม" totalsRowCellStyle="ปกติ">
      <calculatedColumnFormula>COUNTA(มิถุนายน[[#This Row],[1]:[30]])</calculatedColumnFormula>
    </tableColumn>
  </tableColumns>
  <tableStyleInfo name="ตารางการขาดงานของพนักงาน" showFirstColumn="1" showLastColumn="1" showRowStripes="1" showColumnStripes="0"/>
  <extLst>
    <ext xmlns:x14="http://schemas.microsoft.com/office/spreadsheetml/2009/9/main" uri="{504A1905-F514-4f6f-8877-14C23A59335A}">
      <x14:table altTextSummary="ใส่ชื่อพนักงานและวันที่ที่ขาดงาน บันทึกประเภทการขาดงานของแต่ละคีย์ในแถว 12: V=ลาพักร้อน, S=ลาป่วย, P=ลากิจ และพื้นที่ที่สำรองไว้สองรายการสำหรับรายการแบบกำหนดเอง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6000000}" name="กรกฎาคม" displayName="กรกฎาคม" ref="B6:AH12" totalsRowCount="1" headerRowDxfId="471" dataDxfId="470" totalsRowDxfId="469">
  <tableColumns count="33">
    <tableColumn id="1" xr3:uid="{00000000-0010-0000-0600-000001000000}" name="ชื่อพนักงาน" totalsRowFunction="custom" dataDxfId="468" totalsRowDxfId="467" dataCellStyle="พนักงาน">
      <totalsRowFormula>MonthName&amp;" ผลรวม"</totalsRowFormula>
    </tableColumn>
    <tableColumn id="2" xr3:uid="{00000000-0010-0000-0600-000002000000}" name="1" totalsRowFunction="count" dataDxfId="466" totalsRowDxfId="465" totalsRowCellStyle="ปกติ"/>
    <tableColumn id="3" xr3:uid="{00000000-0010-0000-0600-000003000000}" name="2" totalsRowFunction="count" dataDxfId="464" totalsRowDxfId="463" totalsRowCellStyle="ปกติ"/>
    <tableColumn id="4" xr3:uid="{00000000-0010-0000-0600-000004000000}" name="3" totalsRowFunction="count" dataDxfId="462" totalsRowDxfId="461" totalsRowCellStyle="ปกติ"/>
    <tableColumn id="5" xr3:uid="{00000000-0010-0000-0600-000005000000}" name="4" totalsRowFunction="count" dataDxfId="460" totalsRowDxfId="459" totalsRowCellStyle="ปกติ"/>
    <tableColumn id="6" xr3:uid="{00000000-0010-0000-0600-000006000000}" name="5" totalsRowFunction="count" dataDxfId="458" totalsRowDxfId="457" totalsRowCellStyle="ปกติ"/>
    <tableColumn id="7" xr3:uid="{00000000-0010-0000-0600-000007000000}" name="6" totalsRowFunction="count" dataDxfId="456" totalsRowDxfId="455" totalsRowCellStyle="ปกติ"/>
    <tableColumn id="8" xr3:uid="{00000000-0010-0000-0600-000008000000}" name="7" totalsRowFunction="count" dataDxfId="454" totalsRowDxfId="453" totalsRowCellStyle="ปกติ"/>
    <tableColumn id="9" xr3:uid="{00000000-0010-0000-0600-000009000000}" name="8" totalsRowFunction="count" dataDxfId="452" totalsRowDxfId="451" totalsRowCellStyle="ปกติ"/>
    <tableColumn id="10" xr3:uid="{00000000-0010-0000-0600-00000A000000}" name="9" totalsRowFunction="count" dataDxfId="450" totalsRowDxfId="449" totalsRowCellStyle="ปกติ"/>
    <tableColumn id="11" xr3:uid="{00000000-0010-0000-0600-00000B000000}" name="10" totalsRowFunction="count" dataDxfId="448" totalsRowDxfId="447" totalsRowCellStyle="ปกติ"/>
    <tableColumn id="12" xr3:uid="{00000000-0010-0000-0600-00000C000000}" name="11" totalsRowFunction="count" dataDxfId="446" totalsRowDxfId="445" totalsRowCellStyle="ปกติ"/>
    <tableColumn id="13" xr3:uid="{00000000-0010-0000-0600-00000D000000}" name="12" totalsRowFunction="count" dataDxfId="444" totalsRowDxfId="443" totalsRowCellStyle="ปกติ"/>
    <tableColumn id="14" xr3:uid="{00000000-0010-0000-0600-00000E000000}" name="13" totalsRowFunction="count" dataDxfId="442" totalsRowDxfId="441" totalsRowCellStyle="ปกติ"/>
    <tableColumn id="15" xr3:uid="{00000000-0010-0000-0600-00000F000000}" name="14" totalsRowFunction="count" dataDxfId="440" totalsRowDxfId="439" totalsRowCellStyle="ปกติ"/>
    <tableColumn id="16" xr3:uid="{00000000-0010-0000-0600-000010000000}" name="15" totalsRowFunction="count" dataDxfId="438" totalsRowDxfId="437" totalsRowCellStyle="ปกติ"/>
    <tableColumn id="17" xr3:uid="{00000000-0010-0000-0600-000011000000}" name="16" totalsRowFunction="count" dataDxfId="436" totalsRowDxfId="435" totalsRowCellStyle="ปกติ"/>
    <tableColumn id="18" xr3:uid="{00000000-0010-0000-0600-000012000000}" name="17" totalsRowFunction="count" dataDxfId="434" totalsRowDxfId="433" totalsRowCellStyle="ปกติ"/>
    <tableColumn id="19" xr3:uid="{00000000-0010-0000-0600-000013000000}" name="18" totalsRowFunction="count" dataDxfId="432" totalsRowDxfId="431" totalsRowCellStyle="ปกติ"/>
    <tableColumn id="20" xr3:uid="{00000000-0010-0000-0600-000014000000}" name="19" totalsRowFunction="count" dataDxfId="430" totalsRowDxfId="429" totalsRowCellStyle="ปกติ"/>
    <tableColumn id="21" xr3:uid="{00000000-0010-0000-0600-000015000000}" name="20" totalsRowFunction="count" dataDxfId="428" totalsRowDxfId="427" totalsRowCellStyle="ปกติ"/>
    <tableColumn id="22" xr3:uid="{00000000-0010-0000-0600-000016000000}" name="21" totalsRowFunction="count" dataDxfId="426" totalsRowDxfId="425" totalsRowCellStyle="ปกติ"/>
    <tableColumn id="23" xr3:uid="{00000000-0010-0000-0600-000017000000}" name="22" totalsRowFunction="count" dataDxfId="424" totalsRowDxfId="423" totalsRowCellStyle="ปกติ"/>
    <tableColumn id="24" xr3:uid="{00000000-0010-0000-0600-000018000000}" name="23" totalsRowFunction="count" dataDxfId="422" totalsRowDxfId="421" totalsRowCellStyle="ปกติ"/>
    <tableColumn id="25" xr3:uid="{00000000-0010-0000-0600-000019000000}" name="24" totalsRowFunction="count" dataDxfId="420" totalsRowDxfId="419" totalsRowCellStyle="ปกติ"/>
    <tableColumn id="26" xr3:uid="{00000000-0010-0000-0600-00001A000000}" name="25" totalsRowFunction="count" dataDxfId="418" totalsRowDxfId="417" totalsRowCellStyle="ปกติ"/>
    <tableColumn id="27" xr3:uid="{00000000-0010-0000-0600-00001B000000}" name="26" totalsRowFunction="count" dataDxfId="416" totalsRowDxfId="415" totalsRowCellStyle="ปกติ"/>
    <tableColumn id="28" xr3:uid="{00000000-0010-0000-0600-00001C000000}" name="27" totalsRowFunction="count" dataDxfId="414" totalsRowDxfId="413" totalsRowCellStyle="ปกติ"/>
    <tableColumn id="29" xr3:uid="{00000000-0010-0000-0600-00001D000000}" name="28" totalsRowFunction="count" dataDxfId="412" totalsRowDxfId="411" totalsRowCellStyle="ปกติ"/>
    <tableColumn id="30" xr3:uid="{00000000-0010-0000-0600-00001E000000}" name="29" totalsRowFunction="count" dataDxfId="410" totalsRowDxfId="409" totalsRowCellStyle="ปกติ"/>
    <tableColumn id="31" xr3:uid="{00000000-0010-0000-0600-00001F000000}" name="30" totalsRowFunction="count" dataDxfId="408" totalsRowDxfId="407" totalsRowCellStyle="ปกติ"/>
    <tableColumn id="32" xr3:uid="{00000000-0010-0000-0600-000020000000}" name="31" totalsRowFunction="count" dataDxfId="406" totalsRowDxfId="405" totalsRowCellStyle="ปกติ"/>
    <tableColumn id="33" xr3:uid="{00000000-0010-0000-0600-000021000000}" name="จำนวนวัน:" totalsRowFunction="sum" dataDxfId="404" totalsRowDxfId="403" dataCellStyle="ผลรวม" totalsRowCellStyle="ปกติ">
      <calculatedColumnFormula>COUNTA(กรกฎาคม[[#This Row],[1]:[31]])</calculatedColumnFormula>
    </tableColumn>
  </tableColumns>
  <tableStyleInfo name="ตารางการขาดงานของพนักงาน" showFirstColumn="1" showLastColumn="1" showRowStripes="1" showColumnStripes="0"/>
  <extLst>
    <ext xmlns:x14="http://schemas.microsoft.com/office/spreadsheetml/2009/9/main" uri="{504A1905-F514-4f6f-8877-14C23A59335A}">
      <x14:table altTextSummary="ใส่ชื่อพนักงานและวันที่ที่ขาดงาน บันทึกประเภทการขาดงานของแต่ละคีย์ในแถว 12: V=ลาพักร้อน, S=ลาป่วย, P=ลากิจ และพื้นที่ที่สำรองไว้สองรายการสำหรับรายการแบบกำหนดเอง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7000000}" name="สิงหาคม" displayName="สิงหาคม" ref="B6:AH12" totalsRowCount="1" headerRowDxfId="397" dataDxfId="396" totalsRowDxfId="395">
  <tableColumns count="33">
    <tableColumn id="1" xr3:uid="{00000000-0010-0000-0700-000001000000}" name="ชื่อพนักงาน" totalsRowFunction="custom" dataDxfId="394" totalsRowDxfId="393" dataCellStyle="พนักงาน">
      <totalsRowFormula>MonthName&amp;" ผลรวม"</totalsRowFormula>
    </tableColumn>
    <tableColumn id="2" xr3:uid="{00000000-0010-0000-0700-000002000000}" name="1" totalsRowFunction="count" dataDxfId="392" totalsRowDxfId="391" totalsRowCellStyle="ปกติ"/>
    <tableColumn id="3" xr3:uid="{00000000-0010-0000-0700-000003000000}" name="2" totalsRowFunction="count" dataDxfId="390" totalsRowDxfId="389" totalsRowCellStyle="ปกติ"/>
    <tableColumn id="4" xr3:uid="{00000000-0010-0000-0700-000004000000}" name="3" totalsRowFunction="count" dataDxfId="388" totalsRowDxfId="387" totalsRowCellStyle="ปกติ"/>
    <tableColumn id="5" xr3:uid="{00000000-0010-0000-0700-000005000000}" name="4" totalsRowFunction="count" dataDxfId="386" totalsRowDxfId="385" totalsRowCellStyle="ปกติ"/>
    <tableColumn id="6" xr3:uid="{00000000-0010-0000-0700-000006000000}" name="5" totalsRowFunction="count" dataDxfId="384" totalsRowDxfId="383" totalsRowCellStyle="ปกติ"/>
    <tableColumn id="7" xr3:uid="{00000000-0010-0000-0700-000007000000}" name="6" totalsRowFunction="count" dataDxfId="382" totalsRowDxfId="381" totalsRowCellStyle="ปกติ"/>
    <tableColumn id="8" xr3:uid="{00000000-0010-0000-0700-000008000000}" name="7" totalsRowFunction="count" dataDxfId="380" totalsRowDxfId="379" totalsRowCellStyle="ปกติ"/>
    <tableColumn id="9" xr3:uid="{00000000-0010-0000-0700-000009000000}" name="8" totalsRowFunction="count" dataDxfId="378" totalsRowDxfId="377" totalsRowCellStyle="ปกติ"/>
    <tableColumn id="10" xr3:uid="{00000000-0010-0000-0700-00000A000000}" name="9" totalsRowFunction="count" dataDxfId="376" totalsRowDxfId="375" totalsRowCellStyle="ปกติ"/>
    <tableColumn id="11" xr3:uid="{00000000-0010-0000-0700-00000B000000}" name="10" totalsRowFunction="count" dataDxfId="374" totalsRowDxfId="373" totalsRowCellStyle="ปกติ"/>
    <tableColumn id="12" xr3:uid="{00000000-0010-0000-0700-00000C000000}" name="11" totalsRowFunction="count" dataDxfId="372" totalsRowDxfId="371" totalsRowCellStyle="ปกติ"/>
    <tableColumn id="13" xr3:uid="{00000000-0010-0000-0700-00000D000000}" name="12" totalsRowFunction="count" dataDxfId="370" totalsRowDxfId="369" totalsRowCellStyle="ปกติ"/>
    <tableColumn id="14" xr3:uid="{00000000-0010-0000-0700-00000E000000}" name="13" totalsRowFunction="count" dataDxfId="368" totalsRowDxfId="367" totalsRowCellStyle="ปกติ"/>
    <tableColumn id="15" xr3:uid="{00000000-0010-0000-0700-00000F000000}" name="14" totalsRowFunction="count" dataDxfId="366" totalsRowDxfId="365" totalsRowCellStyle="ปกติ"/>
    <tableColumn id="16" xr3:uid="{00000000-0010-0000-0700-000010000000}" name="15" totalsRowFunction="count" dataDxfId="364" totalsRowDxfId="363" totalsRowCellStyle="ปกติ"/>
    <tableColumn id="17" xr3:uid="{00000000-0010-0000-0700-000011000000}" name="16" totalsRowFunction="count" dataDxfId="362" totalsRowDxfId="361" totalsRowCellStyle="ปกติ"/>
    <tableColumn id="18" xr3:uid="{00000000-0010-0000-0700-000012000000}" name="17" totalsRowFunction="count" dataDxfId="360" totalsRowDxfId="359" totalsRowCellStyle="ปกติ"/>
    <tableColumn id="19" xr3:uid="{00000000-0010-0000-0700-000013000000}" name="18" totalsRowFunction="count" dataDxfId="358" totalsRowDxfId="357" totalsRowCellStyle="ปกติ"/>
    <tableColumn id="20" xr3:uid="{00000000-0010-0000-0700-000014000000}" name="19" totalsRowFunction="count" dataDxfId="356" totalsRowDxfId="355" totalsRowCellStyle="ปกติ"/>
    <tableColumn id="21" xr3:uid="{00000000-0010-0000-0700-000015000000}" name="20" totalsRowFunction="count" dataDxfId="354" totalsRowDxfId="353" totalsRowCellStyle="ปกติ"/>
    <tableColumn id="22" xr3:uid="{00000000-0010-0000-0700-000016000000}" name="21" totalsRowFunction="count" dataDxfId="352" totalsRowDxfId="351" totalsRowCellStyle="ปกติ"/>
    <tableColumn id="23" xr3:uid="{00000000-0010-0000-0700-000017000000}" name="22" totalsRowFunction="count" dataDxfId="350" totalsRowDxfId="349" totalsRowCellStyle="ปกติ"/>
    <tableColumn id="24" xr3:uid="{00000000-0010-0000-0700-000018000000}" name="23" totalsRowFunction="count" dataDxfId="348" totalsRowDxfId="347" totalsRowCellStyle="ปกติ"/>
    <tableColumn id="25" xr3:uid="{00000000-0010-0000-0700-000019000000}" name="24" totalsRowFunction="count" dataDxfId="346" totalsRowDxfId="345" totalsRowCellStyle="ปกติ"/>
    <tableColumn id="26" xr3:uid="{00000000-0010-0000-0700-00001A000000}" name="25" totalsRowFunction="count" dataDxfId="344" totalsRowDxfId="343" totalsRowCellStyle="ปกติ"/>
    <tableColumn id="27" xr3:uid="{00000000-0010-0000-0700-00001B000000}" name="26" totalsRowFunction="count" dataDxfId="342" totalsRowDxfId="341" totalsRowCellStyle="ปกติ"/>
    <tableColumn id="28" xr3:uid="{00000000-0010-0000-0700-00001C000000}" name="27" totalsRowFunction="count" dataDxfId="340" totalsRowDxfId="339" totalsRowCellStyle="ปกติ"/>
    <tableColumn id="29" xr3:uid="{00000000-0010-0000-0700-00001D000000}" name="28" totalsRowFunction="count" dataDxfId="338" totalsRowDxfId="337" totalsRowCellStyle="ปกติ"/>
    <tableColumn id="30" xr3:uid="{00000000-0010-0000-0700-00001E000000}" name="29" totalsRowFunction="count" dataDxfId="336" totalsRowDxfId="335" totalsRowCellStyle="ปกติ"/>
    <tableColumn id="31" xr3:uid="{00000000-0010-0000-0700-00001F000000}" name="30" totalsRowFunction="count" dataDxfId="334" totalsRowDxfId="333" totalsRowCellStyle="ปกติ"/>
    <tableColumn id="32" xr3:uid="{00000000-0010-0000-0700-000020000000}" name="31" totalsRowFunction="count" dataDxfId="332" totalsRowDxfId="331" totalsRowCellStyle="ปกติ"/>
    <tableColumn id="33" xr3:uid="{00000000-0010-0000-0700-000021000000}" name="จำนวนวัน:" totalsRowFunction="sum" dataDxfId="330" totalsRowDxfId="329" dataCellStyle="ผลรวม" totalsRowCellStyle="ปกติ">
      <calculatedColumnFormula>COUNTA(สิงหาคม[[#This Row],[1]:[31]])</calculatedColumnFormula>
    </tableColumn>
  </tableColumns>
  <tableStyleInfo name="ตารางการขาดงานของพนักงาน" showFirstColumn="1" showLastColumn="1" showRowStripes="1" showColumnStripes="0"/>
  <extLst>
    <ext xmlns:x14="http://schemas.microsoft.com/office/spreadsheetml/2009/9/main" uri="{504A1905-F514-4f6f-8877-14C23A59335A}">
      <x14:table altTextSummary="ใส่ชื่อพนักงานและวันที่ที่ขาดงาน บันทึกประเภทการขาดงานของแต่ละคีย์ในแถว 12: V=ลาพักร้อน, S=ลาป่วย, P=ลากิจ และพื้นที่ที่สำรองไว้สองรายการสำหรับรายการแบบกำหนดเอง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8000000}" name="กันยายน" displayName="กันยายน" ref="B6:AH12" totalsRowCount="1" headerRowDxfId="323" dataDxfId="322" totalsRowDxfId="321">
  <tableColumns count="33">
    <tableColumn id="1" xr3:uid="{00000000-0010-0000-0800-000001000000}" name="ชื่อพนักงาน" totalsRowFunction="custom" dataDxfId="320" totalsRowDxfId="319" dataCellStyle="พนักงาน">
      <totalsRowFormula>MonthName&amp;" ผลรวม"</totalsRowFormula>
    </tableColumn>
    <tableColumn id="2" xr3:uid="{00000000-0010-0000-0800-000002000000}" name="1" totalsRowFunction="count" dataDxfId="318" totalsRowDxfId="317" totalsRowCellStyle="ปกติ"/>
    <tableColumn id="3" xr3:uid="{00000000-0010-0000-0800-000003000000}" name="2" totalsRowFunction="count" dataDxfId="316" totalsRowDxfId="315" totalsRowCellStyle="ปกติ"/>
    <tableColumn id="4" xr3:uid="{00000000-0010-0000-0800-000004000000}" name="3" totalsRowFunction="count" dataDxfId="314" totalsRowDxfId="313" totalsRowCellStyle="ปกติ"/>
    <tableColumn id="5" xr3:uid="{00000000-0010-0000-0800-000005000000}" name="4" totalsRowFunction="count" dataDxfId="312" totalsRowDxfId="311" totalsRowCellStyle="ปกติ"/>
    <tableColumn id="6" xr3:uid="{00000000-0010-0000-0800-000006000000}" name="5" totalsRowFunction="count" dataDxfId="310" totalsRowDxfId="309" totalsRowCellStyle="ปกติ"/>
    <tableColumn id="7" xr3:uid="{00000000-0010-0000-0800-000007000000}" name="6" totalsRowFunction="count" dataDxfId="308" totalsRowDxfId="307" totalsRowCellStyle="ปกติ"/>
    <tableColumn id="8" xr3:uid="{00000000-0010-0000-0800-000008000000}" name="7" totalsRowFunction="count" dataDxfId="306" totalsRowDxfId="305" totalsRowCellStyle="ปกติ"/>
    <tableColumn id="9" xr3:uid="{00000000-0010-0000-0800-000009000000}" name="8" totalsRowFunction="count" dataDxfId="304" totalsRowDxfId="303" totalsRowCellStyle="ปกติ"/>
    <tableColumn id="10" xr3:uid="{00000000-0010-0000-0800-00000A000000}" name="9" totalsRowFunction="count" dataDxfId="302" totalsRowDxfId="301" totalsRowCellStyle="ปกติ"/>
    <tableColumn id="11" xr3:uid="{00000000-0010-0000-0800-00000B000000}" name="10" totalsRowFunction="count" dataDxfId="300" totalsRowDxfId="299" totalsRowCellStyle="ปกติ"/>
    <tableColumn id="12" xr3:uid="{00000000-0010-0000-0800-00000C000000}" name="11" totalsRowFunction="count" dataDxfId="298" totalsRowDxfId="297" totalsRowCellStyle="ปกติ"/>
    <tableColumn id="13" xr3:uid="{00000000-0010-0000-0800-00000D000000}" name="12" totalsRowFunction="count" dataDxfId="296" totalsRowDxfId="295" totalsRowCellStyle="ปกติ"/>
    <tableColumn id="14" xr3:uid="{00000000-0010-0000-0800-00000E000000}" name="13" totalsRowFunction="count" dataDxfId="294" totalsRowDxfId="293" totalsRowCellStyle="ปกติ"/>
    <tableColumn id="15" xr3:uid="{00000000-0010-0000-0800-00000F000000}" name="14" totalsRowFunction="count" dataDxfId="292" totalsRowDxfId="291" totalsRowCellStyle="ปกติ"/>
    <tableColumn id="16" xr3:uid="{00000000-0010-0000-0800-000010000000}" name="15" totalsRowFunction="count" dataDxfId="290" totalsRowDxfId="289" totalsRowCellStyle="ปกติ"/>
    <tableColumn id="17" xr3:uid="{00000000-0010-0000-0800-000011000000}" name="16" totalsRowFunction="count" dataDxfId="288" totalsRowDxfId="287" totalsRowCellStyle="ปกติ"/>
    <tableColumn id="18" xr3:uid="{00000000-0010-0000-0800-000012000000}" name="17" totalsRowFunction="count" dataDxfId="286" totalsRowDxfId="285" totalsRowCellStyle="ปกติ"/>
    <tableColumn id="19" xr3:uid="{00000000-0010-0000-0800-000013000000}" name="18" totalsRowFunction="count" dataDxfId="284" totalsRowDxfId="283" totalsRowCellStyle="ปกติ"/>
    <tableColumn id="20" xr3:uid="{00000000-0010-0000-0800-000014000000}" name="19" totalsRowFunction="count" dataDxfId="282" totalsRowDxfId="281" totalsRowCellStyle="ปกติ"/>
    <tableColumn id="21" xr3:uid="{00000000-0010-0000-0800-000015000000}" name="20" totalsRowFunction="count" dataDxfId="280" totalsRowDxfId="279" totalsRowCellStyle="ปกติ"/>
    <tableColumn id="22" xr3:uid="{00000000-0010-0000-0800-000016000000}" name="21" totalsRowFunction="count" dataDxfId="278" totalsRowDxfId="277" totalsRowCellStyle="ปกติ"/>
    <tableColumn id="23" xr3:uid="{00000000-0010-0000-0800-000017000000}" name="22" totalsRowFunction="count" dataDxfId="276" totalsRowDxfId="275" totalsRowCellStyle="ปกติ"/>
    <tableColumn id="24" xr3:uid="{00000000-0010-0000-0800-000018000000}" name="23" totalsRowFunction="count" dataDxfId="274" totalsRowDxfId="273" totalsRowCellStyle="ปกติ"/>
    <tableColumn id="25" xr3:uid="{00000000-0010-0000-0800-000019000000}" name="24" totalsRowFunction="count" dataDxfId="272" totalsRowDxfId="271" totalsRowCellStyle="ปกติ"/>
    <tableColumn id="26" xr3:uid="{00000000-0010-0000-0800-00001A000000}" name="25" totalsRowFunction="count" dataDxfId="270" totalsRowDxfId="269" totalsRowCellStyle="ปกติ"/>
    <tableColumn id="27" xr3:uid="{00000000-0010-0000-0800-00001B000000}" name="26" totalsRowFunction="count" dataDxfId="268" totalsRowDxfId="267" totalsRowCellStyle="ปกติ"/>
    <tableColumn id="28" xr3:uid="{00000000-0010-0000-0800-00001C000000}" name="27" totalsRowFunction="count" dataDxfId="266" totalsRowDxfId="265" totalsRowCellStyle="ปกติ"/>
    <tableColumn id="29" xr3:uid="{00000000-0010-0000-0800-00001D000000}" name="28" totalsRowFunction="count" dataDxfId="264" totalsRowDxfId="263" totalsRowCellStyle="ปกติ"/>
    <tableColumn id="30" xr3:uid="{00000000-0010-0000-0800-00001E000000}" name="29" totalsRowFunction="count" dataDxfId="262" totalsRowDxfId="261" totalsRowCellStyle="ปกติ"/>
    <tableColumn id="31" xr3:uid="{00000000-0010-0000-0800-00001F000000}" name="30" totalsRowFunction="count" dataDxfId="260" totalsRowDxfId="259" totalsRowCellStyle="ปกติ"/>
    <tableColumn id="32" xr3:uid="{00000000-0010-0000-0800-000020000000}" name=" " totalsRowFunction="count" dataDxfId="258" totalsRowDxfId="257" totalsRowCellStyle="ปกติ"/>
    <tableColumn id="33" xr3:uid="{00000000-0010-0000-0800-000021000000}" name="จำนวนวัน:" totalsRowFunction="sum" dataDxfId="256" totalsRowDxfId="255" dataCellStyle="ผลรวม" totalsRowCellStyle="ปกติ">
      <calculatedColumnFormula>COUNTA(กันยายน[[#This Row],[1]:[30]])</calculatedColumnFormula>
    </tableColumn>
  </tableColumns>
  <tableStyleInfo name="ตารางการขาดงานของพนักงาน" showFirstColumn="1" showLastColumn="1" showRowStripes="1" showColumnStripes="0"/>
  <extLst>
    <ext xmlns:x14="http://schemas.microsoft.com/office/spreadsheetml/2009/9/main" uri="{504A1905-F514-4f6f-8877-14C23A59335A}">
      <x14:table altTextSummary="ใส่ชื่อพนักงานและวันที่ที่ขาดงาน บันทึกประเภทการขาดงานของแต่ละคีย์ในแถว 12: V=ลาพักร้อน, S=ลาป่วย, P=ลากิจ และพื้นที่ที่สำรองไว้สองรายการสำหรับรายการแบบกำหนดเอง"/>
    </ext>
  </extLst>
</table>
</file>

<file path=xl/theme/theme1.xml><?xml version="1.0" encoding="utf-8"?>
<a:theme xmlns:a="http://schemas.openxmlformats.org/drawingml/2006/main" name="Office Theme">
  <a:themeElements>
    <a:clrScheme name="Employee Absense Schedule">
      <a:dk1>
        <a:sysClr val="windowText" lastClr="000000"/>
      </a:dk1>
      <a:lt1>
        <a:sysClr val="window" lastClr="FFFFFF"/>
      </a:lt1>
      <a:dk2>
        <a:srgbClr val="4B180E"/>
      </a:dk2>
      <a:lt2>
        <a:srgbClr val="F1F2E8"/>
      </a:lt2>
      <a:accent1>
        <a:srgbClr val="A53423"/>
      </a:accent1>
      <a:accent2>
        <a:srgbClr val="E68130"/>
      </a:accent2>
      <a:accent3>
        <a:srgbClr val="9BB05D"/>
      </a:accent3>
      <a:accent4>
        <a:srgbClr val="CC9900"/>
      </a:accent4>
      <a:accent5>
        <a:srgbClr val="4F66AF"/>
      </a:accent5>
      <a:accent6>
        <a:srgbClr val="D0D2D3"/>
      </a:accent6>
      <a:hlink>
        <a:srgbClr val="4F66AF"/>
      </a:hlink>
      <a:folHlink>
        <a:srgbClr val="6B9AC6"/>
      </a:folHlink>
    </a:clrScheme>
    <a:fontScheme name="Employee Absence Schedul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89999084444715716"/>
    <pageSetUpPr fitToPage="1"/>
  </sheetPr>
  <dimension ref="A1:AH12"/>
  <sheetViews>
    <sheetView showGridLines="0" tabSelected="1" zoomScaleNormal="100" workbookViewId="0"/>
  </sheetViews>
  <sheetFormatPr defaultRowHeight="30" customHeight="1" x14ac:dyDescent="0.25"/>
  <cols>
    <col min="1" max="1" width="2.625" style="8" customWidth="1"/>
    <col min="2" max="2" width="25.625" style="8" customWidth="1"/>
    <col min="3" max="33" width="4.625" style="8" customWidth="1"/>
    <col min="34" max="34" width="13.5" style="8" customWidth="1"/>
    <col min="35" max="35" width="2.625" customWidth="1"/>
  </cols>
  <sheetData>
    <row r="1" spans="1:34" ht="50.1" customHeight="1" x14ac:dyDescent="0.25">
      <c r="A1" s="14"/>
      <c r="B1" s="10" t="s">
        <v>0</v>
      </c>
    </row>
    <row r="2" spans="1:34" ht="15" customHeight="1" x14ac:dyDescent="0.25">
      <c r="B2" s="15" t="s">
        <v>1</v>
      </c>
      <c r="C2" s="4" t="s">
        <v>9</v>
      </c>
      <c r="D2" s="29" t="s">
        <v>12</v>
      </c>
      <c r="E2" s="29"/>
      <c r="F2" s="29"/>
      <c r="G2" s="5" t="s">
        <v>15</v>
      </c>
      <c r="H2" s="29" t="s">
        <v>18</v>
      </c>
      <c r="I2" s="29"/>
      <c r="J2" s="20" t="s">
        <v>63</v>
      </c>
      <c r="K2" s="24" t="s">
        <v>23</v>
      </c>
      <c r="L2" s="21"/>
      <c r="M2" s="19" t="s">
        <v>27</v>
      </c>
      <c r="N2" s="19"/>
      <c r="O2" s="19"/>
      <c r="P2" s="22"/>
      <c r="Q2" s="19" t="s">
        <v>32</v>
      </c>
      <c r="R2" s="19"/>
      <c r="S2" s="19"/>
    </row>
    <row r="3" spans="1:34" ht="15" customHeight="1" x14ac:dyDescent="0.25">
      <c r="AH3" s="16" t="s">
        <v>48</v>
      </c>
    </row>
    <row r="4" spans="1:34" ht="30" customHeight="1" x14ac:dyDescent="0.25">
      <c r="B4" s="9" t="s">
        <v>2</v>
      </c>
      <c r="C4" s="28" t="s">
        <v>10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9">
        <v>2019</v>
      </c>
    </row>
    <row r="5" spans="1:34" ht="15" customHeight="1" x14ac:dyDescent="0.25">
      <c r="B5" s="9"/>
      <c r="C5" s="2" t="str">
        <f>TEXT(WEEKDAY(DATE(ปีปฏิทิน,1,1),1),"aaa")</f>
        <v>อ.</v>
      </c>
      <c r="D5" s="2" t="str">
        <f>TEXT(WEEKDAY(DATE(ปีปฏิทิน,1,2),1),"aaa")</f>
        <v>พ.</v>
      </c>
      <c r="E5" s="2" t="str">
        <f>TEXT(WEEKDAY(DATE(ปีปฏิทิน,1,3),1),"aaa")</f>
        <v>พฤ.</v>
      </c>
      <c r="F5" s="2" t="str">
        <f>TEXT(WEEKDAY(DATE(ปีปฏิทิน,1,4),1),"aaa")</f>
        <v>ศ.</v>
      </c>
      <c r="G5" s="2" t="str">
        <f>TEXT(WEEKDAY(DATE(ปีปฏิทิน,1,5),1),"aaa")</f>
        <v>ส.</v>
      </c>
      <c r="H5" s="2" t="str">
        <f>TEXT(WEEKDAY(DATE(ปีปฏิทิน,1,6),1),"aaa")</f>
        <v>อา.</v>
      </c>
      <c r="I5" s="2" t="str">
        <f>TEXT(WEEKDAY(DATE(ปีปฏิทิน,1,7),1),"aaa")</f>
        <v>จ.</v>
      </c>
      <c r="J5" s="2" t="str">
        <f>TEXT(WEEKDAY(DATE(ปีปฏิทิน,1,8),1),"aaa")</f>
        <v>อ.</v>
      </c>
      <c r="K5" s="2" t="str">
        <f>TEXT(WEEKDAY(DATE(ปีปฏิทิน,1,9),1),"aaa")</f>
        <v>พ.</v>
      </c>
      <c r="L5" s="2" t="str">
        <f>TEXT(WEEKDAY(DATE(ปีปฏิทิน,1,10),1),"aaa")</f>
        <v>พฤ.</v>
      </c>
      <c r="M5" s="2" t="str">
        <f>TEXT(WEEKDAY(DATE(ปีปฏิทิน,1,11),1),"aaa")</f>
        <v>ศ.</v>
      </c>
      <c r="N5" s="2" t="str">
        <f>TEXT(WEEKDAY(DATE(ปีปฏิทิน,1,12),1),"aaa")</f>
        <v>ส.</v>
      </c>
      <c r="O5" s="2" t="str">
        <f>TEXT(WEEKDAY(DATE(ปีปฏิทิน,1,13),1),"aaa")</f>
        <v>อา.</v>
      </c>
      <c r="P5" s="2" t="str">
        <f>TEXT(WEEKDAY(DATE(ปีปฏิทิน,1,14),1),"aaa")</f>
        <v>จ.</v>
      </c>
      <c r="Q5" s="2" t="str">
        <f>TEXT(WEEKDAY(DATE(ปีปฏิทิน,1,15),1),"aaa")</f>
        <v>อ.</v>
      </c>
      <c r="R5" s="2" t="str">
        <f>TEXT(WEEKDAY(DATE(ปีปฏิทิน,1,16),1),"aaa")</f>
        <v>พ.</v>
      </c>
      <c r="S5" s="2" t="str">
        <f>TEXT(WEEKDAY(DATE(ปีปฏิทิน,1,17),1),"aaa")</f>
        <v>พฤ.</v>
      </c>
      <c r="T5" s="2" t="str">
        <f>TEXT(WEEKDAY(DATE(ปีปฏิทิน,1,18),1),"aaa")</f>
        <v>ศ.</v>
      </c>
      <c r="U5" s="2" t="str">
        <f>TEXT(WEEKDAY(DATE(ปีปฏิทิน,1,19),1),"aaa")</f>
        <v>ส.</v>
      </c>
      <c r="V5" s="2" t="str">
        <f>TEXT(WEEKDAY(DATE(ปีปฏิทิน,1,20),1),"aaa")</f>
        <v>อา.</v>
      </c>
      <c r="W5" s="2" t="str">
        <f>TEXT(WEEKDAY(DATE(ปีปฏิทิน,1,21),1),"aaa")</f>
        <v>จ.</v>
      </c>
      <c r="X5" s="2" t="str">
        <f>TEXT(WEEKDAY(DATE(ปีปฏิทิน,1,22),1),"aaa")</f>
        <v>อ.</v>
      </c>
      <c r="Y5" s="2" t="str">
        <f>TEXT(WEEKDAY(DATE(ปีปฏิทิน,1,23),1),"aaa")</f>
        <v>พ.</v>
      </c>
      <c r="Z5" s="2" t="str">
        <f>TEXT(WEEKDAY(DATE(ปีปฏิทิน,1,24),1),"aaa")</f>
        <v>พฤ.</v>
      </c>
      <c r="AA5" s="2" t="str">
        <f>TEXT(WEEKDAY(DATE(ปีปฏิทิน,1,25),1),"aaa")</f>
        <v>ศ.</v>
      </c>
      <c r="AB5" s="2" t="str">
        <f>TEXT(WEEKDAY(DATE(ปีปฏิทิน,1,26),1),"aaa")</f>
        <v>ส.</v>
      </c>
      <c r="AC5" s="2" t="str">
        <f>TEXT(WEEKDAY(DATE(ปีปฏิทิน,1,27),1),"aaa")</f>
        <v>อา.</v>
      </c>
      <c r="AD5" s="2" t="str">
        <f>TEXT(WEEKDAY(DATE(ปีปฏิทิน,1,28),1),"aaa")</f>
        <v>จ.</v>
      </c>
      <c r="AE5" s="2" t="str">
        <f>TEXT(WEEKDAY(DATE(ปีปฏิทิน,1,29),1),"aaa")</f>
        <v>อ.</v>
      </c>
      <c r="AF5" s="2" t="str">
        <f>TEXT(WEEKDAY(DATE(ปีปฏิทิน,1,30),1),"aaa")</f>
        <v>พ.</v>
      </c>
      <c r="AG5" s="2" t="str">
        <f>TEXT(WEEKDAY(DATE(ปีปฏิทิน,1,31),1),"aaa")</f>
        <v>พฤ.</v>
      </c>
      <c r="AH5" s="9"/>
    </row>
    <row r="6" spans="1:34" ht="15" customHeight="1" x14ac:dyDescent="0.25">
      <c r="B6" s="11" t="s">
        <v>3</v>
      </c>
      <c r="C6" s="3" t="s">
        <v>11</v>
      </c>
      <c r="D6" s="3" t="s">
        <v>13</v>
      </c>
      <c r="E6" s="3" t="s">
        <v>14</v>
      </c>
      <c r="F6" s="3" t="s">
        <v>16</v>
      </c>
      <c r="G6" s="3" t="s">
        <v>17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24</v>
      </c>
      <c r="M6" s="3" t="s">
        <v>25</v>
      </c>
      <c r="N6" s="3" t="s">
        <v>26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33</v>
      </c>
      <c r="T6" s="3" t="s">
        <v>34</v>
      </c>
      <c r="U6" s="3" t="s">
        <v>35</v>
      </c>
      <c r="V6" s="3" t="s">
        <v>36</v>
      </c>
      <c r="W6" s="3" t="s">
        <v>37</v>
      </c>
      <c r="X6" s="3" t="s">
        <v>38</v>
      </c>
      <c r="Y6" s="3" t="s">
        <v>39</v>
      </c>
      <c r="Z6" s="3" t="s">
        <v>40</v>
      </c>
      <c r="AA6" s="3" t="s">
        <v>41</v>
      </c>
      <c r="AB6" s="3" t="s">
        <v>42</v>
      </c>
      <c r="AC6" s="3" t="s">
        <v>43</v>
      </c>
      <c r="AD6" s="3" t="s">
        <v>44</v>
      </c>
      <c r="AE6" s="3" t="s">
        <v>45</v>
      </c>
      <c r="AF6" s="3" t="s">
        <v>46</v>
      </c>
      <c r="AG6" s="3" t="s">
        <v>47</v>
      </c>
      <c r="AH6" s="12" t="s">
        <v>49</v>
      </c>
    </row>
    <row r="7" spans="1:34" ht="30" customHeight="1" x14ac:dyDescent="0.25">
      <c r="B7" s="6" t="s">
        <v>4</v>
      </c>
      <c r="C7" s="3"/>
      <c r="D7" s="3"/>
      <c r="E7" s="3" t="s">
        <v>9</v>
      </c>
      <c r="F7" s="3" t="s">
        <v>9</v>
      </c>
      <c r="G7" s="3" t="s">
        <v>9</v>
      </c>
      <c r="H7" s="3" t="s">
        <v>9</v>
      </c>
      <c r="I7" s="3"/>
      <c r="J7" s="3"/>
      <c r="K7" s="3"/>
      <c r="L7" s="3"/>
      <c r="M7" s="3"/>
      <c r="N7" s="3"/>
      <c r="O7" s="3" t="s">
        <v>9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7">
        <f>COUNTA(มกราคม!$C7:$AG7)</f>
        <v>5</v>
      </c>
    </row>
    <row r="8" spans="1:34" ht="30" customHeight="1" x14ac:dyDescent="0.25">
      <c r="B8" s="6" t="s">
        <v>5</v>
      </c>
      <c r="C8" s="3"/>
      <c r="D8" s="3"/>
      <c r="E8" s="3"/>
      <c r="F8" s="3"/>
      <c r="G8" s="3" t="s">
        <v>63</v>
      </c>
      <c r="H8" s="3" t="s">
        <v>63</v>
      </c>
      <c r="I8" s="3"/>
      <c r="J8" s="3"/>
      <c r="K8" s="3"/>
      <c r="L8" s="3"/>
      <c r="M8" s="3" t="s">
        <v>15</v>
      </c>
      <c r="N8" s="3"/>
      <c r="O8" s="3"/>
      <c r="P8" s="3"/>
      <c r="Q8" s="3"/>
      <c r="R8" s="3"/>
      <c r="S8" s="3"/>
      <c r="T8" s="3"/>
      <c r="U8" s="3"/>
      <c r="V8" s="3" t="s">
        <v>63</v>
      </c>
      <c r="W8" s="3"/>
      <c r="X8" s="3"/>
      <c r="Y8" s="3"/>
      <c r="Z8" s="3"/>
      <c r="AA8" s="3" t="s">
        <v>9</v>
      </c>
      <c r="AB8" s="3" t="s">
        <v>9</v>
      </c>
      <c r="AC8" s="3" t="s">
        <v>9</v>
      </c>
      <c r="AD8" s="3"/>
      <c r="AE8" s="3"/>
      <c r="AF8" s="3"/>
      <c r="AG8" s="3"/>
      <c r="AH8" s="7">
        <f>COUNTA(มกราคม!$C8:$AG8)</f>
        <v>7</v>
      </c>
    </row>
    <row r="9" spans="1:34" ht="30" customHeight="1" x14ac:dyDescent="0.25">
      <c r="B9" s="6" t="s">
        <v>6</v>
      </c>
      <c r="C9" s="3"/>
      <c r="D9" s="3"/>
      <c r="E9" s="3" t="s">
        <v>15</v>
      </c>
      <c r="F9" s="3"/>
      <c r="G9" s="3"/>
      <c r="H9" s="3"/>
      <c r="I9" s="3"/>
      <c r="J9" s="3"/>
      <c r="K9" s="3"/>
      <c r="L9" s="3"/>
      <c r="M9" s="3"/>
      <c r="N9" s="3"/>
      <c r="O9" s="3"/>
      <c r="P9" s="3" t="s">
        <v>63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 t="s">
        <v>63</v>
      </c>
      <c r="AF9" s="3"/>
      <c r="AG9" s="3"/>
      <c r="AH9" s="7">
        <f>COUNTA(มกราคม!$C9:$AG9)</f>
        <v>3</v>
      </c>
    </row>
    <row r="10" spans="1:34" ht="30" customHeight="1" x14ac:dyDescent="0.25">
      <c r="B10" s="6" t="s">
        <v>7</v>
      </c>
      <c r="C10" s="3"/>
      <c r="D10" s="3"/>
      <c r="E10" s="3"/>
      <c r="F10" s="3"/>
      <c r="G10" s="3"/>
      <c r="H10" s="3"/>
      <c r="I10" s="3" t="s">
        <v>15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 t="s">
        <v>9</v>
      </c>
      <c r="V10" s="3" t="s">
        <v>9</v>
      </c>
      <c r="W10" s="3" t="s">
        <v>9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7">
        <f>COUNTA(มกราคม!$C10:$AG10)</f>
        <v>4</v>
      </c>
    </row>
    <row r="11" spans="1:34" ht="30" customHeight="1" x14ac:dyDescent="0.25">
      <c r="B11" s="6" t="s">
        <v>8</v>
      </c>
      <c r="C11" s="3"/>
      <c r="D11" s="3"/>
      <c r="E11" s="3"/>
      <c r="F11" s="3" t="s">
        <v>63</v>
      </c>
      <c r="G11" s="3" t="s">
        <v>9</v>
      </c>
      <c r="H11" s="3" t="s">
        <v>9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 t="s">
        <v>63</v>
      </c>
      <c r="T11" s="3"/>
      <c r="U11" s="3"/>
      <c r="V11" s="3"/>
      <c r="W11" s="3"/>
      <c r="X11" s="3"/>
      <c r="Y11" s="3"/>
      <c r="Z11" s="3" t="s">
        <v>63</v>
      </c>
      <c r="AA11" s="3"/>
      <c r="AB11" s="3"/>
      <c r="AC11" s="3"/>
      <c r="AD11" s="3"/>
      <c r="AE11" s="3"/>
      <c r="AF11" s="3"/>
      <c r="AG11" s="3" t="s">
        <v>9</v>
      </c>
      <c r="AH11" s="7">
        <f>COUNTA(มกราคม!$C11:$AG11)</f>
        <v>6</v>
      </c>
    </row>
    <row r="12" spans="1:34" ht="30" customHeight="1" x14ac:dyDescent="0.25">
      <c r="B12" s="17" t="str">
        <f>MonthName&amp;" ผลรวม"</f>
        <v>มกราคม ผลรวม</v>
      </c>
      <c r="C12" s="26">
        <f>SUBTOTAL(103,มกราคม!$C$7:$C$11)</f>
        <v>0</v>
      </c>
      <c r="D12" s="26">
        <f>SUBTOTAL(103,มกราคม!$D$7:$D$11)</f>
        <v>0</v>
      </c>
      <c r="E12" s="26">
        <f>SUBTOTAL(103,มกราคม!$E$7:$E$11)</f>
        <v>2</v>
      </c>
      <c r="F12" s="26">
        <f>SUBTOTAL(103,มกราคม!$F$7:$F$11)</f>
        <v>2</v>
      </c>
      <c r="G12" s="26">
        <f>SUBTOTAL(103,มกราคม!$G$7:$G$11)</f>
        <v>3</v>
      </c>
      <c r="H12" s="26">
        <f>SUBTOTAL(103,มกราคม!$H$7:$H$11)</f>
        <v>3</v>
      </c>
      <c r="I12" s="26">
        <f>SUBTOTAL(103,มกราคม!$I$7:$I$11)</f>
        <v>1</v>
      </c>
      <c r="J12" s="26">
        <f>SUBTOTAL(103,มกราคม!$J$7:$J$11)</f>
        <v>0</v>
      </c>
      <c r="K12" s="26">
        <f>SUBTOTAL(103,มกราคม!$K$7:$K$11)</f>
        <v>0</v>
      </c>
      <c r="L12" s="26">
        <f>SUBTOTAL(103,มกราคม!$L$7:$L$11)</f>
        <v>0</v>
      </c>
      <c r="M12" s="26">
        <f>SUBTOTAL(103,มกราคม!$M$7:$M$11)</f>
        <v>1</v>
      </c>
      <c r="N12" s="26">
        <f>SUBTOTAL(103,มกราคม!$N$7:$N$11)</f>
        <v>0</v>
      </c>
      <c r="O12" s="26">
        <f>SUBTOTAL(103,มกราคม!$O$7:$O$11)</f>
        <v>1</v>
      </c>
      <c r="P12" s="26">
        <f>SUBTOTAL(103,มกราคม!$P$7:$P$11)</f>
        <v>1</v>
      </c>
      <c r="Q12" s="26">
        <f>SUBTOTAL(103,มกราคม!$Q$7:$Q$11)</f>
        <v>0</v>
      </c>
      <c r="R12" s="26">
        <f>SUBTOTAL(103,มกราคม!$R$7:$R$11)</f>
        <v>0</v>
      </c>
      <c r="S12" s="26">
        <f>SUBTOTAL(103,มกราคม!$S$7:$S$11)</f>
        <v>1</v>
      </c>
      <c r="T12" s="26">
        <f>SUBTOTAL(103,มกราคม!$T$7:$T$11)</f>
        <v>0</v>
      </c>
      <c r="U12" s="26">
        <f>SUBTOTAL(103,มกราคม!$U$7:$U$11)</f>
        <v>1</v>
      </c>
      <c r="V12" s="26">
        <f>SUBTOTAL(103,มกราคม!$V$7:$V$11)</f>
        <v>2</v>
      </c>
      <c r="W12" s="26">
        <f>SUBTOTAL(103,มกราคม!$W$7:$W$11)</f>
        <v>1</v>
      </c>
      <c r="X12" s="26">
        <f>SUBTOTAL(103,มกราคม!$X$7:$X$11)</f>
        <v>0</v>
      </c>
      <c r="Y12" s="26">
        <f>SUBTOTAL(103,มกราคม!$Y$7:$Y$11)</f>
        <v>0</v>
      </c>
      <c r="Z12" s="26">
        <f>SUBTOTAL(103,มกราคม!$Z$7:$Z$11)</f>
        <v>1</v>
      </c>
      <c r="AA12" s="26">
        <f>SUBTOTAL(103,มกราคม!$AA$7:$AA$11)</f>
        <v>1</v>
      </c>
      <c r="AB12" s="26">
        <f>SUBTOTAL(103,มกราคม!$AB$7:$AB$11)</f>
        <v>1</v>
      </c>
      <c r="AC12" s="26">
        <f>SUBTOTAL(103,มกราคม!$AC$7:$AC$11)</f>
        <v>1</v>
      </c>
      <c r="AD12" s="26">
        <f>SUBTOTAL(103,มกราคม!$AD$7:$AD$11)</f>
        <v>0</v>
      </c>
      <c r="AE12" s="26">
        <f>SUBTOTAL(103,มกราคม!$AE$7:$AE$11)</f>
        <v>1</v>
      </c>
      <c r="AF12" s="26">
        <f>SUBTOTAL(103,มกราคม!$AF$7:$AF$11)</f>
        <v>0</v>
      </c>
      <c r="AG12" s="26">
        <f>SUBTOTAL(103,มกราคม!$AG$7:$AG$11)</f>
        <v>1</v>
      </c>
      <c r="AH12" s="26">
        <f>SUBTOTAL(109,มกราคม[จำนวนวัน:])</f>
        <v>25</v>
      </c>
    </row>
  </sheetData>
  <mergeCells count="3">
    <mergeCell ref="C4:AG4"/>
    <mergeCell ref="D2:F2"/>
    <mergeCell ref="H2:I2"/>
  </mergeCells>
  <conditionalFormatting sqref="C7:AG11">
    <cfRule type="expression" priority="1" stopIfTrue="1">
      <formula>C7=""</formula>
    </cfRule>
    <cfRule type="expression" dxfId="888" priority="6" stopIfTrue="1">
      <formula>C7=KeyCustom2</formula>
    </cfRule>
    <cfRule type="expression" dxfId="887" priority="7" stopIfTrue="1">
      <formula>C7=KeyCustom1</formula>
    </cfRule>
    <cfRule type="expression" dxfId="886" priority="8" stopIfTrue="1">
      <formula>C7=KeySick</formula>
    </cfRule>
    <cfRule type="expression" dxfId="885" priority="9" stopIfTrue="1">
      <formula>C7=KeyPersonal</formula>
    </cfRule>
    <cfRule type="expression" dxfId="884" priority="10" stopIfTrue="1">
      <formula>C7=KeyVacation</formula>
    </cfRule>
  </conditionalFormatting>
  <conditionalFormatting sqref="AH7:AH11">
    <cfRule type="dataBar" priority="168">
      <dataBar>
        <cfvo type="num" val="0"/>
        <cfvo type="num" val="31"/>
        <color theme="2" tint="-0.249977111117893"/>
      </dataBar>
      <extLst>
        <ext xmlns:x14="http://schemas.microsoft.com/office/spreadsheetml/2009/9/main" uri="{B025F937-C7B1-47D3-B67F-A62EFF666E3E}">
          <x14:id>{ECCE2C3C-1B01-4700-B60E-DAAAB19A9C1A}</x14:id>
        </ext>
      </extLst>
    </cfRule>
  </conditionalFormatting>
  <dataValidations count="15">
    <dataValidation allowBlank="1" showInputMessage="1" showErrorMessage="1" prompt="ใส่ปีในเซลล์นี้" sqref="AH4" xr:uid="{00000000-0002-0000-0000-000000000000}"/>
    <dataValidation errorStyle="warning" allowBlank="1" showInputMessage="1" showErrorMessage="1" error="เลือกชื่อจากรายการ เลือกยกเลิก จากนั้นกด ALT+ลูกศรลง จากนั้นกด ENTER เพื่อเลือกชื่อ" prompt="ใส่ชื่อพนักงานในเวิร์กชีต ชื่อพนักงาน จากนั้นเลือกหนึ่งในชื่อเหล่านั้นจากรายการในคอลัมน์นี้ กด ALT+ลูกศรลง จากนั้นกด ENTER เพื่อเลือกชื่อ" sqref="B6" xr:uid="{00000000-0002-0000-0000-000001000000}"/>
    <dataValidation allowBlank="1" showInputMessage="1" showErrorMessage="1" prompt="วันของเดือนในแถวนี้จะถูกสร้างโดยอัตโนมัติ ใส่การขาดงานของพนักงานและประเภทการขาดงานในแต่ละคอลัมน์ในแต่ละวันของเดือน ช่องว่างหมายถึงไม่ได้ขาดงาน" sqref="C6" xr:uid="{00000000-0002-0000-0000-000002000000}"/>
    <dataValidation allowBlank="1" showInputMessage="1" showErrorMessage="1" prompt="วันในสัปดาห์ในแถวนี้จะถูกอัปเดตโดยอัตโนมัติในแต่ละเดือนโดยอ้างอิงจากปีที่ใส่ใน AH4 แต่ละวันในแต่ละเดือนเป็นคอลัมน์เพื่อบันทึกการขาดงานของพนักงานและประเภทการขาดงาน" sqref="C5" xr:uid="{00000000-0002-0000-0000-000003000000}"/>
    <dataValidation allowBlank="1" showInputMessage="1" showErrorMessage="1" prompt="คำนวณวันทั้งหมดที่พนักงานขาดงานในเดือนนี้โดยอัตโนมัติ" sqref="AH6" xr:uid="{00000000-0002-0000-0000-000004000000}"/>
    <dataValidation allowBlank="1" showInputMessage="1" showErrorMessage="1" prompt="ชื่อเรื่องของเวิร์กชีตในเซลล์นี้ อัปเดตชื่อเรื่องแล้วแต่ละเวิร์กชีตจะถ่ายทอดการเปลี่ยนแปลงโดยอัตโนมัติ" sqref="B1" xr:uid="{00000000-0002-0000-0000-000005000000}"/>
    <dataValidation allowBlank="1" showInputMessage="1" showErrorMessage="1" prompt="เดือนของกำหนดการการขาดงานนี้ อัปเดตปีในเซลล์ AH4 ติดตามผลรวมตามเดือนในเซลล์สุดท้ายของตาราง ใส่ชื่อพนักงานจากคอลัมน์ B ในตาราง" sqref="B4" xr:uid="{00000000-0002-0000-0000-000006000000}"/>
    <dataValidation allowBlank="1" showInputMessage="1" showErrorMessage="1" prompt="แถวนี้ระบุถึงคีย์ที่ใช้ในตาราง: เซลล์ C2 เป็นลาพักร้อน, G2 เป็นลากิจ และ K2 เป็นลาป่วย เซลล์ N2 และ R2 สามารถกำหนดเองได้" sqref="B2" xr:uid="{00000000-0002-0000-0000-000007000000}"/>
    <dataValidation allowBlank="1" showInputMessage="1" showErrorMessage="1" prompt="ตัวอักษร “V” ระบุถึงการขาดงานเนื่องจากลาพักร้อน" sqref="C2" xr:uid="{00000000-0002-0000-0000-000008000000}"/>
    <dataValidation allowBlank="1" showInputMessage="1" showErrorMessage="1" prompt="ตัวอักษร “P” ระบุถึงการขาดงานเนื่องจากลากิจ" sqref="G2" xr:uid="{00000000-0002-0000-0000-000009000000}"/>
    <dataValidation allowBlank="1" showInputMessage="1" showErrorMessage="1" prompt="ตัวอักษร “S” ระบุถึงการขาดงานเนื่องจากลาป่วย" sqref="J2" xr:uid="{00000000-0002-0000-0000-00000A000000}"/>
    <dataValidation allowBlank="1" showInputMessage="1" showErrorMessage="1" prompt="ใส่ตัวอักษรและกำหนดป้ายชื่อด้วยตนเองที่ด้านขวาเพื่อเพิ่มรายการคีย์อื่นๆ" sqref="L2 P2" xr:uid="{00000000-0002-0000-0000-00000B000000}"/>
    <dataValidation allowBlank="1" showInputMessage="1" showErrorMessage="1" prompt="ใส่ป้ายชื่อเพื่ออธิบายปุ่มแบบกำหนดเองที่ด้านซ้าย" sqref="M2:O2 Q2:S2" xr:uid="{00000000-0002-0000-0000-00000C000000}"/>
    <dataValidation allowBlank="1" showInputMessage="1" showErrorMessage="1" prompt="กำหนดการการขาดงานของพนักงานจะติดตามการขาดงานของพนักงานในแต่ละวันสำหรับแต่ละเดือน มี 13 เวิร์กชีต 12 เดือน และเวิร์กชีตสุดท้ายสำหรับชื่อพนักงาน ติดตามการขาดงานในเดือนมกราคมในเวิร์กชีตนี้" sqref="A1" xr:uid="{00000000-0002-0000-0000-00000D000000}"/>
    <dataValidation allowBlank="1" showInputMessage="1" showErrorMessage="1" prompt="ใส่ปีในเซลล์ด้านล่าง" sqref="AH3" xr:uid="{00000000-0002-0000-0000-00000E000000}"/>
  </dataValidations>
  <printOptions horizontalCentered="1"/>
  <pageMargins left="0.25" right="0.25" top="0.75" bottom="0.75" header="0.3" footer="0.3"/>
  <pageSetup paperSize="9" scale="68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CCE2C3C-1B01-4700-B60E-DAAAB19A9C1A}">
            <x14:dataBar minLength="0" maxLength="100">
              <x14:cfvo type="num">
                <xm:f>0</xm:f>
              </x14:cfvo>
              <x14:cfvo type="num">
                <xm:f>31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F000000}">
          <x14:formula1>
            <xm:f>ชื่อพนักงาน!$B$4:$B$8</xm:f>
          </x14:formula1>
          <xm:sqref>B7:B11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249977111117893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625" style="8" customWidth="1"/>
    <col min="2" max="2" width="25.625" style="8" customWidth="1"/>
    <col min="3" max="33" width="4.625" style="8" customWidth="1"/>
    <col min="34" max="34" width="13.5" style="8" customWidth="1"/>
    <col min="35" max="35" width="2.625" customWidth="1"/>
  </cols>
  <sheetData>
    <row r="1" spans="2:34" ht="50.1" customHeight="1" x14ac:dyDescent="0.25">
      <c r="B1" s="10" t="str">
        <f>Employee_Absence_Title</f>
        <v>กำหนดการการขาดงานของพนักงาน</v>
      </c>
    </row>
    <row r="2" spans="2:34" ht="15" customHeight="1" x14ac:dyDescent="0.25">
      <c r="B2" s="15" t="s">
        <v>1</v>
      </c>
      <c r="C2" s="4" t="s">
        <v>9</v>
      </c>
      <c r="D2" s="29" t="s">
        <v>12</v>
      </c>
      <c r="E2" s="29"/>
      <c r="F2" s="29"/>
      <c r="G2" s="5" t="s">
        <v>15</v>
      </c>
      <c r="H2" s="29" t="s">
        <v>18</v>
      </c>
      <c r="I2" s="29"/>
      <c r="J2" s="20" t="s">
        <v>63</v>
      </c>
      <c r="K2" s="24" t="s">
        <v>23</v>
      </c>
      <c r="L2" s="21"/>
      <c r="M2" s="27" t="s">
        <v>27</v>
      </c>
      <c r="N2" s="27"/>
      <c r="O2" s="27"/>
      <c r="P2" s="22"/>
      <c r="Q2" s="27" t="s">
        <v>32</v>
      </c>
      <c r="R2" s="27"/>
      <c r="S2" s="27"/>
    </row>
    <row r="3" spans="2:34" ht="15" customHeight="1" x14ac:dyDescent="0.25">
      <c r="B3" s="10"/>
    </row>
    <row r="4" spans="2:34" ht="30" customHeight="1" x14ac:dyDescent="0.25">
      <c r="B4" s="9" t="s">
        <v>59</v>
      </c>
      <c r="C4" s="28" t="s">
        <v>10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9">
        <f>ปีปฏิทิน</f>
        <v>2019</v>
      </c>
    </row>
    <row r="5" spans="2:34" ht="15" customHeight="1" x14ac:dyDescent="0.25">
      <c r="B5" s="9"/>
      <c r="C5" s="2" t="str">
        <f>TEXT(WEEKDAY(DATE(ปีปฏิทิน,10,1),1),"aaa")</f>
        <v>อ.</v>
      </c>
      <c r="D5" s="2" t="str">
        <f>TEXT(WEEKDAY(DATE(ปีปฏิทิน,10,2),1),"aaa")</f>
        <v>พ.</v>
      </c>
      <c r="E5" s="2" t="str">
        <f>TEXT(WEEKDAY(DATE(ปีปฏิทิน,10,3),1),"aaa")</f>
        <v>พฤ.</v>
      </c>
      <c r="F5" s="2" t="str">
        <f>TEXT(WEEKDAY(DATE(ปีปฏิทิน,10,4),1),"aaa")</f>
        <v>ศ.</v>
      </c>
      <c r="G5" s="2" t="str">
        <f>TEXT(WEEKDAY(DATE(ปีปฏิทิน,10,5),1),"aaa")</f>
        <v>ส.</v>
      </c>
      <c r="H5" s="2" t="str">
        <f>TEXT(WEEKDAY(DATE(ปีปฏิทิน,10,6),1),"aaa")</f>
        <v>อา.</v>
      </c>
      <c r="I5" s="2" t="str">
        <f>TEXT(WEEKDAY(DATE(ปีปฏิทิน,10,7),1),"aaa")</f>
        <v>จ.</v>
      </c>
      <c r="J5" s="2" t="str">
        <f>TEXT(WEEKDAY(DATE(ปีปฏิทิน,10,8),1),"aaa")</f>
        <v>อ.</v>
      </c>
      <c r="K5" s="2" t="str">
        <f>TEXT(WEEKDAY(DATE(ปีปฏิทิน,10,9),1),"aaa")</f>
        <v>พ.</v>
      </c>
      <c r="L5" s="2" t="str">
        <f>TEXT(WEEKDAY(DATE(ปีปฏิทิน,10,10),1),"aaa")</f>
        <v>พฤ.</v>
      </c>
      <c r="M5" s="2" t="str">
        <f>TEXT(WEEKDAY(DATE(ปีปฏิทิน,10,11),1),"aaa")</f>
        <v>ศ.</v>
      </c>
      <c r="N5" s="2" t="str">
        <f>TEXT(WEEKDAY(DATE(ปีปฏิทิน,10,12),1),"aaa")</f>
        <v>ส.</v>
      </c>
      <c r="O5" s="2" t="str">
        <f>TEXT(WEEKDAY(DATE(ปีปฏิทิน,10,13),1),"aaa")</f>
        <v>อา.</v>
      </c>
      <c r="P5" s="2" t="str">
        <f>TEXT(WEEKDAY(DATE(ปีปฏิทิน,10,14),1),"aaa")</f>
        <v>จ.</v>
      </c>
      <c r="Q5" s="2" t="str">
        <f>TEXT(WEEKDAY(DATE(ปีปฏิทิน,10,15),1),"aaa")</f>
        <v>อ.</v>
      </c>
      <c r="R5" s="2" t="str">
        <f>TEXT(WEEKDAY(DATE(ปีปฏิทิน,10,16),1),"aaa")</f>
        <v>พ.</v>
      </c>
      <c r="S5" s="2" t="str">
        <f>TEXT(WEEKDAY(DATE(ปีปฏิทิน,10,17),1),"aaa")</f>
        <v>พฤ.</v>
      </c>
      <c r="T5" s="2" t="str">
        <f>TEXT(WEEKDAY(DATE(ปีปฏิทิน,10,18),1),"aaa")</f>
        <v>ศ.</v>
      </c>
      <c r="U5" s="2" t="str">
        <f>TEXT(WEEKDAY(DATE(ปีปฏิทิน,10,19),1),"aaa")</f>
        <v>ส.</v>
      </c>
      <c r="V5" s="2" t="str">
        <f>TEXT(WEEKDAY(DATE(ปีปฏิทิน,10,20),1),"aaa")</f>
        <v>อา.</v>
      </c>
      <c r="W5" s="2" t="str">
        <f>TEXT(WEEKDAY(DATE(ปีปฏิทิน,10,21),1),"aaa")</f>
        <v>จ.</v>
      </c>
      <c r="X5" s="2" t="str">
        <f>TEXT(WEEKDAY(DATE(ปีปฏิทิน,10,22),1),"aaa")</f>
        <v>อ.</v>
      </c>
      <c r="Y5" s="2" t="str">
        <f>TEXT(WEEKDAY(DATE(ปีปฏิทิน,10,23),1),"aaa")</f>
        <v>พ.</v>
      </c>
      <c r="Z5" s="2" t="str">
        <f>TEXT(WEEKDAY(DATE(ปีปฏิทิน,10,24),1),"aaa")</f>
        <v>พฤ.</v>
      </c>
      <c r="AA5" s="2" t="str">
        <f>TEXT(WEEKDAY(DATE(ปีปฏิทิน,10,25),1),"aaa")</f>
        <v>ศ.</v>
      </c>
      <c r="AB5" s="2" t="str">
        <f>TEXT(WEEKDAY(DATE(ปีปฏิทิน,10,26),1),"aaa")</f>
        <v>ส.</v>
      </c>
      <c r="AC5" s="2" t="str">
        <f>TEXT(WEEKDAY(DATE(ปีปฏิทิน,10,27),1),"aaa")</f>
        <v>อา.</v>
      </c>
      <c r="AD5" s="2" t="str">
        <f>TEXT(WEEKDAY(DATE(ปีปฏิทิน,10,28),1),"aaa")</f>
        <v>จ.</v>
      </c>
      <c r="AE5" s="2" t="str">
        <f>TEXT(WEEKDAY(DATE(ปีปฏิทิน,10,29),1),"aaa")</f>
        <v>อ.</v>
      </c>
      <c r="AF5" s="2" t="str">
        <f>TEXT(WEEKDAY(DATE(ปีปฏิทิน,10,30),1),"aaa")</f>
        <v>พ.</v>
      </c>
      <c r="AG5" s="2" t="str">
        <f>TEXT(WEEKDAY(DATE(ปีปฏิทิน,10,31),1),"aaa")</f>
        <v>พฤ.</v>
      </c>
      <c r="AH5" s="9"/>
    </row>
    <row r="6" spans="2:34" ht="15" customHeight="1" x14ac:dyDescent="0.25">
      <c r="B6" s="11" t="s">
        <v>3</v>
      </c>
      <c r="C6" s="3" t="s">
        <v>11</v>
      </c>
      <c r="D6" s="3" t="s">
        <v>13</v>
      </c>
      <c r="E6" s="3" t="s">
        <v>14</v>
      </c>
      <c r="F6" s="3" t="s">
        <v>16</v>
      </c>
      <c r="G6" s="3" t="s">
        <v>17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24</v>
      </c>
      <c r="M6" s="3" t="s">
        <v>25</v>
      </c>
      <c r="N6" s="3" t="s">
        <v>26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33</v>
      </c>
      <c r="T6" s="3" t="s">
        <v>34</v>
      </c>
      <c r="U6" s="3" t="s">
        <v>35</v>
      </c>
      <c r="V6" s="3" t="s">
        <v>36</v>
      </c>
      <c r="W6" s="3" t="s">
        <v>37</v>
      </c>
      <c r="X6" s="3" t="s">
        <v>38</v>
      </c>
      <c r="Y6" s="3" t="s">
        <v>39</v>
      </c>
      <c r="Z6" s="3" t="s">
        <v>40</v>
      </c>
      <c r="AA6" s="3" t="s">
        <v>41</v>
      </c>
      <c r="AB6" s="3" t="s">
        <v>42</v>
      </c>
      <c r="AC6" s="3" t="s">
        <v>43</v>
      </c>
      <c r="AD6" s="3" t="s">
        <v>44</v>
      </c>
      <c r="AE6" s="3" t="s">
        <v>45</v>
      </c>
      <c r="AF6" s="3" t="s">
        <v>46</v>
      </c>
      <c r="AG6" s="3" t="s">
        <v>47</v>
      </c>
      <c r="AH6" s="12" t="s">
        <v>49</v>
      </c>
    </row>
    <row r="7" spans="2:34" ht="30" customHeight="1" x14ac:dyDescent="0.25">
      <c r="B7" s="13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7">
        <f>COUNTA(ตุลาคม[[#This Row],[1]:[31]])</f>
        <v>0</v>
      </c>
    </row>
    <row r="8" spans="2:34" ht="30" customHeight="1" x14ac:dyDescent="0.25">
      <c r="B8" s="13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7">
        <f>COUNTA(ตุลาคม[[#This Row],[1]:[31]])</f>
        <v>0</v>
      </c>
    </row>
    <row r="9" spans="2:34" ht="30" customHeight="1" x14ac:dyDescent="0.25">
      <c r="B9" s="13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7">
        <f>COUNTA(ตุลาคม[[#This Row],[1]:[31]])</f>
        <v>0</v>
      </c>
    </row>
    <row r="10" spans="2:34" ht="30" customHeight="1" x14ac:dyDescent="0.25">
      <c r="B10" s="13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7">
        <f>COUNTA(ตุลาคม[[#This Row],[1]:[31]])</f>
        <v>0</v>
      </c>
    </row>
    <row r="11" spans="2:34" ht="30" customHeight="1" x14ac:dyDescent="0.25">
      <c r="B11" s="13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7">
        <f>COUNTA(ตุลาคม[[#This Row],[1]:[31]])</f>
        <v>0</v>
      </c>
    </row>
    <row r="12" spans="2:34" ht="30" customHeight="1" x14ac:dyDescent="0.25">
      <c r="B12" s="17" t="str">
        <f>MonthName&amp;" ผลรวม"</f>
        <v>ตุลาคม ผลรวม</v>
      </c>
      <c r="C12" s="26">
        <f>SUBTOTAL(103,ตุลาคม[1])</f>
        <v>0</v>
      </c>
      <c r="D12" s="26">
        <f>SUBTOTAL(103,ตุลาคม[2])</f>
        <v>0</v>
      </c>
      <c r="E12" s="26">
        <f>SUBTOTAL(103,ตุลาคม[3])</f>
        <v>0</v>
      </c>
      <c r="F12" s="26">
        <f>SUBTOTAL(103,ตุลาคม[4])</f>
        <v>0</v>
      </c>
      <c r="G12" s="26">
        <f>SUBTOTAL(103,ตุลาคม[5])</f>
        <v>0</v>
      </c>
      <c r="H12" s="26">
        <f>SUBTOTAL(103,ตุลาคม[6])</f>
        <v>0</v>
      </c>
      <c r="I12" s="26">
        <f>SUBTOTAL(103,ตุลาคม[7])</f>
        <v>0</v>
      </c>
      <c r="J12" s="26">
        <f>SUBTOTAL(103,ตุลาคม[8])</f>
        <v>0</v>
      </c>
      <c r="K12" s="26">
        <f>SUBTOTAL(103,ตุลาคม[9])</f>
        <v>0</v>
      </c>
      <c r="L12" s="26">
        <f>SUBTOTAL(103,ตุลาคม[10])</f>
        <v>0</v>
      </c>
      <c r="M12" s="26">
        <f>SUBTOTAL(103,ตุลาคม[11])</f>
        <v>0</v>
      </c>
      <c r="N12" s="26">
        <f>SUBTOTAL(103,ตุลาคม[12])</f>
        <v>0</v>
      </c>
      <c r="O12" s="26">
        <f>SUBTOTAL(103,ตุลาคม[13])</f>
        <v>0</v>
      </c>
      <c r="P12" s="26">
        <f>SUBTOTAL(103,ตุลาคม[14])</f>
        <v>0</v>
      </c>
      <c r="Q12" s="26">
        <f>SUBTOTAL(103,ตุลาคม[15])</f>
        <v>0</v>
      </c>
      <c r="R12" s="26">
        <f>SUBTOTAL(103,ตุลาคม[16])</f>
        <v>0</v>
      </c>
      <c r="S12" s="26">
        <f>SUBTOTAL(103,ตุลาคม[17])</f>
        <v>0</v>
      </c>
      <c r="T12" s="26">
        <f>SUBTOTAL(103,ตุลาคม[18])</f>
        <v>0</v>
      </c>
      <c r="U12" s="26">
        <f>SUBTOTAL(103,ตุลาคม[19])</f>
        <v>0</v>
      </c>
      <c r="V12" s="26">
        <f>SUBTOTAL(103,ตุลาคม[20])</f>
        <v>0</v>
      </c>
      <c r="W12" s="26">
        <f>SUBTOTAL(103,ตุลาคม[21])</f>
        <v>0</v>
      </c>
      <c r="X12" s="26">
        <f>SUBTOTAL(103,ตุลาคม[22])</f>
        <v>0</v>
      </c>
      <c r="Y12" s="26">
        <f>SUBTOTAL(103,ตุลาคม[23])</f>
        <v>0</v>
      </c>
      <c r="Z12" s="26">
        <f>SUBTOTAL(103,ตุลาคม[24])</f>
        <v>0</v>
      </c>
      <c r="AA12" s="26">
        <f>SUBTOTAL(103,ตุลาคม[25])</f>
        <v>0</v>
      </c>
      <c r="AB12" s="26">
        <f>SUBTOTAL(103,ตุลาคม[26])</f>
        <v>0</v>
      </c>
      <c r="AC12" s="26">
        <f>SUBTOTAL(103,ตุลาคม[27])</f>
        <v>0</v>
      </c>
      <c r="AD12" s="26">
        <f>SUBTOTAL(103,ตุลาคม[28])</f>
        <v>0</v>
      </c>
      <c r="AE12" s="26">
        <f>SUBTOTAL(103,ตุลาคม[29])</f>
        <v>0</v>
      </c>
      <c r="AF12" s="26">
        <f>SUBTOTAL(103,ตุลาคม[30])</f>
        <v>0</v>
      </c>
      <c r="AG12" s="26">
        <f>SUBTOTAL(103,ตุลาคม[31])</f>
        <v>0</v>
      </c>
      <c r="AH12" s="26">
        <f>SUBTOTAL(109,ตุลาคม[จำนวนวัน:])</f>
        <v>0</v>
      </c>
    </row>
  </sheetData>
  <mergeCells count="3">
    <mergeCell ref="C4:AG4"/>
    <mergeCell ref="D2:F2"/>
    <mergeCell ref="H2:I2"/>
  </mergeCells>
  <conditionalFormatting sqref="C7:AG11">
    <cfRule type="expression" priority="1" stopIfTrue="1">
      <formula>C7=""</formula>
    </cfRule>
  </conditionalFormatting>
  <conditionalFormatting sqref="C7:AG11">
    <cfRule type="expression" dxfId="254" priority="2" stopIfTrue="1">
      <formula>C7=KeyCustom2</formula>
    </cfRule>
    <cfRule type="expression" dxfId="253" priority="3" stopIfTrue="1">
      <formula>C7=KeyCustom1</formula>
    </cfRule>
    <cfRule type="expression" dxfId="252" priority="4" stopIfTrue="1">
      <formula>C7=KeySick</formula>
    </cfRule>
    <cfRule type="expression" dxfId="251" priority="5" stopIfTrue="1">
      <formula>C7=KeyPersonal</formula>
    </cfRule>
    <cfRule type="expression" dxfId="250" priority="6" stopIfTrue="1">
      <formula>C7=KeyVacation</formula>
    </cfRule>
  </conditionalFormatting>
  <conditionalFormatting sqref="AH7:AH11">
    <cfRule type="dataBar" priority="7">
      <dataBar>
        <cfvo type="min"/>
        <cfvo type="formula" val="DATEDIF(DATE(ปีปฏิทิน,2,1),DATE(ปีปฏิทิน,3,1),&quot;d&quot;)"/>
        <color theme="2" tint="-0.249977111117893"/>
      </dataBar>
      <extLst>
        <ext xmlns:x14="http://schemas.microsoft.com/office/spreadsheetml/2009/9/main" uri="{B025F937-C7B1-47D3-B67F-A62EFF666E3E}">
          <x14:id>{F32A08EA-50E8-4B5F-AB1F-5A7739FBC16C}</x14:id>
        </ext>
      </extLst>
    </cfRule>
  </conditionalFormatting>
  <dataValidations count="14">
    <dataValidation allowBlank="1" showInputMessage="1" showErrorMessage="1" prompt="วันในสัปดาห์ในแถวนี้จะถูกอัปเดตโดยอัตโนมัติในแต่ละเดือนโดยอ้างอิงจากปีใน AH4 แต่ละวันในแต่ละเดือนเป็นคอลัมน์เพื่อบันทึกการขาดงานของพนักงานและประเภทการขาดงาน" sqref="C5" xr:uid="{00000000-0002-0000-0900-000000000000}"/>
    <dataValidation allowBlank="1" showInputMessage="1" showErrorMessage="1" prompt="ปีจะถูกอัปเดตโดยอัตโนมัติโดยอ้างอิงจากปีที่ใส่ในเวิร์กชีต มกราคม" sqref="AH4" xr:uid="{00000000-0002-0000-0900-000001000000}"/>
    <dataValidation allowBlank="1" showInputMessage="1" showErrorMessage="1" prompt="คำนวณจำนวนวันทั้งหมดที่พนักงานขาดงานในเดือนนี้โดยอัตโนมัติในคอลัมน์นี้" sqref="AH6" xr:uid="{00000000-0002-0000-0900-000002000000}"/>
    <dataValidation allowBlank="1" showInputMessage="1" showErrorMessage="1" prompt="ติดตามการขาดงานเดือนตุลาคมในเวิร์กชีตนี้" sqref="A1" xr:uid="{00000000-0002-0000-0900-000003000000}"/>
    <dataValidation errorStyle="warning" allowBlank="1" showInputMessage="1" showErrorMessage="1" error="เลือกชื่อจากรายการ เลือกยกเลิก จากนั้นกด ALT+ลูกศรลง จากนั้นกด ENTER เพื่อเลือกชื่อ" prompt="ใส่ชื่อพนักงานในเวิร์กชีต ชื่อพนักงาน จากนั้นเลือกหนึ่งในชื่อเหล่านั้นจากรายการในคอลัมน์นี้ กด ALT+ลูกศรลง จากนั้นกด ENTER เพื่อเลือกชื่อ" sqref="B6" xr:uid="{00000000-0002-0000-0900-000004000000}"/>
    <dataValidation allowBlank="1" showInputMessage="1" showErrorMessage="1" prompt="ชื่อเรื่องจะถูกอัปเดตโดยอัตโนมัติในเซลล์นี้ เมื่อต้องการปรับเปลี่ยนชื่อเรื่อง ให้อัปเดต B1 บนเวิร์กชีต มกราคม" sqref="B1" xr:uid="{00000000-0002-0000-0900-000005000000}"/>
    <dataValidation allowBlank="1" showInputMessage="1" showErrorMessage="1" prompt="ตัวอักษร “V” ระบุถึงการขาดงานเนื่องจากลาพักร้อน" sqref="C2" xr:uid="{ACFF28B4-5CDA-47A8-A0A1-874BA9C2F3B6}"/>
    <dataValidation allowBlank="1" showInputMessage="1" showErrorMessage="1" prompt="ตัวอักษร “P” ระบุถึงการขาดงานเนื่องจากลากิจ" sqref="G2" xr:uid="{FBDC6DF1-B251-47DD-81F6-E4E1ED429D22}"/>
    <dataValidation allowBlank="1" showInputMessage="1" showErrorMessage="1" prompt="ตัวอักษร “S” ระบุถึงการขาดงานเนื่องจากลาป่วย" sqref="J2" xr:uid="{9AB52BDB-F948-441B-90F6-5DECE08F2F85}"/>
    <dataValidation allowBlank="1" showInputMessage="1" showErrorMessage="1" prompt="ใส่ตัวอักษรและกำหนดป้ายชื่อด้วยตนเองที่ด้านขวาเพื่อเพิ่มรายการคีย์อื่นๆ" sqref="L2 P2" xr:uid="{C26FE781-211B-4A77-8822-A56BB49B310A}"/>
    <dataValidation allowBlank="1" showInputMessage="1" showErrorMessage="1" prompt="ใส่ป้ายชื่อเพื่ออธิบายปุ่มแบบกำหนดเองที่ด้านซ้าย" sqref="M2:O2 Q2:S2" xr:uid="{4AD2A36B-EB07-4CE8-A073-67CA9024EFA6}"/>
    <dataValidation allowBlank="1" showInputMessage="1" showErrorMessage="1" prompt="แถวนี้ระบุถึงคีย์ที่ใช้ในตาราง: เซลล์ C2 เป็นลาพักร้อน, G2 เป็นลากิจ และ K2 เป็นลาป่วย เซลล์ N2 และ R2 สามารถกำหนดเองได้" sqref="B2" xr:uid="{00000000-0002-0000-0900-00000B000000}"/>
    <dataValidation allowBlank="1" showInputMessage="1" showErrorMessage="1" prompt="ชื่อเดือนสำหรับตารางการขาดงานนี้จะอยู่ในเซลล์นี้ จำนวนการขาดงานสำหรับเดือนนี้จะอยู่ในเซลล์สุดท้ายของตาราง เลือกชื่อพนักงานจากคอลัมน์ B ในตาราง" sqref="B4" xr:uid="{00000000-0002-0000-0900-00000C000000}"/>
    <dataValidation allowBlank="1" showInputMessage="1" showErrorMessage="1" prompt="วันของเดือนในแถวนี้จะถูกสร้างโดยอัตโนมัติ ใส่การขาดงานของพนักงานและประเภทการขาดงานในแต่ละคอลัมน์ในแต่ละวันของเดือน ช่องว่างหมายถึงไม่ได้ขาดงาน" sqref="C6" xr:uid="{00000000-0002-0000-0900-00000D000000}"/>
  </dataValidations>
  <printOptions horizontalCentered="1"/>
  <pageMargins left="0.25" right="0.25" top="0.75" bottom="0.75" header="0.3" footer="0.3"/>
  <pageSetup paperSize="9" scale="68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2A08EA-50E8-4B5F-AB1F-5A7739FBC16C}">
            <x14:dataBar minLength="0" maxLength="100">
              <x14:cfvo type="autoMin"/>
              <x14:cfvo type="formula">
                <xm:f>DATEDIF(DATE(ปีปฏิทิน,2,1),DATE(ปีปฏิทิน,3,1),"d")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900-00000E000000}">
          <x14:formula1>
            <xm:f>ชื่อพนักงาน!$B$4:$B$8</xm:f>
          </x14:formula1>
          <xm:sqref>B7:B11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2" tint="-0.249977111117893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625" style="8" customWidth="1"/>
    <col min="2" max="2" width="25.625" style="8" customWidth="1"/>
    <col min="3" max="33" width="4.625" style="8" customWidth="1"/>
    <col min="34" max="34" width="13.5" style="8" customWidth="1"/>
    <col min="35" max="35" width="2.625" customWidth="1"/>
  </cols>
  <sheetData>
    <row r="1" spans="2:34" ht="50.1" customHeight="1" x14ac:dyDescent="0.25">
      <c r="B1" s="10" t="str">
        <f>Employee_Absence_Title</f>
        <v>กำหนดการการขาดงานของพนักงาน</v>
      </c>
    </row>
    <row r="2" spans="2:34" ht="15" customHeight="1" x14ac:dyDescent="0.25">
      <c r="B2" s="15" t="s">
        <v>1</v>
      </c>
      <c r="C2" s="4" t="s">
        <v>9</v>
      </c>
      <c r="D2" s="29" t="s">
        <v>12</v>
      </c>
      <c r="E2" s="29"/>
      <c r="F2" s="29"/>
      <c r="G2" s="5" t="s">
        <v>15</v>
      </c>
      <c r="H2" s="29" t="s">
        <v>18</v>
      </c>
      <c r="I2" s="29"/>
      <c r="J2" s="20" t="s">
        <v>63</v>
      </c>
      <c r="K2" s="24" t="s">
        <v>23</v>
      </c>
      <c r="L2" s="21"/>
      <c r="M2" s="27" t="s">
        <v>27</v>
      </c>
      <c r="N2" s="27"/>
      <c r="O2" s="27"/>
      <c r="P2" s="22"/>
      <c r="Q2" s="27" t="s">
        <v>32</v>
      </c>
      <c r="R2" s="27"/>
      <c r="S2" s="27"/>
    </row>
    <row r="3" spans="2:34" ht="15" customHeight="1" x14ac:dyDescent="0.25">
      <c r="B3" s="10"/>
    </row>
    <row r="4" spans="2:34" ht="30" customHeight="1" x14ac:dyDescent="0.25">
      <c r="B4" s="9" t="s">
        <v>60</v>
      </c>
      <c r="C4" s="28" t="s">
        <v>10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9">
        <f>ปีปฏิทิน</f>
        <v>2019</v>
      </c>
    </row>
    <row r="5" spans="2:34" ht="15" customHeight="1" x14ac:dyDescent="0.25">
      <c r="B5" s="9"/>
      <c r="C5" s="2" t="str">
        <f>TEXT(WEEKDAY(DATE(ปีปฏิทิน,11,1),1),"aaa")</f>
        <v>ศ.</v>
      </c>
      <c r="D5" s="2" t="str">
        <f>TEXT(WEEKDAY(DATE(ปีปฏิทิน,11,2),1),"aaa")</f>
        <v>ส.</v>
      </c>
      <c r="E5" s="2" t="str">
        <f>TEXT(WEEKDAY(DATE(ปีปฏิทิน,11,3),1),"aaa")</f>
        <v>อา.</v>
      </c>
      <c r="F5" s="2" t="str">
        <f>TEXT(WEEKDAY(DATE(ปีปฏิทิน,11,4),1),"aaa")</f>
        <v>จ.</v>
      </c>
      <c r="G5" s="2" t="str">
        <f>TEXT(WEEKDAY(DATE(ปีปฏิทิน,11,5),1),"aaa")</f>
        <v>อ.</v>
      </c>
      <c r="H5" s="2" t="str">
        <f>TEXT(WEEKDAY(DATE(ปีปฏิทิน,11,6),1),"aaa")</f>
        <v>พ.</v>
      </c>
      <c r="I5" s="2" t="str">
        <f>TEXT(WEEKDAY(DATE(ปีปฏิทิน,11,7),1),"aaa")</f>
        <v>พฤ.</v>
      </c>
      <c r="J5" s="2" t="str">
        <f>TEXT(WEEKDAY(DATE(ปีปฏิทิน,11,8),1),"aaa")</f>
        <v>ศ.</v>
      </c>
      <c r="K5" s="2" t="str">
        <f>TEXT(WEEKDAY(DATE(ปีปฏิทิน,11,9),1),"aaa")</f>
        <v>ส.</v>
      </c>
      <c r="L5" s="2" t="str">
        <f>TEXT(WEEKDAY(DATE(ปีปฏิทิน,11,10),1),"aaa")</f>
        <v>อา.</v>
      </c>
      <c r="M5" s="2" t="str">
        <f>TEXT(WEEKDAY(DATE(ปีปฏิทิน,11,11),1),"aaa")</f>
        <v>จ.</v>
      </c>
      <c r="N5" s="2" t="str">
        <f>TEXT(WEEKDAY(DATE(ปีปฏิทิน,11,12),1),"aaa")</f>
        <v>อ.</v>
      </c>
      <c r="O5" s="2" t="str">
        <f>TEXT(WEEKDAY(DATE(ปีปฏิทิน,11,13),1),"aaa")</f>
        <v>พ.</v>
      </c>
      <c r="P5" s="2" t="str">
        <f>TEXT(WEEKDAY(DATE(ปีปฏิทิน,11,14),1),"aaa")</f>
        <v>พฤ.</v>
      </c>
      <c r="Q5" s="2" t="str">
        <f>TEXT(WEEKDAY(DATE(ปีปฏิทิน,11,15),1),"aaa")</f>
        <v>ศ.</v>
      </c>
      <c r="R5" s="2" t="str">
        <f>TEXT(WEEKDAY(DATE(ปีปฏิทิน,11,16),1),"aaa")</f>
        <v>ส.</v>
      </c>
      <c r="S5" s="2" t="str">
        <f>TEXT(WEEKDAY(DATE(ปีปฏิทิน,11,17),1),"aaa")</f>
        <v>อา.</v>
      </c>
      <c r="T5" s="2" t="str">
        <f>TEXT(WEEKDAY(DATE(ปีปฏิทิน,11,18),1),"aaa")</f>
        <v>จ.</v>
      </c>
      <c r="U5" s="2" t="str">
        <f>TEXT(WEEKDAY(DATE(ปีปฏิทิน,11,19),1),"aaa")</f>
        <v>อ.</v>
      </c>
      <c r="V5" s="2" t="str">
        <f>TEXT(WEEKDAY(DATE(ปีปฏิทิน,11,20),1),"aaa")</f>
        <v>พ.</v>
      </c>
      <c r="W5" s="2" t="str">
        <f>TEXT(WEEKDAY(DATE(ปีปฏิทิน,11,21),1),"aaa")</f>
        <v>พฤ.</v>
      </c>
      <c r="X5" s="2" t="str">
        <f>TEXT(WEEKDAY(DATE(ปีปฏิทิน,11,22),1),"aaa")</f>
        <v>ศ.</v>
      </c>
      <c r="Y5" s="2" t="str">
        <f>TEXT(WEEKDAY(DATE(ปีปฏิทิน,11,23),1),"aaa")</f>
        <v>ส.</v>
      </c>
      <c r="Z5" s="2" t="str">
        <f>TEXT(WEEKDAY(DATE(ปีปฏิทิน,11,24),1),"aaa")</f>
        <v>อา.</v>
      </c>
      <c r="AA5" s="2" t="str">
        <f>TEXT(WEEKDAY(DATE(ปีปฏิทิน,11,25),1),"aaa")</f>
        <v>จ.</v>
      </c>
      <c r="AB5" s="2" t="str">
        <f>TEXT(WEEKDAY(DATE(ปีปฏิทิน,11,26),1),"aaa")</f>
        <v>อ.</v>
      </c>
      <c r="AC5" s="2" t="str">
        <f>TEXT(WEEKDAY(DATE(ปีปฏิทิน,11,27),1),"aaa")</f>
        <v>พ.</v>
      </c>
      <c r="AD5" s="2" t="str">
        <f>TEXT(WEEKDAY(DATE(ปีปฏิทิน,11,28),1),"aaa")</f>
        <v>พฤ.</v>
      </c>
      <c r="AE5" s="2" t="str">
        <f>TEXT(WEEKDAY(DATE(ปีปฏิทิน,11,29),1),"aaa")</f>
        <v>ศ.</v>
      </c>
      <c r="AF5" s="2" t="str">
        <f>TEXT(WEEKDAY(DATE(ปีปฏิทิน,11,30),1),"aaa")</f>
        <v>ส.</v>
      </c>
      <c r="AG5" s="2"/>
      <c r="AH5" s="9"/>
    </row>
    <row r="6" spans="2:34" ht="15" customHeight="1" x14ac:dyDescent="0.25">
      <c r="B6" s="11" t="s">
        <v>3</v>
      </c>
      <c r="C6" s="3" t="s">
        <v>11</v>
      </c>
      <c r="D6" s="3" t="s">
        <v>13</v>
      </c>
      <c r="E6" s="3" t="s">
        <v>14</v>
      </c>
      <c r="F6" s="3" t="s">
        <v>16</v>
      </c>
      <c r="G6" s="3" t="s">
        <v>17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24</v>
      </c>
      <c r="M6" s="3" t="s">
        <v>25</v>
      </c>
      <c r="N6" s="3" t="s">
        <v>26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33</v>
      </c>
      <c r="T6" s="3" t="s">
        <v>34</v>
      </c>
      <c r="U6" s="3" t="s">
        <v>35</v>
      </c>
      <c r="V6" s="3" t="s">
        <v>36</v>
      </c>
      <c r="W6" s="3" t="s">
        <v>37</v>
      </c>
      <c r="X6" s="3" t="s">
        <v>38</v>
      </c>
      <c r="Y6" s="3" t="s">
        <v>39</v>
      </c>
      <c r="Z6" s="3" t="s">
        <v>40</v>
      </c>
      <c r="AA6" s="3" t="s">
        <v>41</v>
      </c>
      <c r="AB6" s="3" t="s">
        <v>42</v>
      </c>
      <c r="AC6" s="3" t="s">
        <v>43</v>
      </c>
      <c r="AD6" s="3" t="s">
        <v>44</v>
      </c>
      <c r="AE6" s="3" t="s">
        <v>45</v>
      </c>
      <c r="AF6" s="3" t="s">
        <v>46</v>
      </c>
      <c r="AG6" s="3" t="s">
        <v>51</v>
      </c>
      <c r="AH6" s="12" t="s">
        <v>49</v>
      </c>
    </row>
    <row r="7" spans="2:34" ht="30" customHeight="1" x14ac:dyDescent="0.25">
      <c r="B7" s="13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7">
        <f>COUNTA(พฤศจิกายน[[#This Row],[1]:[30]])</f>
        <v>0</v>
      </c>
    </row>
    <row r="8" spans="2:34" ht="30" customHeight="1" x14ac:dyDescent="0.25">
      <c r="B8" s="13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7">
        <f>COUNTA(พฤศจิกายน[[#This Row],[1]:[30]])</f>
        <v>0</v>
      </c>
    </row>
    <row r="9" spans="2:34" ht="30" customHeight="1" x14ac:dyDescent="0.25">
      <c r="B9" s="13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7">
        <f>COUNTA(พฤศจิกายน[[#This Row],[1]:[30]])</f>
        <v>0</v>
      </c>
    </row>
    <row r="10" spans="2:34" ht="30" customHeight="1" x14ac:dyDescent="0.25">
      <c r="B10" s="13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7">
        <f>COUNTA(พฤศจิกายน[[#This Row],[1]:[30]])</f>
        <v>0</v>
      </c>
    </row>
    <row r="11" spans="2:34" ht="30" customHeight="1" x14ac:dyDescent="0.25">
      <c r="B11" s="13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7">
        <f>COUNTA(พฤศจิกายน[[#This Row],[1]:[30]])</f>
        <v>0</v>
      </c>
    </row>
    <row r="12" spans="2:34" ht="30" customHeight="1" x14ac:dyDescent="0.25">
      <c r="B12" s="17" t="str">
        <f>MonthName&amp;" ผลรวม"</f>
        <v>พฤศจิกายน ผลรวม</v>
      </c>
      <c r="C12" s="26">
        <f>SUBTOTAL(103,พฤศจิกายน[1])</f>
        <v>0</v>
      </c>
      <c r="D12" s="26">
        <f>SUBTOTAL(103,พฤศจิกายน[2])</f>
        <v>0</v>
      </c>
      <c r="E12" s="26">
        <f>SUBTOTAL(103,พฤศจิกายน[3])</f>
        <v>0</v>
      </c>
      <c r="F12" s="26">
        <f>SUBTOTAL(103,พฤศจิกายน[4])</f>
        <v>0</v>
      </c>
      <c r="G12" s="26">
        <f>SUBTOTAL(103,พฤศจิกายน[5])</f>
        <v>0</v>
      </c>
      <c r="H12" s="26">
        <f>SUBTOTAL(103,พฤศจิกายน[6])</f>
        <v>0</v>
      </c>
      <c r="I12" s="26">
        <f>SUBTOTAL(103,พฤศจิกายน[7])</f>
        <v>0</v>
      </c>
      <c r="J12" s="26">
        <f>SUBTOTAL(103,พฤศจิกายน[8])</f>
        <v>0</v>
      </c>
      <c r="K12" s="26">
        <f>SUBTOTAL(103,พฤศจิกายน[9])</f>
        <v>0</v>
      </c>
      <c r="L12" s="26">
        <f>SUBTOTAL(103,พฤศจิกายน[10])</f>
        <v>0</v>
      </c>
      <c r="M12" s="26">
        <f>SUBTOTAL(103,พฤศจิกายน[11])</f>
        <v>0</v>
      </c>
      <c r="N12" s="26">
        <f>SUBTOTAL(103,พฤศจิกายน[12])</f>
        <v>0</v>
      </c>
      <c r="O12" s="26">
        <f>SUBTOTAL(103,พฤศจิกายน[13])</f>
        <v>0</v>
      </c>
      <c r="P12" s="26">
        <f>SUBTOTAL(103,พฤศจิกายน[14])</f>
        <v>0</v>
      </c>
      <c r="Q12" s="26">
        <f>SUBTOTAL(103,พฤศจิกายน[15])</f>
        <v>0</v>
      </c>
      <c r="R12" s="26">
        <f>SUBTOTAL(103,พฤศจิกายน[16])</f>
        <v>0</v>
      </c>
      <c r="S12" s="26">
        <f>SUBTOTAL(103,พฤศจิกายน[17])</f>
        <v>0</v>
      </c>
      <c r="T12" s="26">
        <f>SUBTOTAL(103,พฤศจิกายน[18])</f>
        <v>0</v>
      </c>
      <c r="U12" s="26">
        <f>SUBTOTAL(103,พฤศจิกายน[19])</f>
        <v>0</v>
      </c>
      <c r="V12" s="26">
        <f>SUBTOTAL(103,พฤศจิกายน[20])</f>
        <v>0</v>
      </c>
      <c r="W12" s="26">
        <f>SUBTOTAL(103,พฤศจิกายน[21])</f>
        <v>0</v>
      </c>
      <c r="X12" s="26">
        <f>SUBTOTAL(103,พฤศจิกายน[22])</f>
        <v>0</v>
      </c>
      <c r="Y12" s="26">
        <f>SUBTOTAL(103,พฤศจิกายน[23])</f>
        <v>0</v>
      </c>
      <c r="Z12" s="26">
        <f>SUBTOTAL(103,พฤศจิกายน[24])</f>
        <v>0</v>
      </c>
      <c r="AA12" s="26">
        <f>SUBTOTAL(103,พฤศจิกายน[25])</f>
        <v>0</v>
      </c>
      <c r="AB12" s="26">
        <f>SUBTOTAL(103,พฤศจิกายน[26])</f>
        <v>0</v>
      </c>
      <c r="AC12" s="26">
        <f>SUBTOTAL(103,พฤศจิกายน[27])</f>
        <v>0</v>
      </c>
      <c r="AD12" s="26">
        <f>SUBTOTAL(103,พฤศจิกายน[28])</f>
        <v>0</v>
      </c>
      <c r="AE12" s="26">
        <f>SUBTOTAL(103,พฤศจิกายน[29])</f>
        <v>0</v>
      </c>
      <c r="AF12" s="26">
        <f>SUBTOTAL(103,พฤศจิกายน[30])</f>
        <v>0</v>
      </c>
      <c r="AG12" s="26">
        <f>SUBTOTAL(103,พฤศจิกายน[[ ]])</f>
        <v>0</v>
      </c>
      <c r="AH12" s="26">
        <f>SUBTOTAL(109,พฤศจิกายน[จำนวนวัน:])</f>
        <v>0</v>
      </c>
    </row>
  </sheetData>
  <mergeCells count="3">
    <mergeCell ref="C4:AG4"/>
    <mergeCell ref="D2:F2"/>
    <mergeCell ref="H2:I2"/>
  </mergeCells>
  <conditionalFormatting sqref="C7:AG11">
    <cfRule type="expression" priority="1" stopIfTrue="1">
      <formula>C7=""</formula>
    </cfRule>
  </conditionalFormatting>
  <conditionalFormatting sqref="C7:AG11">
    <cfRule type="expression" dxfId="180" priority="2" stopIfTrue="1">
      <formula>C7=KeyCustom2</formula>
    </cfRule>
    <cfRule type="expression" dxfId="179" priority="3" stopIfTrue="1">
      <formula>C7=KeyCustom1</formula>
    </cfRule>
    <cfRule type="expression" dxfId="178" priority="4" stopIfTrue="1">
      <formula>C7=KeySick</formula>
    </cfRule>
    <cfRule type="expression" dxfId="177" priority="5" stopIfTrue="1">
      <formula>C7=KeyPersonal</formula>
    </cfRule>
    <cfRule type="expression" dxfId="176" priority="6" stopIfTrue="1">
      <formula>C7=KeyVacation</formula>
    </cfRule>
  </conditionalFormatting>
  <conditionalFormatting sqref="AH7:AH11">
    <cfRule type="dataBar" priority="7">
      <dataBar>
        <cfvo type="min"/>
        <cfvo type="formula" val="DATEDIF(DATE(ปีปฏิทิน,2,1),DATE(ปีปฏิทิน,3,1),&quot;d&quot;)"/>
        <color theme="2" tint="-0.249977111117893"/>
      </dataBar>
      <extLst>
        <ext xmlns:x14="http://schemas.microsoft.com/office/spreadsheetml/2009/9/main" uri="{B025F937-C7B1-47D3-B67F-A62EFF666E3E}">
          <x14:id>{27D92E49-5CF1-46DF-AD7A-3A5E92F274F3}</x14:id>
        </ext>
      </extLst>
    </cfRule>
  </conditionalFormatting>
  <dataValidations count="14">
    <dataValidation allowBlank="1" showInputMessage="1" showErrorMessage="1" prompt="วันของเดือนในแถวนี้จะถูกสร้างโดยอัตโนมัติ ใส่การขาดงานของพนักงานและประเภทการขาดงานในแต่ละคอลัมน์ในแต่ละวันของเดือน ช่องว่างหมายถึงไม่ได้ขาดงาน" sqref="C6" xr:uid="{00000000-0002-0000-0A00-000000000000}"/>
    <dataValidation allowBlank="1" showInputMessage="1" showErrorMessage="1" prompt="ชื่อเดือนสำหรับตารางการขาดงานนี้จะอยู่ในเซลล์นี้ จำนวนการขาดงานสำหรับเดือนนี้จะอยู่ในเซลล์สุดท้ายของตาราง เลือกชื่อพนักงานจากคอลัมน์ B ในตาราง" sqref="B4" xr:uid="{00000000-0002-0000-0A00-000001000000}"/>
    <dataValidation allowBlank="1" showInputMessage="1" showErrorMessage="1" prompt="แถวนี้ระบุถึงคีย์ที่ใช้ในตาราง: เซลล์ C2 เป็นลาพักร้อน, G2 เป็นลากิจ และ K2 เป็นลาป่วย เซลล์ N2 และ R2 สามารถกำหนดเองได้" sqref="B2" xr:uid="{00000000-0002-0000-0A00-000002000000}"/>
    <dataValidation allowBlank="1" showInputMessage="1" showErrorMessage="1" prompt="ใส่ป้ายชื่อเพื่ออธิบายปุ่มแบบกำหนดเองที่ด้านซ้าย" sqref="M2:O2 Q2:S2" xr:uid="{2B5241E9-EFB2-43E4-A998-124ED31655D2}"/>
    <dataValidation allowBlank="1" showInputMessage="1" showErrorMessage="1" prompt="ใส่ตัวอักษรและกำหนดป้ายชื่อด้วยตนเองที่ด้านขวาเพื่อเพิ่มรายการคีย์อื่นๆ" sqref="L2 P2" xr:uid="{367A92CE-AB7D-43DC-93BC-24042D7C67A9}"/>
    <dataValidation allowBlank="1" showInputMessage="1" showErrorMessage="1" prompt="ตัวอักษร “S” ระบุถึงการขาดงานเนื่องจากลาป่วย" sqref="J2" xr:uid="{65EBDAE3-D2B2-49CB-9F1A-8A6D63BE9260}"/>
    <dataValidation allowBlank="1" showInputMessage="1" showErrorMessage="1" prompt="ตัวอักษร “P” ระบุถึงการขาดงานเนื่องจากลากิจ" sqref="G2" xr:uid="{4E4141E9-6B08-4A30-8BEB-EC62B2727768}"/>
    <dataValidation allowBlank="1" showInputMessage="1" showErrorMessage="1" prompt="ตัวอักษร “V” ระบุถึงการขาดงานเนื่องจากลาพักร้อน" sqref="C2" xr:uid="{65F3B4B9-F536-4C52-BFBE-EF1A0FC6F7DA}"/>
    <dataValidation allowBlank="1" showInputMessage="1" showErrorMessage="1" prompt="ชื่อเรื่องจะถูกอัปเดตโดยอัตโนมัติในเซลล์นี้ เมื่อต้องการปรับเปลี่ยนชื่อเรื่อง ให้อัปเดต B1 บนเวิร์กชีต มกราคม" sqref="B1" xr:uid="{00000000-0002-0000-0A00-000008000000}"/>
    <dataValidation errorStyle="warning" allowBlank="1" showInputMessage="1" showErrorMessage="1" error="เลือกชื่อจากรายการ เลือกยกเลิก จากนั้นกด ALT+ลูกศรลง จากนั้นกด ENTER เพื่อเลือกชื่อ" prompt="ใส่ชื่อพนักงานในเวิร์กชีต ชื่อพนักงาน จากนั้นเลือกหนึ่งในชื่อเหล่านั้นจากรายการในคอลัมน์นี้ กด ALT+ลูกศรลง จากนั้นกด ENTER เพื่อเลือกชื่อ" sqref="B6" xr:uid="{00000000-0002-0000-0A00-000009000000}"/>
    <dataValidation allowBlank="1" showInputMessage="1" showErrorMessage="1" prompt="ติดตามการขาดงานเดือนพฤศจิกายนในเวิร์กชีตนี้" sqref="A1" xr:uid="{00000000-0002-0000-0A00-00000A000000}"/>
    <dataValidation allowBlank="1" showInputMessage="1" showErrorMessage="1" prompt="คำนวณจำนวนวันทั้งหมดที่พนักงานขาดงานในเดือนนี้โดยอัตโนมัติในคอลัมน์นี้" sqref="AH6" xr:uid="{00000000-0002-0000-0A00-00000B000000}"/>
    <dataValidation allowBlank="1" showInputMessage="1" showErrorMessage="1" prompt="ปีจะถูกอัปเดตโดยอัตโนมัติโดยอ้างอิงจากปีที่ใส่ในเวิร์กชีต มกราคม" sqref="AH4" xr:uid="{00000000-0002-0000-0A00-00000C000000}"/>
    <dataValidation allowBlank="1" showInputMessage="1" showErrorMessage="1" prompt="วันในสัปดาห์ในแถวนี้จะถูกอัปเดตโดยอัตโนมัติในแต่ละเดือนโดยอ้างอิงจากปีใน AH4 แต่ละวันในแต่ละเดือนเป็นคอลัมน์เพื่อบันทึกการขาดงานของพนักงานและประเภทการขาดงาน" sqref="C5" xr:uid="{00000000-0002-0000-0A00-00000D000000}"/>
  </dataValidations>
  <printOptions horizontalCentered="1"/>
  <pageMargins left="0.25" right="0.25" top="0.75" bottom="0.75" header="0.3" footer="0.3"/>
  <pageSetup paperSize="9" scale="68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7D92E49-5CF1-46DF-AD7A-3A5E92F274F3}">
            <x14:dataBar minLength="0" maxLength="100">
              <x14:cfvo type="autoMin"/>
              <x14:cfvo type="formula">
                <xm:f>DATEDIF(DATE(ปีปฏิทิน,2,1),DATE(ปีปฏิทิน,3,1),"d")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A00-00000E000000}">
          <x14:formula1>
            <xm:f>ชื่อพนักงาน!$B$4:$B$8</xm:f>
          </x14:formula1>
          <xm:sqref>B7:B11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79998168889431442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625" style="8" customWidth="1"/>
    <col min="2" max="2" width="25.625" style="8" customWidth="1"/>
    <col min="3" max="33" width="4.625" style="8" customWidth="1"/>
    <col min="34" max="34" width="13.5" style="8" customWidth="1"/>
    <col min="35" max="35" width="2.625" customWidth="1"/>
  </cols>
  <sheetData>
    <row r="1" spans="2:34" ht="50.1" customHeight="1" x14ac:dyDescent="0.25">
      <c r="B1" s="10" t="str">
        <f>Employee_Absence_Title</f>
        <v>กำหนดการการขาดงานของพนักงาน</v>
      </c>
    </row>
    <row r="2" spans="2:34" ht="15" customHeight="1" x14ac:dyDescent="0.25">
      <c r="B2" s="15" t="s">
        <v>1</v>
      </c>
      <c r="C2" s="4" t="s">
        <v>9</v>
      </c>
      <c r="D2" s="29" t="s">
        <v>12</v>
      </c>
      <c r="E2" s="29"/>
      <c r="F2" s="29"/>
      <c r="G2" s="5" t="s">
        <v>15</v>
      </c>
      <c r="H2" s="29" t="s">
        <v>18</v>
      </c>
      <c r="I2" s="29"/>
      <c r="J2" s="20" t="s">
        <v>63</v>
      </c>
      <c r="K2" s="24" t="s">
        <v>23</v>
      </c>
      <c r="L2" s="21"/>
      <c r="M2" s="27" t="s">
        <v>27</v>
      </c>
      <c r="N2" s="27"/>
      <c r="O2" s="27"/>
      <c r="P2" s="22"/>
      <c r="Q2" s="27" t="s">
        <v>32</v>
      </c>
      <c r="R2" s="27"/>
      <c r="S2" s="27"/>
    </row>
    <row r="3" spans="2:34" ht="15" customHeight="1" x14ac:dyDescent="0.25">
      <c r="B3" s="10"/>
    </row>
    <row r="4" spans="2:34" ht="30" customHeight="1" x14ac:dyDescent="0.25">
      <c r="B4" s="9" t="s">
        <v>61</v>
      </c>
      <c r="C4" s="28" t="s">
        <v>10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9">
        <f>ปีปฏิทิน</f>
        <v>2019</v>
      </c>
    </row>
    <row r="5" spans="2:34" ht="15" customHeight="1" x14ac:dyDescent="0.25">
      <c r="B5" s="9"/>
      <c r="C5" s="2" t="str">
        <f>TEXT(WEEKDAY(DATE(ปีปฏิทิน,12,1),1),"aaa")</f>
        <v>อา.</v>
      </c>
      <c r="D5" s="2" t="str">
        <f>TEXT(WEEKDAY(DATE(ปีปฏิทิน,12,2),1),"aaa")</f>
        <v>จ.</v>
      </c>
      <c r="E5" s="2" t="str">
        <f>TEXT(WEEKDAY(DATE(ปีปฏิทิน,12,3),1),"aaa")</f>
        <v>อ.</v>
      </c>
      <c r="F5" s="2" t="str">
        <f>TEXT(WEEKDAY(DATE(ปีปฏิทิน,12,4),1),"aaa")</f>
        <v>พ.</v>
      </c>
      <c r="G5" s="2" t="str">
        <f>TEXT(WEEKDAY(DATE(ปีปฏิทิน,12,5),1),"aaa")</f>
        <v>พฤ.</v>
      </c>
      <c r="H5" s="2" t="str">
        <f>TEXT(WEEKDAY(DATE(ปีปฏิทิน,12,6),1),"aaa")</f>
        <v>ศ.</v>
      </c>
      <c r="I5" s="2" t="str">
        <f>TEXT(WEEKDAY(DATE(ปีปฏิทิน,12,7),1),"aaa")</f>
        <v>ส.</v>
      </c>
      <c r="J5" s="2" t="str">
        <f>TEXT(WEEKDAY(DATE(ปีปฏิทิน,12,8),1),"aaa")</f>
        <v>อา.</v>
      </c>
      <c r="K5" s="2" t="str">
        <f>TEXT(WEEKDAY(DATE(ปีปฏิทิน,12,9),1),"aaa")</f>
        <v>จ.</v>
      </c>
      <c r="L5" s="2" t="str">
        <f>TEXT(WEEKDAY(DATE(ปีปฏิทิน,12,10),1),"aaa")</f>
        <v>อ.</v>
      </c>
      <c r="M5" s="2" t="str">
        <f>TEXT(WEEKDAY(DATE(ปีปฏิทิน,12,11),1),"aaa")</f>
        <v>พ.</v>
      </c>
      <c r="N5" s="2" t="str">
        <f>TEXT(WEEKDAY(DATE(ปีปฏิทิน,12,12),1),"aaa")</f>
        <v>พฤ.</v>
      </c>
      <c r="O5" s="2" t="str">
        <f>TEXT(WEEKDAY(DATE(ปีปฏิทิน,12,13),1),"aaa")</f>
        <v>ศ.</v>
      </c>
      <c r="P5" s="2" t="str">
        <f>TEXT(WEEKDAY(DATE(ปีปฏิทิน,12,14),1),"aaa")</f>
        <v>ส.</v>
      </c>
      <c r="Q5" s="2" t="str">
        <f>TEXT(WEEKDAY(DATE(ปีปฏิทิน,12,15),1),"aaa")</f>
        <v>อา.</v>
      </c>
      <c r="R5" s="2" t="str">
        <f>TEXT(WEEKDAY(DATE(ปีปฏิทิน,12,16),1),"aaa")</f>
        <v>จ.</v>
      </c>
      <c r="S5" s="2" t="str">
        <f>TEXT(WEEKDAY(DATE(ปีปฏิทิน,12,17),1),"aaa")</f>
        <v>อ.</v>
      </c>
      <c r="T5" s="2" t="str">
        <f>TEXT(WEEKDAY(DATE(ปีปฏิทิน,12,18),1),"aaa")</f>
        <v>พ.</v>
      </c>
      <c r="U5" s="2" t="str">
        <f>TEXT(WEEKDAY(DATE(ปีปฏิทิน,12,19),1),"aaa")</f>
        <v>พฤ.</v>
      </c>
      <c r="V5" s="2" t="str">
        <f>TEXT(WEEKDAY(DATE(ปีปฏิทิน,12,20),1),"aaa")</f>
        <v>ศ.</v>
      </c>
      <c r="W5" s="2" t="str">
        <f>TEXT(WEEKDAY(DATE(ปีปฏิทิน,12,21),1),"aaa")</f>
        <v>ส.</v>
      </c>
      <c r="X5" s="2" t="str">
        <f>TEXT(WEEKDAY(DATE(ปีปฏิทิน,12,22),1),"aaa")</f>
        <v>อา.</v>
      </c>
      <c r="Y5" s="2" t="str">
        <f>TEXT(WEEKDAY(DATE(ปีปฏิทิน,12,23),1),"aaa")</f>
        <v>จ.</v>
      </c>
      <c r="Z5" s="2" t="str">
        <f>TEXT(WEEKDAY(DATE(ปีปฏิทิน,12,24),1),"aaa")</f>
        <v>อ.</v>
      </c>
      <c r="AA5" s="2" t="str">
        <f>TEXT(WEEKDAY(DATE(ปีปฏิทิน,12,25),1),"aaa")</f>
        <v>พ.</v>
      </c>
      <c r="AB5" s="2" t="str">
        <f>TEXT(WEEKDAY(DATE(ปีปฏิทิน,12,26),1),"aaa")</f>
        <v>พฤ.</v>
      </c>
      <c r="AC5" s="2" t="str">
        <f>TEXT(WEEKDAY(DATE(ปีปฏิทิน,12,27),1),"aaa")</f>
        <v>ศ.</v>
      </c>
      <c r="AD5" s="2" t="str">
        <f>TEXT(WEEKDAY(DATE(ปีปฏิทิน,12,28),1),"aaa")</f>
        <v>ส.</v>
      </c>
      <c r="AE5" s="2" t="str">
        <f>TEXT(WEEKDAY(DATE(ปีปฏิทิน,12,29),1),"aaa")</f>
        <v>อา.</v>
      </c>
      <c r="AF5" s="2" t="str">
        <f>TEXT(WEEKDAY(DATE(ปีปฏิทิน,12,30),1),"aaa")</f>
        <v>จ.</v>
      </c>
      <c r="AG5" s="2" t="str">
        <f>TEXT(WEEKDAY(DATE(ปีปฏิทิน,12,31),1),"aaa")</f>
        <v>อ.</v>
      </c>
      <c r="AH5" s="9"/>
    </row>
    <row r="6" spans="2:34" ht="15" customHeight="1" x14ac:dyDescent="0.25">
      <c r="B6" s="11" t="s">
        <v>3</v>
      </c>
      <c r="C6" s="3" t="s">
        <v>11</v>
      </c>
      <c r="D6" s="3" t="s">
        <v>13</v>
      </c>
      <c r="E6" s="3" t="s">
        <v>14</v>
      </c>
      <c r="F6" s="3" t="s">
        <v>16</v>
      </c>
      <c r="G6" s="3" t="s">
        <v>17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24</v>
      </c>
      <c r="M6" s="3" t="s">
        <v>25</v>
      </c>
      <c r="N6" s="3" t="s">
        <v>26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33</v>
      </c>
      <c r="T6" s="3" t="s">
        <v>34</v>
      </c>
      <c r="U6" s="3" t="s">
        <v>35</v>
      </c>
      <c r="V6" s="3" t="s">
        <v>36</v>
      </c>
      <c r="W6" s="3" t="s">
        <v>37</v>
      </c>
      <c r="X6" s="3" t="s">
        <v>38</v>
      </c>
      <c r="Y6" s="3" t="s">
        <v>39</v>
      </c>
      <c r="Z6" s="3" t="s">
        <v>40</v>
      </c>
      <c r="AA6" s="3" t="s">
        <v>41</v>
      </c>
      <c r="AB6" s="3" t="s">
        <v>42</v>
      </c>
      <c r="AC6" s="3" t="s">
        <v>43</v>
      </c>
      <c r="AD6" s="3" t="s">
        <v>44</v>
      </c>
      <c r="AE6" s="3" t="s">
        <v>45</v>
      </c>
      <c r="AF6" s="3" t="s">
        <v>46</v>
      </c>
      <c r="AG6" s="3" t="s">
        <v>47</v>
      </c>
      <c r="AH6" s="12" t="s">
        <v>49</v>
      </c>
    </row>
    <row r="7" spans="2:34" ht="30" customHeight="1" x14ac:dyDescent="0.25">
      <c r="B7" s="13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7">
        <f>COUNTA(ธันวาคม[[#This Row],[1]:[31]])</f>
        <v>0</v>
      </c>
    </row>
    <row r="8" spans="2:34" ht="30" customHeight="1" x14ac:dyDescent="0.25">
      <c r="B8" s="13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7">
        <f>COUNTA(ธันวาคม[[#This Row],[1]:[31]])</f>
        <v>0</v>
      </c>
    </row>
    <row r="9" spans="2:34" ht="30" customHeight="1" x14ac:dyDescent="0.25">
      <c r="B9" s="13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7">
        <f>COUNTA(ธันวาคม[[#This Row],[1]:[31]])</f>
        <v>0</v>
      </c>
    </row>
    <row r="10" spans="2:34" ht="30" customHeight="1" x14ac:dyDescent="0.25">
      <c r="B10" s="13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7">
        <f>COUNTA(ธันวาคม[[#This Row],[1]:[31]])</f>
        <v>0</v>
      </c>
    </row>
    <row r="11" spans="2:34" ht="30" customHeight="1" x14ac:dyDescent="0.25">
      <c r="B11" s="13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7">
        <f>COUNTA(ธันวาคม[[#This Row],[1]:[31]])</f>
        <v>0</v>
      </c>
    </row>
    <row r="12" spans="2:34" ht="30" customHeight="1" x14ac:dyDescent="0.25">
      <c r="B12" s="17" t="str">
        <f>MonthName&amp;" ผลรวม"</f>
        <v>ธันวาคม ผลรวม</v>
      </c>
      <c r="C12" s="26">
        <f>SUBTOTAL(103,ธันวาคม[1])</f>
        <v>0</v>
      </c>
      <c r="D12" s="26">
        <f>SUBTOTAL(103,ธันวาคม[2])</f>
        <v>0</v>
      </c>
      <c r="E12" s="26">
        <f>SUBTOTAL(103,ธันวาคม[3])</f>
        <v>0</v>
      </c>
      <c r="F12" s="26">
        <f>SUBTOTAL(103,ธันวาคม[4])</f>
        <v>0</v>
      </c>
      <c r="G12" s="26">
        <f>SUBTOTAL(103,ธันวาคม[5])</f>
        <v>0</v>
      </c>
      <c r="H12" s="26">
        <f>SUBTOTAL(103,ธันวาคม[6])</f>
        <v>0</v>
      </c>
      <c r="I12" s="26">
        <f>SUBTOTAL(103,ธันวาคม[7])</f>
        <v>0</v>
      </c>
      <c r="J12" s="26">
        <f>SUBTOTAL(103,ธันวาคม[8])</f>
        <v>0</v>
      </c>
      <c r="K12" s="26">
        <f>SUBTOTAL(103,ธันวาคม[9])</f>
        <v>0</v>
      </c>
      <c r="L12" s="26">
        <f>SUBTOTAL(103,ธันวาคม[10])</f>
        <v>0</v>
      </c>
      <c r="M12" s="26">
        <f>SUBTOTAL(103,ธันวาคม[11])</f>
        <v>0</v>
      </c>
      <c r="N12" s="26">
        <f>SUBTOTAL(103,ธันวาคม[12])</f>
        <v>0</v>
      </c>
      <c r="O12" s="26">
        <f>SUBTOTAL(103,ธันวาคม[13])</f>
        <v>0</v>
      </c>
      <c r="P12" s="26">
        <f>SUBTOTAL(103,ธันวาคม[14])</f>
        <v>0</v>
      </c>
      <c r="Q12" s="26">
        <f>SUBTOTAL(103,ธันวาคม[15])</f>
        <v>0</v>
      </c>
      <c r="R12" s="26">
        <f>SUBTOTAL(103,ธันวาคม[16])</f>
        <v>0</v>
      </c>
      <c r="S12" s="26">
        <f>SUBTOTAL(103,ธันวาคม[17])</f>
        <v>0</v>
      </c>
      <c r="T12" s="26">
        <f>SUBTOTAL(103,ธันวาคม[18])</f>
        <v>0</v>
      </c>
      <c r="U12" s="26">
        <f>SUBTOTAL(103,ธันวาคม[19])</f>
        <v>0</v>
      </c>
      <c r="V12" s="26">
        <f>SUBTOTAL(103,ธันวาคม[20])</f>
        <v>0</v>
      </c>
      <c r="W12" s="26">
        <f>SUBTOTAL(103,ธันวาคม[21])</f>
        <v>0</v>
      </c>
      <c r="X12" s="26">
        <f>SUBTOTAL(103,ธันวาคม[22])</f>
        <v>0</v>
      </c>
      <c r="Y12" s="26">
        <f>SUBTOTAL(103,ธันวาคม[23])</f>
        <v>0</v>
      </c>
      <c r="Z12" s="26">
        <f>SUBTOTAL(103,ธันวาคม[24])</f>
        <v>0</v>
      </c>
      <c r="AA12" s="26">
        <f>SUBTOTAL(103,ธันวาคม[25])</f>
        <v>0</v>
      </c>
      <c r="AB12" s="26">
        <f>SUBTOTAL(103,ธันวาคม[26])</f>
        <v>0</v>
      </c>
      <c r="AC12" s="26">
        <f>SUBTOTAL(103,ธันวาคม[27])</f>
        <v>0</v>
      </c>
      <c r="AD12" s="26">
        <f>SUBTOTAL(103,ธันวาคม[28])</f>
        <v>0</v>
      </c>
      <c r="AE12" s="26">
        <f>SUBTOTAL(103,ธันวาคม[29])</f>
        <v>0</v>
      </c>
      <c r="AF12" s="26">
        <f>SUBTOTAL(103,ธันวาคม[30])</f>
        <v>0</v>
      </c>
      <c r="AG12" s="26">
        <f>SUBTOTAL(103,ธันวาคม[31])</f>
        <v>0</v>
      </c>
      <c r="AH12" s="26">
        <f>SUBTOTAL(109,ธันวาคม[จำนวนวัน:])</f>
        <v>0</v>
      </c>
    </row>
  </sheetData>
  <mergeCells count="3">
    <mergeCell ref="C4:AG4"/>
    <mergeCell ref="D2:F2"/>
    <mergeCell ref="H2:I2"/>
  </mergeCells>
  <conditionalFormatting sqref="C7:AG11">
    <cfRule type="expression" priority="1" stopIfTrue="1">
      <formula>C7=""</formula>
    </cfRule>
  </conditionalFormatting>
  <conditionalFormatting sqref="C7:AG11">
    <cfRule type="expression" dxfId="106" priority="2" stopIfTrue="1">
      <formula>C7=KeyCustom2</formula>
    </cfRule>
    <cfRule type="expression" dxfId="105" priority="3" stopIfTrue="1">
      <formula>C7=KeyCustom1</formula>
    </cfRule>
    <cfRule type="expression" dxfId="104" priority="4" stopIfTrue="1">
      <formula>C7=KeySick</formula>
    </cfRule>
    <cfRule type="expression" dxfId="103" priority="5" stopIfTrue="1">
      <formula>C7=KeyPersonal</formula>
    </cfRule>
    <cfRule type="expression" dxfId="102" priority="6" stopIfTrue="1">
      <formula>C7=KeyVacation</formula>
    </cfRule>
  </conditionalFormatting>
  <conditionalFormatting sqref="AH7:AH11">
    <cfRule type="dataBar" priority="30">
      <dataBar>
        <cfvo type="min"/>
        <cfvo type="formula" val="DATEDIF(DATE(ปีปฏิทิน,2,1),DATE(ปีปฏิทิน,3,1),&quot;d&quot;)"/>
        <color theme="2" tint="-0.249977111117893"/>
      </dataBar>
      <extLst>
        <ext xmlns:x14="http://schemas.microsoft.com/office/spreadsheetml/2009/9/main" uri="{B025F937-C7B1-47D3-B67F-A62EFF666E3E}">
          <x14:id>{17586780-365B-4F4C-BBB4-F5991705D361}</x14:id>
        </ext>
      </extLst>
    </cfRule>
  </conditionalFormatting>
  <dataValidations count="14">
    <dataValidation allowBlank="1" showInputMessage="1" showErrorMessage="1" prompt="ปีจะถูกอัปเดตโดยอัตโนมัติโดยอ้างอิงจากปีที่ใส่ในเวิร์กชีต มกราคม" sqref="AH4" xr:uid="{00000000-0002-0000-0B00-000000000000}"/>
    <dataValidation allowBlank="1" showInputMessage="1" showErrorMessage="1" prompt="คำนวณจำนวนวันทั้งหมดที่พนักงานขาดงานในเดือนนี้โดยอัตโนมัติในคอลัมน์นี้" sqref="AH6" xr:uid="{00000000-0002-0000-0B00-000001000000}"/>
    <dataValidation allowBlank="1" showInputMessage="1" showErrorMessage="1" prompt="ติดตามการขาดงานเดือนธันวาคมในเวิร์กชีตนี้" sqref="A1" xr:uid="{00000000-0002-0000-0B00-000002000000}"/>
    <dataValidation errorStyle="warning" allowBlank="1" showInputMessage="1" showErrorMessage="1" error="เลือกชื่อจากรายการ เลือกยกเลิก จากนั้นกด ALT+ลูกศรลง จากนั้นกด ENTER เพื่อเลือกชื่อ" prompt="ใส่ชื่อพนักงานในเวิร์กชีต ชื่อพนักงาน จากนั้นเลือกหนึ่งในชื่อเหล่านั้นจากรายการในคอลัมน์นี้ กด ALT+ลูกศรลง จากนั้นกด ENTER เพื่อเลือกชื่อ" sqref="B6" xr:uid="{00000000-0002-0000-0B00-000003000000}"/>
    <dataValidation allowBlank="1" showInputMessage="1" showErrorMessage="1" prompt="ชื่อเรื่องจะถูกอัปเดตโดยอัตโนมัติในเซลล์นี้ เมื่อต้องการปรับเปลี่ยนชื่อเรื่อง ให้อัปเดต B1 บนเวิร์กชีต มกราคม" sqref="B1" xr:uid="{00000000-0002-0000-0B00-000004000000}"/>
    <dataValidation allowBlank="1" showInputMessage="1" showErrorMessage="1" prompt="ตัวอักษร “V” ระบุถึงการขาดงานเนื่องจากลาพักร้อน" sqref="C2" xr:uid="{CF1047AA-DF5A-4AA3-B143-282C4AFDFEF9}"/>
    <dataValidation allowBlank="1" showInputMessage="1" showErrorMessage="1" prompt="ตัวอักษร “P” ระบุถึงการขาดงานเนื่องจากลากิจ" sqref="G2" xr:uid="{65AD2426-2BDD-43D5-8C77-FD6DD0B4C262}"/>
    <dataValidation allowBlank="1" showInputMessage="1" showErrorMessage="1" prompt="ตัวอักษร “S” ระบุถึงการขาดงานเนื่องจากลาป่วย" sqref="J2" xr:uid="{3A56F592-0EA4-4E93-8D12-CD6A8ACEC31C}"/>
    <dataValidation allowBlank="1" showInputMessage="1" showErrorMessage="1" prompt="ใส่ตัวอักษรและกำหนดป้ายชื่อด้วยตนเองที่ด้านขวาเพื่อเพิ่มรายการคีย์อื่นๆ" sqref="L2 P2" xr:uid="{125E7AC0-7246-4200-934F-BFD423D54C23}"/>
    <dataValidation allowBlank="1" showInputMessage="1" showErrorMessage="1" prompt="ใส่ป้ายชื่อเพื่ออธิบายปุ่มแบบกำหนดเองที่ด้านซ้าย" sqref="M2:O2 Q2:S2" xr:uid="{185C198A-5172-45B5-B3CF-AE5834E59C90}"/>
    <dataValidation allowBlank="1" showInputMessage="1" showErrorMessage="1" prompt="แถวนี้ระบุถึงคีย์ที่ใช้ในตาราง: เซลล์ C2 เป็นลาพักร้อน, G2 เป็นลากิจ และ K2 เป็นลาป่วย เซลล์ N2 และ R2 สามารถกำหนดเองได้" sqref="B2" xr:uid="{00000000-0002-0000-0B00-00000A000000}"/>
    <dataValidation allowBlank="1" showInputMessage="1" showErrorMessage="1" prompt="ชื่อเดือนสำหรับตารางการขาดงานนี้จะอยู่ในเซลล์นี้ จำนวนการขาดงานสำหรับเดือนนี้จะอยู่ในเซลล์สุดท้ายของตาราง เลือกชื่อพนักงานจากคอลัมน์ B ในตาราง" sqref="B4" xr:uid="{00000000-0002-0000-0B00-00000B000000}"/>
    <dataValidation allowBlank="1" showInputMessage="1" showErrorMessage="1" prompt="วันในสัปดาห์ในแถวนี้จะถูกอัปเดตโดยอัตโนมัติในแต่ละเดือนโดยอ้างอิงจากปีใน AH4 แต่ละวันในแต่ละเดือนเป็นคอลัมน์เพื่อบันทึกการขาดงานของพนักงานและประเภทการขาดงาน" sqref="C5" xr:uid="{00000000-0002-0000-0B00-00000C000000}"/>
    <dataValidation allowBlank="1" showInputMessage="1" showErrorMessage="1" prompt="วันของเดือนในแถวนี้จะถูกสร้างโดยอัตโนมัติ ใส่การขาดงานของพนักงานและประเภทการขาดงานในแต่ละคอลัมน์ในแต่ละวันของเดือน ช่องว่างหมายถึงไม่ได้ขาดงาน" sqref="C6" xr:uid="{00000000-0002-0000-0B00-00000D000000}"/>
  </dataValidations>
  <printOptions horizontalCentered="1"/>
  <pageMargins left="0.25" right="0.25" top="0.75" bottom="0.75" header="0.3" footer="0.3"/>
  <pageSetup paperSize="9" scale="68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586780-365B-4F4C-BBB4-F5991705D361}">
            <x14:dataBar minLength="0" maxLength="100">
              <x14:cfvo type="autoMin"/>
              <x14:cfvo type="formula">
                <xm:f>DATEDIF(DATE(ปีปฏิทิน,2,1),DATE(ปีปฏิทิน,3,1),"d")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B00-00000E000000}">
          <x14:formula1>
            <xm:f>ชื่อพนักงาน!$B$4:$B$8</xm:f>
          </x14:formula1>
          <xm:sqref>B7:B11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1"/>
  </sheetPr>
  <dimension ref="A1:B8"/>
  <sheetViews>
    <sheetView showGridLines="0" workbookViewId="0"/>
  </sheetViews>
  <sheetFormatPr defaultRowHeight="30" customHeight="1" x14ac:dyDescent="0.25"/>
  <cols>
    <col min="1" max="1" width="2.5" customWidth="1"/>
    <col min="2" max="2" width="30.625" customWidth="1"/>
    <col min="3" max="3" width="2.625" customWidth="1"/>
  </cols>
  <sheetData>
    <row r="1" spans="1:2" ht="50.1" customHeight="1" x14ac:dyDescent="0.25">
      <c r="A1" s="25"/>
      <c r="B1" s="18" t="s">
        <v>3</v>
      </c>
    </row>
    <row r="2" spans="1:2" ht="15" customHeight="1" x14ac:dyDescent="0.25"/>
    <row r="3" spans="1:2" ht="30" customHeight="1" x14ac:dyDescent="0.25">
      <c r="B3" t="s">
        <v>3</v>
      </c>
    </row>
    <row r="4" spans="1:2" ht="30" customHeight="1" x14ac:dyDescent="0.25">
      <c r="B4" s="1" t="s">
        <v>4</v>
      </c>
    </row>
    <row r="5" spans="1:2" ht="30" customHeight="1" x14ac:dyDescent="0.25">
      <c r="B5" s="1" t="s">
        <v>5</v>
      </c>
    </row>
    <row r="6" spans="1:2" ht="30" customHeight="1" x14ac:dyDescent="0.25">
      <c r="B6" s="1" t="s">
        <v>6</v>
      </c>
    </row>
    <row r="7" spans="1:2" ht="30" customHeight="1" x14ac:dyDescent="0.25">
      <c r="B7" s="1" t="s">
        <v>7</v>
      </c>
    </row>
    <row r="8" spans="1:2" ht="30" customHeight="1" x14ac:dyDescent="0.25">
      <c r="B8" s="1" t="s">
        <v>8</v>
      </c>
    </row>
  </sheetData>
  <dataValidations count="3">
    <dataValidation allowBlank="1" showInputMessage="1" showErrorMessage="1" prompt="ตำแหน่งชื่อพนักงาน" sqref="B1" xr:uid="{00000000-0002-0000-0C00-000000000000}"/>
    <dataValidation allowBlank="1" showInputMessage="1" showErrorMessage="1" prompt="ใส่ชื่อพนักงานในตารางชื่อพนักงานในเวิร์กชีตนี้ ชื่อเหล่านี้จะถูกใช้เป็นตัวเลือกในคอลัมน์ B ของตารางการขาดงานในแต่ละเดือน" sqref="A1" xr:uid="{00000000-0002-0000-0C00-000001000000}"/>
    <dataValidation allowBlank="1" showInputMessage="1" showErrorMessage="1" prompt="ใส่ชื่อพนักงานในคอลัมน์นี้" sqref="B3" xr:uid="{00000000-0002-0000-0C00-000002000000}"/>
  </dataValidations>
  <pageMargins left="0.7" right="0.7" top="0.75" bottom="0.75" header="0.3" footer="0.3"/>
  <pageSetup paperSize="9" orientation="portrait" horizontalDpi="200" verticalDpi="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749992370372631"/>
    <pageSetUpPr fitToPage="1"/>
  </sheetPr>
  <dimension ref="A1:AH12"/>
  <sheetViews>
    <sheetView showGridLines="0" zoomScaleNormal="100" workbookViewId="0"/>
  </sheetViews>
  <sheetFormatPr defaultColWidth="9.125" defaultRowHeight="30" customHeight="1" x14ac:dyDescent="0.25"/>
  <cols>
    <col min="1" max="1" width="2.625" style="8" customWidth="1"/>
    <col min="2" max="2" width="25.625" style="8" customWidth="1"/>
    <col min="3" max="33" width="4.625" style="8" customWidth="1"/>
    <col min="34" max="34" width="13.5" style="8" customWidth="1"/>
    <col min="35" max="35" width="2.625" customWidth="1"/>
  </cols>
  <sheetData>
    <row r="1" spans="2:34" ht="50.1" customHeight="1" x14ac:dyDescent="0.25">
      <c r="B1" s="10" t="str">
        <f>Employee_Absence_Title</f>
        <v>กำหนดการการขาดงานของพนักงาน</v>
      </c>
    </row>
    <row r="2" spans="2:34" ht="15" customHeight="1" x14ac:dyDescent="0.25">
      <c r="B2" s="15" t="s">
        <v>1</v>
      </c>
      <c r="C2" s="4" t="s">
        <v>9</v>
      </c>
      <c r="D2" s="29" t="s">
        <v>12</v>
      </c>
      <c r="E2" s="29"/>
      <c r="F2" s="29"/>
      <c r="G2" s="5" t="s">
        <v>15</v>
      </c>
      <c r="H2" s="29" t="s">
        <v>18</v>
      </c>
      <c r="I2" s="29"/>
      <c r="J2" s="20" t="s">
        <v>63</v>
      </c>
      <c r="K2" s="24" t="s">
        <v>23</v>
      </c>
      <c r="L2" s="21"/>
      <c r="M2" s="27" t="s">
        <v>27</v>
      </c>
      <c r="N2" s="27"/>
      <c r="O2" s="27"/>
      <c r="P2" s="22"/>
      <c r="Q2" s="27" t="s">
        <v>32</v>
      </c>
      <c r="R2" s="27"/>
      <c r="S2" s="27"/>
    </row>
    <row r="3" spans="2:34" ht="15" customHeight="1" x14ac:dyDescent="0.25">
      <c r="B3"/>
    </row>
    <row r="4" spans="2:34" ht="30" customHeight="1" x14ac:dyDescent="0.25">
      <c r="B4" s="9" t="s">
        <v>50</v>
      </c>
      <c r="C4" s="28" t="s">
        <v>10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9">
        <f>ปีปฏิทิน</f>
        <v>2019</v>
      </c>
    </row>
    <row r="5" spans="2:34" ht="15" customHeight="1" x14ac:dyDescent="0.25">
      <c r="B5" s="9"/>
      <c r="C5" s="2" t="str">
        <f>TEXT(WEEKDAY(DATE(ปีปฏิทิน,2,1),1),"aaa")</f>
        <v>ศ.</v>
      </c>
      <c r="D5" s="2" t="str">
        <f>TEXT(WEEKDAY(DATE(ปีปฏิทิน,2,2),1),"aaa")</f>
        <v>ส.</v>
      </c>
      <c r="E5" s="2" t="str">
        <f>TEXT(WEEKDAY(DATE(ปีปฏิทิน,2,3),1),"aaa")</f>
        <v>อา.</v>
      </c>
      <c r="F5" s="2" t="str">
        <f>TEXT(WEEKDAY(DATE(ปีปฏิทิน,2,4),1),"aaa")</f>
        <v>จ.</v>
      </c>
      <c r="G5" s="2" t="str">
        <f>TEXT(WEEKDAY(DATE(ปีปฏิทิน,2,5),1),"aaa")</f>
        <v>อ.</v>
      </c>
      <c r="H5" s="2" t="str">
        <f>TEXT(WEEKDAY(DATE(ปีปฏิทิน,2,6),1),"aaa")</f>
        <v>พ.</v>
      </c>
      <c r="I5" s="2" t="str">
        <f>TEXT(WEEKDAY(DATE(ปีปฏิทิน,2,7),1),"aaa")</f>
        <v>พฤ.</v>
      </c>
      <c r="J5" s="2" t="str">
        <f>TEXT(WEEKDAY(DATE(ปีปฏิทิน,2,8),1),"aaa")</f>
        <v>ศ.</v>
      </c>
      <c r="K5" s="2" t="str">
        <f>TEXT(WEEKDAY(DATE(ปีปฏิทิน,2,9),1),"aaa")</f>
        <v>ส.</v>
      </c>
      <c r="L5" s="2" t="str">
        <f>TEXT(WEEKDAY(DATE(ปีปฏิทิน,2,10),1),"aaa")</f>
        <v>อา.</v>
      </c>
      <c r="M5" s="2" t="str">
        <f>TEXT(WEEKDAY(DATE(ปีปฏิทิน,2,11),1),"aaa")</f>
        <v>จ.</v>
      </c>
      <c r="N5" s="2" t="str">
        <f>TEXT(WEEKDAY(DATE(ปีปฏิทิน,2,12),1),"aaa")</f>
        <v>อ.</v>
      </c>
      <c r="O5" s="2" t="str">
        <f>TEXT(WEEKDAY(DATE(ปีปฏิทิน,2,13),1),"aaa")</f>
        <v>พ.</v>
      </c>
      <c r="P5" s="2" t="str">
        <f>TEXT(WEEKDAY(DATE(ปีปฏิทิน,2,14),1),"aaa")</f>
        <v>พฤ.</v>
      </c>
      <c r="Q5" s="2" t="str">
        <f>TEXT(WEEKDAY(DATE(ปีปฏิทิน,2,15),1),"aaa")</f>
        <v>ศ.</v>
      </c>
      <c r="R5" s="2" t="str">
        <f>TEXT(WEEKDAY(DATE(ปีปฏิทิน,2,16),1),"aaa")</f>
        <v>ส.</v>
      </c>
      <c r="S5" s="2" t="str">
        <f>TEXT(WEEKDAY(DATE(ปีปฏิทิน,2,17),1),"aaa")</f>
        <v>อา.</v>
      </c>
      <c r="T5" s="2" t="str">
        <f>TEXT(WEEKDAY(DATE(ปีปฏิทิน,2,18),1),"aaa")</f>
        <v>จ.</v>
      </c>
      <c r="U5" s="2" t="str">
        <f>TEXT(WEEKDAY(DATE(ปีปฏิทิน,2,19),1),"aaa")</f>
        <v>อ.</v>
      </c>
      <c r="V5" s="2" t="str">
        <f>TEXT(WEEKDAY(DATE(ปีปฏิทิน,2,20),1),"aaa")</f>
        <v>พ.</v>
      </c>
      <c r="W5" s="2" t="str">
        <f>TEXT(WEEKDAY(DATE(ปีปฏิทิน,2,21),1),"aaa")</f>
        <v>พฤ.</v>
      </c>
      <c r="X5" s="2" t="str">
        <f>TEXT(WEEKDAY(DATE(ปีปฏิทิน,2,22),1),"aaa")</f>
        <v>ศ.</v>
      </c>
      <c r="Y5" s="2" t="str">
        <f>TEXT(WEEKDAY(DATE(ปีปฏิทิน,2,23),1),"aaa")</f>
        <v>ส.</v>
      </c>
      <c r="Z5" s="2" t="str">
        <f>TEXT(WEEKDAY(DATE(ปีปฏิทิน,2,24),1),"aaa")</f>
        <v>อา.</v>
      </c>
      <c r="AA5" s="2" t="str">
        <f>TEXT(WEEKDAY(DATE(ปีปฏิทิน,2,25),1),"aaa")</f>
        <v>จ.</v>
      </c>
      <c r="AB5" s="2" t="str">
        <f>TEXT(WEEKDAY(DATE(ปีปฏิทิน,2,26),1),"aaa")</f>
        <v>อ.</v>
      </c>
      <c r="AC5" s="2" t="str">
        <f>TEXT(WEEKDAY(DATE(ปีปฏิทิน,2,27),1),"aaa")</f>
        <v>พ.</v>
      </c>
      <c r="AD5" s="2" t="str">
        <f>TEXT(WEEKDAY(DATE(ปีปฏิทิน,2,28),1),"aaa")</f>
        <v>พฤ.</v>
      </c>
      <c r="AE5" s="2" t="str">
        <f>TEXT(WEEKDAY(DATE(ปีปฏิทิน,2,29),1),"aaa")</f>
        <v>ศ.</v>
      </c>
      <c r="AF5" s="2"/>
      <c r="AG5" s="2"/>
      <c r="AH5" s="9"/>
    </row>
    <row r="6" spans="2:34" ht="15" customHeight="1" x14ac:dyDescent="0.25">
      <c r="B6" s="11" t="s">
        <v>3</v>
      </c>
      <c r="C6" s="3" t="s">
        <v>11</v>
      </c>
      <c r="D6" s="3" t="s">
        <v>13</v>
      </c>
      <c r="E6" s="3" t="s">
        <v>14</v>
      </c>
      <c r="F6" s="3" t="s">
        <v>16</v>
      </c>
      <c r="G6" s="3" t="s">
        <v>17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24</v>
      </c>
      <c r="M6" s="3" t="s">
        <v>25</v>
      </c>
      <c r="N6" s="3" t="s">
        <v>26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33</v>
      </c>
      <c r="T6" s="3" t="s">
        <v>34</v>
      </c>
      <c r="U6" s="3" t="s">
        <v>35</v>
      </c>
      <c r="V6" s="3" t="s">
        <v>36</v>
      </c>
      <c r="W6" s="3" t="s">
        <v>37</v>
      </c>
      <c r="X6" s="3" t="s">
        <v>38</v>
      </c>
      <c r="Y6" s="3" t="s">
        <v>39</v>
      </c>
      <c r="Z6" s="3" t="s">
        <v>40</v>
      </c>
      <c r="AA6" s="3" t="s">
        <v>41</v>
      </c>
      <c r="AB6" s="3" t="s">
        <v>42</v>
      </c>
      <c r="AC6" s="3" t="s">
        <v>43</v>
      </c>
      <c r="AD6" s="3" t="s">
        <v>44</v>
      </c>
      <c r="AE6" s="3" t="s">
        <v>45</v>
      </c>
      <c r="AF6" s="3" t="s">
        <v>51</v>
      </c>
      <c r="AG6" s="3" t="s">
        <v>52</v>
      </c>
      <c r="AH6" s="12" t="s">
        <v>49</v>
      </c>
    </row>
    <row r="7" spans="2:34" ht="30" customHeight="1" x14ac:dyDescent="0.25">
      <c r="B7" s="13" t="s">
        <v>4</v>
      </c>
      <c r="C7" s="3"/>
      <c r="D7" s="3"/>
      <c r="E7" s="3" t="s">
        <v>9</v>
      </c>
      <c r="F7" s="3" t="s">
        <v>9</v>
      </c>
      <c r="G7" s="3" t="s">
        <v>9</v>
      </c>
      <c r="H7" s="3" t="s">
        <v>9</v>
      </c>
      <c r="I7" s="3"/>
      <c r="J7" s="3"/>
      <c r="K7" s="3"/>
      <c r="L7" s="3"/>
      <c r="M7" s="3"/>
      <c r="N7" s="3"/>
      <c r="O7" s="3" t="s">
        <v>9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7">
        <f>COUNTA(กุมภาพันธ์[[#This Row],[1]:[29]])</f>
        <v>5</v>
      </c>
    </row>
    <row r="8" spans="2:34" ht="30" customHeight="1" x14ac:dyDescent="0.25">
      <c r="B8" s="13" t="s">
        <v>5</v>
      </c>
      <c r="C8" s="3"/>
      <c r="D8" s="3"/>
      <c r="E8" s="3"/>
      <c r="F8" s="3"/>
      <c r="G8" s="3" t="s">
        <v>63</v>
      </c>
      <c r="H8" s="3" t="s">
        <v>63</v>
      </c>
      <c r="I8" s="3"/>
      <c r="J8" s="3"/>
      <c r="K8" s="3"/>
      <c r="L8" s="3"/>
      <c r="M8" s="3" t="s">
        <v>15</v>
      </c>
      <c r="N8" s="3"/>
      <c r="O8" s="3"/>
      <c r="P8" s="3"/>
      <c r="Q8" s="3"/>
      <c r="R8" s="3"/>
      <c r="S8" s="3"/>
      <c r="T8" s="3"/>
      <c r="U8" s="3"/>
      <c r="V8" s="3" t="s">
        <v>63</v>
      </c>
      <c r="W8" s="3"/>
      <c r="X8" s="3"/>
      <c r="Y8" s="3"/>
      <c r="Z8" s="3"/>
      <c r="AA8" s="3" t="s">
        <v>9</v>
      </c>
      <c r="AB8" s="3" t="s">
        <v>9</v>
      </c>
      <c r="AC8" s="3" t="s">
        <v>9</v>
      </c>
      <c r="AD8" s="3"/>
      <c r="AE8" s="3"/>
      <c r="AF8" s="3"/>
      <c r="AG8" s="3"/>
      <c r="AH8" s="7">
        <f>COUNTA(กุมภาพันธ์[[#This Row],[1]:[29]])</f>
        <v>7</v>
      </c>
    </row>
    <row r="9" spans="2:34" ht="30" customHeight="1" x14ac:dyDescent="0.25">
      <c r="B9" s="13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7">
        <f>COUNTA(กุมภาพันธ์[[#This Row],[1]:[29]])</f>
        <v>0</v>
      </c>
    </row>
    <row r="10" spans="2:34" ht="30" customHeight="1" x14ac:dyDescent="0.25">
      <c r="B10" s="13" t="s">
        <v>7</v>
      </c>
      <c r="C10" s="3"/>
      <c r="D10" s="3"/>
      <c r="E10" s="3" t="s">
        <v>63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 t="s">
        <v>63</v>
      </c>
      <c r="Q10" s="3"/>
      <c r="R10" s="3"/>
      <c r="S10" s="3"/>
      <c r="T10" s="3" t="s">
        <v>15</v>
      </c>
      <c r="U10" s="3"/>
      <c r="V10" s="3"/>
      <c r="W10" s="3"/>
      <c r="X10" s="3"/>
      <c r="Y10" s="3"/>
      <c r="Z10" s="3"/>
      <c r="AA10" s="3"/>
      <c r="AB10" s="3"/>
      <c r="AC10" s="3"/>
      <c r="AD10" s="3" t="s">
        <v>63</v>
      </c>
      <c r="AE10" s="3"/>
      <c r="AF10" s="3"/>
      <c r="AG10" s="3"/>
      <c r="AH10" s="7">
        <f>COUNTA(กุมภาพันธ์[[#This Row],[1]:[29]])</f>
        <v>4</v>
      </c>
    </row>
    <row r="11" spans="2:34" ht="30" customHeight="1" x14ac:dyDescent="0.25">
      <c r="B11" s="13" t="s">
        <v>8</v>
      </c>
      <c r="C11" s="3"/>
      <c r="D11" s="3"/>
      <c r="E11" s="3"/>
      <c r="F11" s="3"/>
      <c r="G11" s="3"/>
      <c r="H11" s="3"/>
      <c r="I11" s="3"/>
      <c r="J11" s="3" t="s">
        <v>9</v>
      </c>
      <c r="K11" s="3" t="s">
        <v>9</v>
      </c>
      <c r="L11" s="3" t="s">
        <v>9</v>
      </c>
      <c r="M11" s="3" t="s">
        <v>9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 t="s">
        <v>63</v>
      </c>
      <c r="AA11" s="3"/>
      <c r="AB11" s="3"/>
      <c r="AC11" s="3"/>
      <c r="AD11" s="3"/>
      <c r="AE11" s="3"/>
      <c r="AF11" s="3"/>
      <c r="AG11" s="3"/>
      <c r="AH11" s="7">
        <f>COUNTA(กุมภาพันธ์[[#This Row],[1]:[29]])</f>
        <v>5</v>
      </c>
    </row>
    <row r="12" spans="2:34" ht="30" customHeight="1" x14ac:dyDescent="0.25">
      <c r="B12" s="17" t="str">
        <f>MonthName&amp;" ผลรวม"</f>
        <v>กุมภาพันธ์ ผลรวม</v>
      </c>
      <c r="C12" s="26">
        <f>SUBTOTAL(103,กุมภาพันธ์[1])</f>
        <v>0</v>
      </c>
      <c r="D12" s="26">
        <f>SUBTOTAL(103,กุมภาพันธ์[2])</f>
        <v>0</v>
      </c>
      <c r="E12" s="26">
        <f>SUBTOTAL(103,กุมภาพันธ์[3])</f>
        <v>2</v>
      </c>
      <c r="F12" s="26">
        <f>SUBTOTAL(103,กุมภาพันธ์[4])</f>
        <v>1</v>
      </c>
      <c r="G12" s="26">
        <f>SUBTOTAL(103,กุมภาพันธ์[5])</f>
        <v>2</v>
      </c>
      <c r="H12" s="26">
        <f>SUBTOTAL(103,กุมภาพันธ์[6])</f>
        <v>2</v>
      </c>
      <c r="I12" s="26">
        <f>SUBTOTAL(103,กุมภาพันธ์[7])</f>
        <v>0</v>
      </c>
      <c r="J12" s="26">
        <f>SUBTOTAL(103,กุมภาพันธ์[8])</f>
        <v>1</v>
      </c>
      <c r="K12" s="26">
        <f>SUBTOTAL(103,กุมภาพันธ์[9])</f>
        <v>1</v>
      </c>
      <c r="L12" s="26">
        <f>SUBTOTAL(103,กุมภาพันธ์[10])</f>
        <v>1</v>
      </c>
      <c r="M12" s="26">
        <f>SUBTOTAL(103,กุมภาพันธ์[11])</f>
        <v>2</v>
      </c>
      <c r="N12" s="26">
        <f>SUBTOTAL(103,กุมภาพันธ์[12])</f>
        <v>0</v>
      </c>
      <c r="O12" s="26">
        <f>SUBTOTAL(103,กุมภาพันธ์[13])</f>
        <v>1</v>
      </c>
      <c r="P12" s="26">
        <f>SUBTOTAL(103,กุมภาพันธ์[14])</f>
        <v>1</v>
      </c>
      <c r="Q12" s="26">
        <f>SUBTOTAL(103,กุมภาพันธ์[15])</f>
        <v>0</v>
      </c>
      <c r="R12" s="26">
        <f>SUBTOTAL(103,กุมภาพันธ์[16])</f>
        <v>0</v>
      </c>
      <c r="S12" s="26">
        <f>SUBTOTAL(103,กุมภาพันธ์[17])</f>
        <v>0</v>
      </c>
      <c r="T12" s="26">
        <f>SUBTOTAL(103,กุมภาพันธ์[18])</f>
        <v>1</v>
      </c>
      <c r="U12" s="26">
        <f>SUBTOTAL(103,กุมภาพันธ์[19])</f>
        <v>0</v>
      </c>
      <c r="V12" s="26">
        <f>SUBTOTAL(103,กุมภาพันธ์[20])</f>
        <v>1</v>
      </c>
      <c r="W12" s="26">
        <f>SUBTOTAL(103,กุมภาพันธ์[21])</f>
        <v>0</v>
      </c>
      <c r="X12" s="26">
        <f>SUBTOTAL(103,กุมภาพันธ์[22])</f>
        <v>0</v>
      </c>
      <c r="Y12" s="26">
        <f>SUBTOTAL(103,กุมภาพันธ์[23])</f>
        <v>0</v>
      </c>
      <c r="Z12" s="26">
        <f>SUBTOTAL(103,กุมภาพันธ์[24])</f>
        <v>1</v>
      </c>
      <c r="AA12" s="26">
        <f>SUBTOTAL(103,กุมภาพันธ์[25])</f>
        <v>1</v>
      </c>
      <c r="AB12" s="26">
        <f>SUBTOTAL(103,กุมภาพันธ์[26])</f>
        <v>1</v>
      </c>
      <c r="AC12" s="26">
        <f>SUBTOTAL(103,กุมภาพันธ์[27])</f>
        <v>1</v>
      </c>
      <c r="AD12" s="26">
        <f>SUBTOTAL(103,กุมภาพันธ์[28])</f>
        <v>1</v>
      </c>
      <c r="AE12" s="26">
        <f>SUBTOTAL(103,กุมภาพันธ์[29])</f>
        <v>0</v>
      </c>
      <c r="AF12" s="26"/>
      <c r="AG12" s="26"/>
      <c r="AH12" s="26">
        <f>SUBTOTAL(109,กุมภาพันธ์[จำนวนวัน:])</f>
        <v>21</v>
      </c>
    </row>
  </sheetData>
  <mergeCells count="3">
    <mergeCell ref="C4:AG4"/>
    <mergeCell ref="D2:F2"/>
    <mergeCell ref="H2:I2"/>
  </mergeCells>
  <conditionalFormatting sqref="AE6">
    <cfRule type="expression" dxfId="848" priority="16">
      <formula>MONTH(DATE(ปีปฏิทิน,2,29))&lt;&gt;2</formula>
    </cfRule>
  </conditionalFormatting>
  <conditionalFormatting sqref="AE5">
    <cfRule type="expression" dxfId="847" priority="15">
      <formula>MONTH(DATE(ปีปฏิทิน,2,29))&lt;&gt;2</formula>
    </cfRule>
  </conditionalFormatting>
  <conditionalFormatting sqref="C7:AG11">
    <cfRule type="expression" priority="2" stopIfTrue="1">
      <formula>C7=""</formula>
    </cfRule>
    <cfRule type="expression" dxfId="846" priority="3" stopIfTrue="1">
      <formula>C7=KeyCustom2</formula>
    </cfRule>
  </conditionalFormatting>
  <conditionalFormatting sqref="C7:AG11">
    <cfRule type="expression" dxfId="845" priority="5" stopIfTrue="1">
      <formula>C7=KeyCustom1</formula>
    </cfRule>
    <cfRule type="expression" dxfId="844" priority="6" stopIfTrue="1">
      <formula>C7=KeySick</formula>
    </cfRule>
    <cfRule type="expression" dxfId="843" priority="7" stopIfTrue="1">
      <formula>C7=KeyPersonal</formula>
    </cfRule>
    <cfRule type="expression" dxfId="842" priority="8" stopIfTrue="1">
      <formula>C7=KeyVacation</formula>
    </cfRule>
  </conditionalFormatting>
  <conditionalFormatting sqref="AH7:AH11">
    <cfRule type="dataBar" priority="153">
      <dataBar>
        <cfvo type="min"/>
        <cfvo type="formula" val="DATEDIF(DATE(ปีปฏิทิน,2,1),DATE(ปีปฏิทิน,3,1),&quot;d&quot;)"/>
        <color theme="2" tint="-0.249977111117893"/>
      </dataBar>
      <extLst>
        <ext xmlns:x14="http://schemas.microsoft.com/office/spreadsheetml/2009/9/main" uri="{B025F937-C7B1-47D3-B67F-A62EFF666E3E}">
          <x14:id>{94738C71-AB78-40C3-A818-D083AE35CC38}</x14:id>
        </ext>
      </extLst>
    </cfRule>
  </conditionalFormatting>
  <dataValidations xWindow="232" yWindow="365" count="14">
    <dataValidation allowBlank="1" showInputMessage="1" showErrorMessage="1" prompt="ปีจะถูกอัปเดตโดยอัตโนมัติโดยอ้างอิงจากปีที่ใส่ในเวิร์กชีต มกราคม" sqref="AH4" xr:uid="{00000000-0002-0000-0100-000000000000}"/>
    <dataValidation allowBlank="1" showInputMessage="1" showErrorMessage="1" prompt="ติดตามการขนาดงานในเดือนกุมภาพันธ์ในเวิร์กชีตนี้" sqref="A1" xr:uid="{00000000-0002-0000-0100-000001000000}"/>
    <dataValidation allowBlank="1" showInputMessage="1" showErrorMessage="1" prompt="คำนวณจำนวนวันทั้งหมดที่พนักงานขาดงานในเดือนนี้โดยอัตโนมัติในคอลัมน์นี้" sqref="AH6" xr:uid="{00000000-0002-0000-0100-000002000000}"/>
    <dataValidation allowBlank="1" showInputMessage="1" showErrorMessage="1" prompt="ชื่อเรื่องจะถูกอัปเดตโดยอัตโนมัติในเซลล์นี้ เมื่อต้องการปรับเปลี่ยนชื่อเรื่อง ให้อัปเดต B1 บนเวิร์กชีต มกราคม" sqref="B1" xr:uid="{00000000-0002-0000-0100-000003000000}"/>
    <dataValidation allowBlank="1" showInputMessage="1" showErrorMessage="1" prompt="ชื่อเดือนสำหรับตารางการขาดงานนี้จะอยู่ในเซลล์นี้ จำนวนการขาดงานสำหรับเดือนนี้จะอยู่ในเซลล์สุดท้ายของตาราง เลือกชื่อพนักงานจากคอลัมน์ B ในตาราง" sqref="B4" xr:uid="{00000000-0002-0000-0100-000004000000}"/>
    <dataValidation errorStyle="warning" allowBlank="1" showInputMessage="1" showErrorMessage="1" error="เลือกชื่อจากรายการ เลือกยกเลิก จากนั้นกด ALT+ลูกศรลง จากนั้นกด ENTER เพื่อเลือกชื่อ" prompt="ใส่ชื่อพนักงานในเวิร์กชีต ชื่อพนักงาน จากนั้นเลือกหนึ่งในชื่อเหล่านั้นจากรายการในคอลัมน์นี้ กด ALT+ลูกศรลง จากนั้นกด ENTER เพื่อเลือกชื่อ" sqref="B6" xr:uid="{00000000-0002-0000-0100-000005000000}"/>
    <dataValidation allowBlank="1" showInputMessage="1" showErrorMessage="1" prompt="แถวนี้ระบุถึงคีย์ที่ใช้ในตาราง: เซลล์ C2 เป็นลาพักร้อน, G2 เป็นลากิจ และ K2 เป็นลาป่วย เซลล์ N2 และ R2 สามารถกำหนดเองได้" sqref="B2" xr:uid="{00000000-0002-0000-0100-000006000000}"/>
    <dataValidation allowBlank="1" showInputMessage="1" showErrorMessage="1" prompt="ใส่ป้ายชื่อเพื่ออธิบายปุ่มแบบกำหนดเองที่ด้านซ้าย" sqref="M2:O2 Q2:S2" xr:uid="{13A4E0B1-C7FD-47AF-8445-CDE0D5D9267D}"/>
    <dataValidation allowBlank="1" showInputMessage="1" showErrorMessage="1" prompt="ใส่ตัวอักษรและกำหนดป้ายชื่อด้วยตนเองที่ด้านขวาเพื่อเพิ่มรายการคีย์อื่นๆ" sqref="L2 P2" xr:uid="{264410E1-C689-41D2-85AD-A5A1547B35E6}"/>
    <dataValidation allowBlank="1" showInputMessage="1" showErrorMessage="1" prompt="ตัวอักษร “S” ระบุถึงการขาดงานเนื่องจากลาป่วย" sqref="J2" xr:uid="{B0B2D1FD-7A47-4FC8-B1C4-2654240684EB}"/>
    <dataValidation allowBlank="1" showInputMessage="1" showErrorMessage="1" prompt="ตัวอักษร “P” ระบุถึงการขาดงานเนื่องจากลากิจ" sqref="G2" xr:uid="{E6991593-40B9-4EE7-A49E-BE071EADCEBF}"/>
    <dataValidation allowBlank="1" showInputMessage="1" showErrorMessage="1" prompt="ตัวอักษร “V” ระบุถึงการขาดงานเนื่องจากลาพักร้อน" sqref="C2" xr:uid="{59DF3FFC-288D-480F-8639-AD4C2F896F27}"/>
    <dataValidation allowBlank="1" showInputMessage="1" showErrorMessage="1" prompt="วันในสัปดาห์ในแถวนี้จะถูกอัปเดตโดยอัตโนมัติในแต่ละเดือนโดยอ้างอิงจากปีใน AH4 แต่ละวันในแต่ละเดือนเป็นคอลัมน์เพื่อบันทึกการขาดงานของพนักงานและประเภทการขาดงาน" sqref="C5" xr:uid="{00000000-0002-0000-0100-00000C000000}"/>
    <dataValidation allowBlank="1" showInputMessage="1" showErrorMessage="1" prompt="วันของเดือนในแถวนี้จะถูกสร้างโดยอัตโนมัติ ใส่การขาดงานของพนักงานและประเภทการขาดงานในแต่ละคอลัมน์ในแต่ละวันของเดือน ช่องว่างหมายถึงไม่ได้ขาดงาน" sqref="C6" xr:uid="{00000000-0002-0000-0100-00000D000000}"/>
  </dataValidations>
  <printOptions horizontalCentered="1"/>
  <pageMargins left="0.25" right="0.25" top="0.75" bottom="0.75" header="0.3" footer="0.3"/>
  <pageSetup paperSize="9" scale="68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738C71-AB78-40C3-A818-D083AE35CC38}">
            <x14:dataBar minLength="0" maxLength="100">
              <x14:cfvo type="autoMin"/>
              <x14:cfvo type="formula">
                <xm:f>DATEDIF(DATE(ปีปฏิทิน,2,1),DATE(ปีปฏิทิน,3,1),"d")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232" yWindow="365" count="1">
        <x14:dataValidation type="list" allowBlank="1" showInputMessage="1" showErrorMessage="1" xr:uid="{00000000-0002-0000-0100-00000E000000}">
          <x14:formula1>
            <xm:f>ชื่อพนักงาน!$B$4:$B$8</xm:f>
          </x14:formula1>
          <xm:sqref>B7:B11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499984740745262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625" style="8" customWidth="1"/>
    <col min="2" max="2" width="25.625" style="8" customWidth="1"/>
    <col min="3" max="33" width="4.625" style="8" customWidth="1"/>
    <col min="34" max="34" width="13.5" style="8" customWidth="1"/>
    <col min="35" max="35" width="2.625" customWidth="1"/>
  </cols>
  <sheetData>
    <row r="1" spans="2:34" ht="50.1" customHeight="1" x14ac:dyDescent="0.25">
      <c r="B1" s="10" t="str">
        <f>Employee_Absence_Title</f>
        <v>กำหนดการการขาดงานของพนักงาน</v>
      </c>
    </row>
    <row r="2" spans="2:34" ht="15" customHeight="1" x14ac:dyDescent="0.25">
      <c r="B2" s="15" t="s">
        <v>1</v>
      </c>
      <c r="C2" s="4" t="s">
        <v>9</v>
      </c>
      <c r="D2" s="29" t="s">
        <v>12</v>
      </c>
      <c r="E2" s="29"/>
      <c r="F2" s="29"/>
      <c r="G2" s="5" t="s">
        <v>15</v>
      </c>
      <c r="H2" s="29" t="s">
        <v>18</v>
      </c>
      <c r="I2" s="29"/>
      <c r="J2" s="20" t="s">
        <v>63</v>
      </c>
      <c r="K2" s="24" t="s">
        <v>23</v>
      </c>
      <c r="L2" s="21"/>
      <c r="M2" s="27" t="s">
        <v>27</v>
      </c>
      <c r="N2" s="27"/>
      <c r="O2" s="27"/>
      <c r="P2" s="22"/>
      <c r="Q2" s="27" t="s">
        <v>32</v>
      </c>
      <c r="R2" s="27"/>
      <c r="S2" s="27"/>
    </row>
    <row r="3" spans="2:34" ht="15" customHeight="1" x14ac:dyDescent="0.25">
      <c r="B3" s="10"/>
    </row>
    <row r="4" spans="2:34" ht="30" customHeight="1" x14ac:dyDescent="0.25">
      <c r="B4" s="9" t="s">
        <v>53</v>
      </c>
      <c r="C4" s="28" t="s">
        <v>10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9">
        <f>ปีปฏิทิน</f>
        <v>2019</v>
      </c>
    </row>
    <row r="5" spans="2:34" ht="15" customHeight="1" x14ac:dyDescent="0.25">
      <c r="B5" s="9"/>
      <c r="C5" s="2" t="str">
        <f>TEXT(WEEKDAY(DATE(ปีปฏิทิน,3,1),1),"aaa")</f>
        <v>ศ.</v>
      </c>
      <c r="D5" s="2" t="str">
        <f>TEXT(WEEKDAY(DATE(ปีปฏิทิน,3,2),1),"aaa")</f>
        <v>ส.</v>
      </c>
      <c r="E5" s="2" t="str">
        <f>TEXT(WEEKDAY(DATE(ปีปฏิทิน,3,3),1),"aaa")</f>
        <v>อา.</v>
      </c>
      <c r="F5" s="2" t="str">
        <f>TEXT(WEEKDAY(DATE(ปีปฏิทิน,3,4),1),"aaa")</f>
        <v>จ.</v>
      </c>
      <c r="G5" s="2" t="str">
        <f>TEXT(WEEKDAY(DATE(ปีปฏิทิน,3,5),1),"aaa")</f>
        <v>อ.</v>
      </c>
      <c r="H5" s="2" t="str">
        <f>TEXT(WEEKDAY(DATE(ปีปฏิทิน,3,6),1),"aaa")</f>
        <v>พ.</v>
      </c>
      <c r="I5" s="2" t="str">
        <f>TEXT(WEEKDAY(DATE(ปีปฏิทิน,3,7),1),"aaa")</f>
        <v>พฤ.</v>
      </c>
      <c r="J5" s="2" t="str">
        <f>TEXT(WEEKDAY(DATE(ปีปฏิทิน,3,8),1),"aaa")</f>
        <v>ศ.</v>
      </c>
      <c r="K5" s="2" t="str">
        <f>TEXT(WEEKDAY(DATE(ปีปฏิทิน,3,9),1),"aaa")</f>
        <v>ส.</v>
      </c>
      <c r="L5" s="2" t="str">
        <f>TEXT(WEEKDAY(DATE(ปีปฏิทิน,3,10),1),"aaa")</f>
        <v>อา.</v>
      </c>
      <c r="M5" s="2" t="str">
        <f>TEXT(WEEKDAY(DATE(ปีปฏิทิน,3,11),1),"aaa")</f>
        <v>จ.</v>
      </c>
      <c r="N5" s="2" t="str">
        <f>TEXT(WEEKDAY(DATE(ปีปฏิทิน,3,12),1),"aaa")</f>
        <v>อ.</v>
      </c>
      <c r="O5" s="2" t="str">
        <f>TEXT(WEEKDAY(DATE(ปีปฏิทิน,3,13),1),"aaa")</f>
        <v>พ.</v>
      </c>
      <c r="P5" s="2" t="str">
        <f>TEXT(WEEKDAY(DATE(ปีปฏิทิน,3,14),1),"aaa")</f>
        <v>พฤ.</v>
      </c>
      <c r="Q5" s="2" t="str">
        <f>TEXT(WEEKDAY(DATE(ปีปฏิทิน,3,15),1),"aaa")</f>
        <v>ศ.</v>
      </c>
      <c r="R5" s="2" t="str">
        <f>TEXT(WEEKDAY(DATE(ปีปฏิทิน,3,16),1),"aaa")</f>
        <v>ส.</v>
      </c>
      <c r="S5" s="2" t="str">
        <f>TEXT(WEEKDAY(DATE(ปีปฏิทิน,3,17),1),"aaa")</f>
        <v>อา.</v>
      </c>
      <c r="T5" s="2" t="str">
        <f>TEXT(WEEKDAY(DATE(ปีปฏิทิน,3,18),1),"aaa")</f>
        <v>จ.</v>
      </c>
      <c r="U5" s="2" t="str">
        <f>TEXT(WEEKDAY(DATE(ปีปฏิทิน,3,19),1),"aaa")</f>
        <v>อ.</v>
      </c>
      <c r="V5" s="2" t="str">
        <f>TEXT(WEEKDAY(DATE(ปีปฏิทิน,3,20),1),"aaa")</f>
        <v>พ.</v>
      </c>
      <c r="W5" s="2" t="str">
        <f>TEXT(WEEKDAY(DATE(ปีปฏิทิน,3,21),1),"aaa")</f>
        <v>พฤ.</v>
      </c>
      <c r="X5" s="2" t="str">
        <f>TEXT(WEEKDAY(DATE(ปีปฏิทิน,3,22),1),"aaa")</f>
        <v>ศ.</v>
      </c>
      <c r="Y5" s="2" t="str">
        <f>TEXT(WEEKDAY(DATE(ปีปฏิทิน,3,23),1),"aaa")</f>
        <v>ส.</v>
      </c>
      <c r="Z5" s="2" t="str">
        <f>TEXT(WEEKDAY(DATE(ปีปฏิทิน,3,24),1),"aaa")</f>
        <v>อา.</v>
      </c>
      <c r="AA5" s="2" t="str">
        <f>TEXT(WEEKDAY(DATE(ปีปฏิทิน,3,25),1),"aaa")</f>
        <v>จ.</v>
      </c>
      <c r="AB5" s="2" t="str">
        <f>TEXT(WEEKDAY(DATE(ปีปฏิทิน,3,26),1),"aaa")</f>
        <v>อ.</v>
      </c>
      <c r="AC5" s="2" t="str">
        <f>TEXT(WEEKDAY(DATE(ปีปฏิทิน,3,27),1),"aaa")</f>
        <v>พ.</v>
      </c>
      <c r="AD5" s="2" t="str">
        <f>TEXT(WEEKDAY(DATE(ปีปฏิทิน,3,28),1),"aaa")</f>
        <v>พฤ.</v>
      </c>
      <c r="AE5" s="2" t="str">
        <f>TEXT(WEEKDAY(DATE(ปีปฏิทิน,3,29),1),"aaa")</f>
        <v>ศ.</v>
      </c>
      <c r="AF5" s="2" t="str">
        <f>TEXT(WEEKDAY(DATE(ปีปฏิทิน,3,30),1),"aaa")</f>
        <v>ส.</v>
      </c>
      <c r="AG5" s="2" t="str">
        <f>TEXT(WEEKDAY(DATE(ปีปฏิทิน,3,31),1),"aaa")</f>
        <v>อา.</v>
      </c>
      <c r="AH5" s="9"/>
    </row>
    <row r="6" spans="2:34" ht="15" customHeight="1" x14ac:dyDescent="0.25">
      <c r="B6" s="11" t="s">
        <v>3</v>
      </c>
      <c r="C6" s="3" t="s">
        <v>11</v>
      </c>
      <c r="D6" s="3" t="s">
        <v>13</v>
      </c>
      <c r="E6" s="3" t="s">
        <v>14</v>
      </c>
      <c r="F6" s="3" t="s">
        <v>16</v>
      </c>
      <c r="G6" s="3" t="s">
        <v>17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24</v>
      </c>
      <c r="M6" s="3" t="s">
        <v>25</v>
      </c>
      <c r="N6" s="3" t="s">
        <v>26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33</v>
      </c>
      <c r="T6" s="3" t="s">
        <v>34</v>
      </c>
      <c r="U6" s="3" t="s">
        <v>35</v>
      </c>
      <c r="V6" s="3" t="s">
        <v>36</v>
      </c>
      <c r="W6" s="3" t="s">
        <v>37</v>
      </c>
      <c r="X6" s="3" t="s">
        <v>38</v>
      </c>
      <c r="Y6" s="3" t="s">
        <v>39</v>
      </c>
      <c r="Z6" s="3" t="s">
        <v>40</v>
      </c>
      <c r="AA6" s="3" t="s">
        <v>41</v>
      </c>
      <c r="AB6" s="3" t="s">
        <v>42</v>
      </c>
      <c r="AC6" s="3" t="s">
        <v>43</v>
      </c>
      <c r="AD6" s="3" t="s">
        <v>44</v>
      </c>
      <c r="AE6" s="3" t="s">
        <v>45</v>
      </c>
      <c r="AF6" s="3" t="s">
        <v>46</v>
      </c>
      <c r="AG6" s="3" t="s">
        <v>47</v>
      </c>
      <c r="AH6" s="12" t="s">
        <v>49</v>
      </c>
    </row>
    <row r="7" spans="2:34" ht="30" customHeight="1" x14ac:dyDescent="0.25">
      <c r="B7" s="13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7">
        <f>COUNTA(มีนาคม[[#This Row],[1]:[31]])</f>
        <v>0</v>
      </c>
    </row>
    <row r="8" spans="2:34" ht="30" customHeight="1" x14ac:dyDescent="0.25">
      <c r="B8" s="13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7">
        <f>COUNTA(มีนาคม[[#This Row],[1]:[31]])</f>
        <v>0</v>
      </c>
    </row>
    <row r="9" spans="2:34" ht="30" customHeight="1" x14ac:dyDescent="0.25">
      <c r="B9" s="13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7">
        <f>COUNTA(มีนาคม[[#This Row],[1]:[31]])</f>
        <v>0</v>
      </c>
    </row>
    <row r="10" spans="2:34" ht="30" customHeight="1" x14ac:dyDescent="0.25">
      <c r="B10" s="13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7">
        <f>COUNTA(มีนาคม[[#This Row],[1]:[31]])</f>
        <v>0</v>
      </c>
    </row>
    <row r="11" spans="2:34" ht="30" customHeight="1" x14ac:dyDescent="0.25">
      <c r="B11" s="13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7">
        <f>COUNTA(มีนาคม[[#This Row],[1]:[31]])</f>
        <v>0</v>
      </c>
    </row>
    <row r="12" spans="2:34" ht="30" customHeight="1" x14ac:dyDescent="0.25">
      <c r="B12" s="17" t="str">
        <f>MonthName&amp;" ผลรวม"</f>
        <v>มีนาคม ผลรวม</v>
      </c>
      <c r="C12" s="26">
        <f>SUBTOTAL(103,มีนาคม[1])</f>
        <v>0</v>
      </c>
      <c r="D12" s="26">
        <f>SUBTOTAL(103,มีนาคม[2])</f>
        <v>0</v>
      </c>
      <c r="E12" s="26">
        <f>SUBTOTAL(103,มีนาคม[3])</f>
        <v>0</v>
      </c>
      <c r="F12" s="26">
        <f>SUBTOTAL(103,มีนาคม[4])</f>
        <v>0</v>
      </c>
      <c r="G12" s="26">
        <f>SUBTOTAL(103,มีนาคม[5])</f>
        <v>0</v>
      </c>
      <c r="H12" s="26">
        <f>SUBTOTAL(103,มีนาคม[6])</f>
        <v>0</v>
      </c>
      <c r="I12" s="26">
        <f>SUBTOTAL(103,มีนาคม[7])</f>
        <v>0</v>
      </c>
      <c r="J12" s="26">
        <f>SUBTOTAL(103,มีนาคม[8])</f>
        <v>0</v>
      </c>
      <c r="K12" s="26">
        <f>SUBTOTAL(103,มีนาคม[9])</f>
        <v>0</v>
      </c>
      <c r="L12" s="26">
        <f>SUBTOTAL(103,มีนาคม[10])</f>
        <v>0</v>
      </c>
      <c r="M12" s="26">
        <f>SUBTOTAL(103,มีนาคม[11])</f>
        <v>0</v>
      </c>
      <c r="N12" s="26">
        <f>SUBTOTAL(103,มีนาคม[12])</f>
        <v>0</v>
      </c>
      <c r="O12" s="26">
        <f>SUBTOTAL(103,มีนาคม[13])</f>
        <v>0</v>
      </c>
      <c r="P12" s="26">
        <f>SUBTOTAL(103,มีนาคม[14])</f>
        <v>0</v>
      </c>
      <c r="Q12" s="26">
        <f>SUBTOTAL(103,มีนาคม[15])</f>
        <v>0</v>
      </c>
      <c r="R12" s="26">
        <f>SUBTOTAL(103,มีนาคม[16])</f>
        <v>0</v>
      </c>
      <c r="S12" s="26">
        <f>SUBTOTAL(103,มีนาคม[17])</f>
        <v>0</v>
      </c>
      <c r="T12" s="26">
        <f>SUBTOTAL(103,มีนาคม[18])</f>
        <v>0</v>
      </c>
      <c r="U12" s="26">
        <f>SUBTOTAL(103,มีนาคม[19])</f>
        <v>0</v>
      </c>
      <c r="V12" s="26">
        <f>SUBTOTAL(103,มีนาคม[20])</f>
        <v>0</v>
      </c>
      <c r="W12" s="26">
        <f>SUBTOTAL(103,มีนาคม[21])</f>
        <v>0</v>
      </c>
      <c r="X12" s="26">
        <f>SUBTOTAL(103,มีนาคม[22])</f>
        <v>0</v>
      </c>
      <c r="Y12" s="26">
        <f>SUBTOTAL(103,มีนาคม[23])</f>
        <v>0</v>
      </c>
      <c r="Z12" s="26">
        <f>SUBTOTAL(103,มีนาคม[24])</f>
        <v>0</v>
      </c>
      <c r="AA12" s="26">
        <f>SUBTOTAL(103,มีนาคม[25])</f>
        <v>0</v>
      </c>
      <c r="AB12" s="26">
        <f>SUBTOTAL(103,มีนาคม[26])</f>
        <v>0</v>
      </c>
      <c r="AC12" s="26">
        <f>SUBTOTAL(103,มีนาคม[27])</f>
        <v>0</v>
      </c>
      <c r="AD12" s="26">
        <f>SUBTOTAL(103,มีนาคม[28])</f>
        <v>0</v>
      </c>
      <c r="AE12" s="26">
        <f>SUBTOTAL(103,มีนาคม[29])</f>
        <v>0</v>
      </c>
      <c r="AF12" s="26">
        <f>SUBTOTAL(103,มีนาคม[30])</f>
        <v>0</v>
      </c>
      <c r="AG12" s="26">
        <f>SUBTOTAL(103,มีนาคม[31])</f>
        <v>0</v>
      </c>
      <c r="AH12" s="26">
        <f>SUBTOTAL(109,มีนาคม[จำนวนวัน:])</f>
        <v>0</v>
      </c>
    </row>
  </sheetData>
  <mergeCells count="3">
    <mergeCell ref="C4:AG4"/>
    <mergeCell ref="D2:F2"/>
    <mergeCell ref="H2:I2"/>
  </mergeCells>
  <conditionalFormatting sqref="C7:AG11">
    <cfRule type="expression" priority="1" stopIfTrue="1">
      <formula>C7=""</formula>
    </cfRule>
  </conditionalFormatting>
  <conditionalFormatting sqref="C7:AG11">
    <cfRule type="expression" dxfId="772" priority="2" stopIfTrue="1">
      <formula>C7=KeyCustom2</formula>
    </cfRule>
    <cfRule type="expression" dxfId="771" priority="3" stopIfTrue="1">
      <formula>C7=KeyCustom1</formula>
    </cfRule>
    <cfRule type="expression" dxfId="770" priority="4" stopIfTrue="1">
      <formula>C7=KeySick</formula>
    </cfRule>
    <cfRule type="expression" dxfId="769" priority="5" stopIfTrue="1">
      <formula>C7=KeyPersonal</formula>
    </cfRule>
    <cfRule type="expression" dxfId="768" priority="6" stopIfTrue="1">
      <formula>C7=KeyVacation</formula>
    </cfRule>
  </conditionalFormatting>
  <conditionalFormatting sqref="AH7:AH11">
    <cfRule type="dataBar" priority="7">
      <dataBar>
        <cfvo type="min"/>
        <cfvo type="formula" val="DATEDIF(DATE(ปีปฏิทิน,2,1),DATE(ปีปฏิทิน,3,1),&quot;d&quot;)"/>
        <color theme="2" tint="-0.249977111117893"/>
      </dataBar>
      <extLst>
        <ext xmlns:x14="http://schemas.microsoft.com/office/spreadsheetml/2009/9/main" uri="{B025F937-C7B1-47D3-B67F-A62EFF666E3E}">
          <x14:id>{7C2B6C3E-666E-4369-8C57-FD32A7D03A3C}</x14:id>
        </ext>
      </extLst>
    </cfRule>
  </conditionalFormatting>
  <dataValidations count="14">
    <dataValidation allowBlank="1" showInputMessage="1" showErrorMessage="1" prompt="วันของเดือนในแถวนี้จะถูกสร้างโดยอัตโนมัติ ใส่การขาดงานของพนักงานและประเภทการขาดงานในแต่ละคอลัมน์ในแต่ละวันของเดือน ช่องว่างหมายถึงไม่ได้ขาดงาน" sqref="C6" xr:uid="{00000000-0002-0000-0200-000000000000}"/>
    <dataValidation allowBlank="1" showInputMessage="1" showErrorMessage="1" prompt="วันในสัปดาห์ในแถวนี้จะถูกอัปเดตโดยอัตโนมัติในแต่ละเดือนโดยอ้างอิงจากปีใน AH4 แต่ละวันในแต่ละเดือนเป็นคอลัมน์เพื่อบันทึกการขาดงานของพนักงานและประเภทการขาดงาน" sqref="C5" xr:uid="{00000000-0002-0000-0200-000001000000}"/>
    <dataValidation allowBlank="1" showInputMessage="1" showErrorMessage="1" prompt="ชื่อเดือนสำหรับตารางการขาดงานนี้จะอยู่ในเซลล์นี้ จำนวนการขาดงานสำหรับเดือนนี้จะอยู่ในเซลล์สุดท้ายของตาราง เลือกชื่อพนักงานจากคอลัมน์ B ในตาราง" sqref="B4" xr:uid="{00000000-0002-0000-0200-000002000000}"/>
    <dataValidation allowBlank="1" showInputMessage="1" showErrorMessage="1" prompt="แถวนี้ระบุถึงคีย์ที่ใช้ในตาราง: เซลล์ C2 เป็นลาพักร้อน, G2 เป็นลากิจ และ K2 เป็นลาป่วย เซลล์ N2 และ R2 สามารถกำหนดเองได้" sqref="B2" xr:uid="{00000000-0002-0000-0200-000003000000}"/>
    <dataValidation allowBlank="1" showInputMessage="1" showErrorMessage="1" prompt="ใส่ป้ายชื่อเพื่ออธิบายปุ่มแบบกำหนดเองที่ด้านซ้าย" sqref="M2:O2 Q2:S2" xr:uid="{AF4D99FC-2930-44AC-911F-59A6838A4CA4}"/>
    <dataValidation allowBlank="1" showInputMessage="1" showErrorMessage="1" prompt="ใส่ตัวอักษรและกำหนดป้ายชื่อด้วยตนเองที่ด้านขวาเพื่อเพิ่มรายการคีย์อื่นๆ" sqref="L2 P2" xr:uid="{566B75D1-CE90-46AA-B3ED-70668B991B46}"/>
    <dataValidation allowBlank="1" showInputMessage="1" showErrorMessage="1" prompt="ตัวอักษร “S” ระบุถึงการขาดงานเนื่องจากลาป่วย" sqref="J2" xr:uid="{BE0E9DAA-B779-4656-B792-5E384938AF6E}"/>
    <dataValidation allowBlank="1" showInputMessage="1" showErrorMessage="1" prompt="ตัวอักษร “P” ระบุถึงการขาดงานเนื่องจากลากิจ" sqref="G2" xr:uid="{52078859-A07F-478D-AEDB-8337CBE37D7F}"/>
    <dataValidation allowBlank="1" showInputMessage="1" showErrorMessage="1" prompt="ตัวอักษร “V” ระบุถึงการขาดงานเนื่องจากลาพักร้อน" sqref="C2" xr:uid="{B47DD111-12C8-4845-B1D8-B289846A58E8}"/>
    <dataValidation allowBlank="1" showInputMessage="1" showErrorMessage="1" prompt="ชื่อเรื่องจะถูกอัปเดตโดยอัตโนมัติในเซลล์นี้ เมื่อต้องการปรับเปลี่ยนชื่อเรื่อง ให้อัปเดต B1 บนเวิร์กชีต มกราคม" sqref="B1" xr:uid="{00000000-0002-0000-0200-000009000000}"/>
    <dataValidation errorStyle="warning" allowBlank="1" showInputMessage="1" showErrorMessage="1" error="เลือกชื่อจากรายการ เลือกยกเลิก จากนั้นกด ALT+ลูกศรลง จากนั้นกด ENTER เพื่อเลือกชื่อ" prompt="ใส่ชื่อพนักงานในเวิร์กชีต ชื่อพนักงาน จากนั้นเลือกหนึ่งในชื่อเหล่านั้นจากรายการในคอลัมน์นี้ กด ALT+ลูกศรลง จากนั้นกด ENTER เพื่อเลือกชื่อ" sqref="B6" xr:uid="{00000000-0002-0000-0200-00000A000000}"/>
    <dataValidation allowBlank="1" showInputMessage="1" showErrorMessage="1" prompt="ติดตามการขาดงานเดือนมีนาคมในเวิร์กชีตนี้" sqref="A1" xr:uid="{00000000-0002-0000-0200-00000B000000}"/>
    <dataValidation allowBlank="1" showInputMessage="1" showErrorMessage="1" prompt="คำนวณจำนวนวันทั้งหมดที่พนักงานขาดงานในเดือนนี้โดยอัตโนมัติในคอลัมน์นี้" sqref="AH6" xr:uid="{00000000-0002-0000-0200-00000C000000}"/>
    <dataValidation allowBlank="1" showInputMessage="1" showErrorMessage="1" prompt="ปีจะถูกอัปเดตโดยอัตโนมัติโดยอ้างอิงจากปีที่ใส่ในเวิร์กชีต มกราคม" sqref="AH4" xr:uid="{00000000-0002-0000-0200-00000D000000}"/>
  </dataValidations>
  <printOptions horizontalCentered="1"/>
  <pageMargins left="0.25" right="0.25" top="0.75" bottom="0.75" header="0.3" footer="0.3"/>
  <pageSetup paperSize="9" scale="68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2B6C3E-666E-4369-8C57-FD32A7D03A3C}">
            <x14:dataBar minLength="0" maxLength="100">
              <x14:cfvo type="autoMin"/>
              <x14:cfvo type="formula">
                <xm:f>DATEDIF(DATE(ปีปฏิทิน,2,1),DATE(ปีปฏิทิน,3,1),"d")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E000000}">
          <x14:formula1>
            <xm:f>ชื่อพนักงาน!$B$4:$B$8</xm:f>
          </x14:formula1>
          <xm:sqref>B7:B11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625" style="8" customWidth="1"/>
    <col min="2" max="2" width="25.625" style="8" customWidth="1"/>
    <col min="3" max="33" width="4.625" style="8" customWidth="1"/>
    <col min="34" max="34" width="13.5" style="8" customWidth="1"/>
    <col min="35" max="35" width="2.625" customWidth="1"/>
  </cols>
  <sheetData>
    <row r="1" spans="2:34" ht="50.1" customHeight="1" x14ac:dyDescent="0.25">
      <c r="B1" s="10" t="str">
        <f>Employee_Absence_Title</f>
        <v>กำหนดการการขาดงานของพนักงาน</v>
      </c>
    </row>
    <row r="2" spans="2:34" ht="15" customHeight="1" x14ac:dyDescent="0.25">
      <c r="B2" s="15" t="s">
        <v>1</v>
      </c>
      <c r="C2" s="4" t="s">
        <v>9</v>
      </c>
      <c r="D2" s="29" t="s">
        <v>12</v>
      </c>
      <c r="E2" s="29"/>
      <c r="F2" s="29"/>
      <c r="G2" s="5" t="s">
        <v>15</v>
      </c>
      <c r="H2" s="29" t="s">
        <v>18</v>
      </c>
      <c r="I2" s="29"/>
      <c r="J2" s="20" t="s">
        <v>63</v>
      </c>
      <c r="K2" s="24" t="s">
        <v>23</v>
      </c>
      <c r="L2" s="21"/>
      <c r="M2" s="27" t="s">
        <v>27</v>
      </c>
      <c r="N2" s="27"/>
      <c r="O2" s="27"/>
      <c r="P2" s="22"/>
      <c r="Q2" s="27" t="s">
        <v>32</v>
      </c>
      <c r="R2" s="27"/>
      <c r="S2" s="27"/>
    </row>
    <row r="3" spans="2:34" ht="15" customHeight="1" x14ac:dyDescent="0.25">
      <c r="B3" s="10"/>
    </row>
    <row r="4" spans="2:34" ht="30" customHeight="1" x14ac:dyDescent="0.25">
      <c r="B4" s="9" t="s">
        <v>54</v>
      </c>
      <c r="C4" s="28" t="s">
        <v>10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9">
        <f>ปีปฏิทิน</f>
        <v>2019</v>
      </c>
    </row>
    <row r="5" spans="2:34" ht="15" customHeight="1" x14ac:dyDescent="0.25">
      <c r="B5" s="9"/>
      <c r="C5" s="2" t="str">
        <f>TEXT(WEEKDAY(DATE(ปีปฏิทิน,4,1),1),"aaa")</f>
        <v>จ.</v>
      </c>
      <c r="D5" s="2" t="str">
        <f>TEXT(WEEKDAY(DATE(ปีปฏิทิน,4,2),1),"aaa")</f>
        <v>อ.</v>
      </c>
      <c r="E5" s="2" t="str">
        <f>TEXT(WEEKDAY(DATE(ปีปฏิทิน,4,3),1),"aaa")</f>
        <v>พ.</v>
      </c>
      <c r="F5" s="2" t="str">
        <f>TEXT(WEEKDAY(DATE(ปีปฏิทิน,4,4),1),"aaa")</f>
        <v>พฤ.</v>
      </c>
      <c r="G5" s="2" t="str">
        <f>TEXT(WEEKDAY(DATE(ปีปฏิทิน,4,5),1),"aaa")</f>
        <v>ศ.</v>
      </c>
      <c r="H5" s="2" t="str">
        <f>TEXT(WEEKDAY(DATE(ปีปฏิทิน,4,6),1),"aaa")</f>
        <v>ส.</v>
      </c>
      <c r="I5" s="2" t="str">
        <f>TEXT(WEEKDAY(DATE(ปีปฏิทิน,4,7),1),"aaa")</f>
        <v>อา.</v>
      </c>
      <c r="J5" s="2" t="str">
        <f>TEXT(WEEKDAY(DATE(ปีปฏิทิน,4,8),1),"aaa")</f>
        <v>จ.</v>
      </c>
      <c r="K5" s="2" t="str">
        <f>TEXT(WEEKDAY(DATE(ปีปฏิทิน,4,9),1),"aaa")</f>
        <v>อ.</v>
      </c>
      <c r="L5" s="2" t="str">
        <f>TEXT(WEEKDAY(DATE(ปีปฏิทิน,4,10),1),"aaa")</f>
        <v>พ.</v>
      </c>
      <c r="M5" s="2" t="str">
        <f>TEXT(WEEKDAY(DATE(ปีปฏิทิน,4,11),1),"aaa")</f>
        <v>พฤ.</v>
      </c>
      <c r="N5" s="2" t="str">
        <f>TEXT(WEEKDAY(DATE(ปีปฏิทิน,4,12),1),"aaa")</f>
        <v>ศ.</v>
      </c>
      <c r="O5" s="2" t="str">
        <f>TEXT(WEEKDAY(DATE(ปีปฏิทิน,4,13),1),"aaa")</f>
        <v>ส.</v>
      </c>
      <c r="P5" s="2" t="str">
        <f>TEXT(WEEKDAY(DATE(ปีปฏิทิน,4,14),1),"aaa")</f>
        <v>อา.</v>
      </c>
      <c r="Q5" s="2" t="str">
        <f>TEXT(WEEKDAY(DATE(ปีปฏิทิน,4,15),1),"aaa")</f>
        <v>จ.</v>
      </c>
      <c r="R5" s="2" t="str">
        <f>TEXT(WEEKDAY(DATE(ปีปฏิทิน,4,16),1),"aaa")</f>
        <v>อ.</v>
      </c>
      <c r="S5" s="2" t="str">
        <f>TEXT(WEEKDAY(DATE(ปีปฏิทิน,4,17),1),"aaa")</f>
        <v>พ.</v>
      </c>
      <c r="T5" s="2" t="str">
        <f>TEXT(WEEKDAY(DATE(ปีปฏิทิน,4,18),1),"aaa")</f>
        <v>พฤ.</v>
      </c>
      <c r="U5" s="2" t="str">
        <f>TEXT(WEEKDAY(DATE(ปีปฏิทิน,4,19),1),"aaa")</f>
        <v>ศ.</v>
      </c>
      <c r="V5" s="2" t="str">
        <f>TEXT(WEEKDAY(DATE(ปีปฏิทิน,4,20),1),"aaa")</f>
        <v>ส.</v>
      </c>
      <c r="W5" s="2" t="str">
        <f>TEXT(WEEKDAY(DATE(ปีปฏิทิน,4,21),1),"aaa")</f>
        <v>อา.</v>
      </c>
      <c r="X5" s="2" t="str">
        <f>TEXT(WEEKDAY(DATE(ปีปฏิทิน,4,22),1),"aaa")</f>
        <v>จ.</v>
      </c>
      <c r="Y5" s="2" t="str">
        <f>TEXT(WEEKDAY(DATE(ปีปฏิทิน,4,23),1),"aaa")</f>
        <v>อ.</v>
      </c>
      <c r="Z5" s="2" t="str">
        <f>TEXT(WEEKDAY(DATE(ปีปฏิทิน,4,24),1),"aaa")</f>
        <v>พ.</v>
      </c>
      <c r="AA5" s="2" t="str">
        <f>TEXT(WEEKDAY(DATE(ปีปฏิทิน,4,25),1),"aaa")</f>
        <v>พฤ.</v>
      </c>
      <c r="AB5" s="2" t="str">
        <f>TEXT(WEEKDAY(DATE(ปีปฏิทิน,4,26),1),"aaa")</f>
        <v>ศ.</v>
      </c>
      <c r="AC5" s="2" t="str">
        <f>TEXT(WEEKDAY(DATE(ปีปฏิทิน,4,27),1),"aaa")</f>
        <v>ส.</v>
      </c>
      <c r="AD5" s="2" t="str">
        <f>TEXT(WEEKDAY(DATE(ปีปฏิทิน,4,28),1),"aaa")</f>
        <v>อา.</v>
      </c>
      <c r="AE5" s="2" t="str">
        <f>TEXT(WEEKDAY(DATE(ปีปฏิทิน,4,29),1),"aaa")</f>
        <v>จ.</v>
      </c>
      <c r="AF5" s="2" t="str">
        <f>TEXT(WEEKDAY(DATE(ปีปฏิทิน,4,30),1),"aaa")</f>
        <v>อ.</v>
      </c>
      <c r="AG5" s="2"/>
      <c r="AH5" s="9"/>
    </row>
    <row r="6" spans="2:34" ht="15" customHeight="1" x14ac:dyDescent="0.25">
      <c r="B6" s="11" t="s">
        <v>3</v>
      </c>
      <c r="C6" s="3" t="s">
        <v>11</v>
      </c>
      <c r="D6" s="3" t="s">
        <v>13</v>
      </c>
      <c r="E6" s="3" t="s">
        <v>14</v>
      </c>
      <c r="F6" s="3" t="s">
        <v>16</v>
      </c>
      <c r="G6" s="3" t="s">
        <v>17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24</v>
      </c>
      <c r="M6" s="3" t="s">
        <v>25</v>
      </c>
      <c r="N6" s="3" t="s">
        <v>26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33</v>
      </c>
      <c r="T6" s="3" t="s">
        <v>34</v>
      </c>
      <c r="U6" s="3" t="s">
        <v>35</v>
      </c>
      <c r="V6" s="3" t="s">
        <v>36</v>
      </c>
      <c r="W6" s="3" t="s">
        <v>37</v>
      </c>
      <c r="X6" s="3" t="s">
        <v>38</v>
      </c>
      <c r="Y6" s="3" t="s">
        <v>39</v>
      </c>
      <c r="Z6" s="3" t="s">
        <v>40</v>
      </c>
      <c r="AA6" s="3" t="s">
        <v>41</v>
      </c>
      <c r="AB6" s="3" t="s">
        <v>42</v>
      </c>
      <c r="AC6" s="3" t="s">
        <v>43</v>
      </c>
      <c r="AD6" s="3" t="s">
        <v>44</v>
      </c>
      <c r="AE6" s="3" t="s">
        <v>45</v>
      </c>
      <c r="AF6" s="3" t="s">
        <v>46</v>
      </c>
      <c r="AG6" s="23" t="s">
        <v>51</v>
      </c>
      <c r="AH6" s="12" t="s">
        <v>49</v>
      </c>
    </row>
    <row r="7" spans="2:34" ht="30" customHeight="1" x14ac:dyDescent="0.25">
      <c r="B7" s="13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7">
        <f>COUNTA(เมษายน[[#This Row],[1]:[30]])</f>
        <v>0</v>
      </c>
    </row>
    <row r="8" spans="2:34" ht="30" customHeight="1" x14ac:dyDescent="0.25">
      <c r="B8" s="13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7">
        <f>COUNTA(เมษายน[[#This Row],[1]:[30]])</f>
        <v>0</v>
      </c>
    </row>
    <row r="9" spans="2:34" ht="30" customHeight="1" x14ac:dyDescent="0.25">
      <c r="B9" s="13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7">
        <f>COUNTA(เมษายน[[#This Row],[1]:[30]])</f>
        <v>0</v>
      </c>
    </row>
    <row r="10" spans="2:34" ht="30" customHeight="1" x14ac:dyDescent="0.25">
      <c r="B10" s="13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7">
        <f>COUNTA(เมษายน[[#This Row],[1]:[30]])</f>
        <v>0</v>
      </c>
    </row>
    <row r="11" spans="2:34" ht="30" customHeight="1" x14ac:dyDescent="0.25">
      <c r="B11" s="13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7">
        <f>COUNTA(เมษายน[[#This Row],[1]:[30]])</f>
        <v>0</v>
      </c>
    </row>
    <row r="12" spans="2:34" ht="30" customHeight="1" x14ac:dyDescent="0.25">
      <c r="B12" s="17" t="str">
        <f>MonthName&amp;" ผลรวม"</f>
        <v>เมษายน ผลรวม</v>
      </c>
      <c r="C12" s="26">
        <f>SUBTOTAL(103,เมษายน[1])</f>
        <v>0</v>
      </c>
      <c r="D12" s="26">
        <f>SUBTOTAL(103,เมษายน[2])</f>
        <v>0</v>
      </c>
      <c r="E12" s="26">
        <f>SUBTOTAL(103,เมษายน[3])</f>
        <v>0</v>
      </c>
      <c r="F12" s="26">
        <f>SUBTOTAL(103,เมษายน[4])</f>
        <v>0</v>
      </c>
      <c r="G12" s="26">
        <f>SUBTOTAL(103,เมษายน[5])</f>
        <v>0</v>
      </c>
      <c r="H12" s="26">
        <f>SUBTOTAL(103,เมษายน[6])</f>
        <v>0</v>
      </c>
      <c r="I12" s="26">
        <f>SUBTOTAL(103,เมษายน[7])</f>
        <v>0</v>
      </c>
      <c r="J12" s="26">
        <f>SUBTOTAL(103,เมษายน[8])</f>
        <v>0</v>
      </c>
      <c r="K12" s="26">
        <f>SUBTOTAL(103,เมษายน[9])</f>
        <v>0</v>
      </c>
      <c r="L12" s="26">
        <f>SUBTOTAL(103,เมษายน[10])</f>
        <v>0</v>
      </c>
      <c r="M12" s="26">
        <f>SUBTOTAL(103,เมษายน[11])</f>
        <v>0</v>
      </c>
      <c r="N12" s="26">
        <f>SUBTOTAL(103,เมษายน[12])</f>
        <v>0</v>
      </c>
      <c r="O12" s="26">
        <f>SUBTOTAL(103,เมษายน[13])</f>
        <v>0</v>
      </c>
      <c r="P12" s="26">
        <f>SUBTOTAL(103,เมษายน[14])</f>
        <v>0</v>
      </c>
      <c r="Q12" s="26">
        <f>SUBTOTAL(103,เมษายน[15])</f>
        <v>0</v>
      </c>
      <c r="R12" s="26">
        <f>SUBTOTAL(103,เมษายน[16])</f>
        <v>0</v>
      </c>
      <c r="S12" s="26">
        <f>SUBTOTAL(103,เมษายน[17])</f>
        <v>0</v>
      </c>
      <c r="T12" s="26">
        <f>SUBTOTAL(103,เมษายน[18])</f>
        <v>0</v>
      </c>
      <c r="U12" s="26">
        <f>SUBTOTAL(103,เมษายน[19])</f>
        <v>0</v>
      </c>
      <c r="V12" s="26">
        <f>SUBTOTAL(103,เมษายน[20])</f>
        <v>0</v>
      </c>
      <c r="W12" s="26">
        <f>SUBTOTAL(103,เมษายน[21])</f>
        <v>0</v>
      </c>
      <c r="X12" s="26">
        <f>SUBTOTAL(103,เมษายน[22])</f>
        <v>0</v>
      </c>
      <c r="Y12" s="26">
        <f>SUBTOTAL(103,เมษายน[23])</f>
        <v>0</v>
      </c>
      <c r="Z12" s="26">
        <f>SUBTOTAL(103,เมษายน[24])</f>
        <v>0</v>
      </c>
      <c r="AA12" s="26">
        <f>SUBTOTAL(103,เมษายน[25])</f>
        <v>0</v>
      </c>
      <c r="AB12" s="26">
        <f>SUBTOTAL(103,เมษายน[26])</f>
        <v>0</v>
      </c>
      <c r="AC12" s="26">
        <f>SUBTOTAL(103,เมษายน[27])</f>
        <v>0</v>
      </c>
      <c r="AD12" s="26">
        <f>SUBTOTAL(103,เมษายน[28])</f>
        <v>0</v>
      </c>
      <c r="AE12" s="26">
        <f>SUBTOTAL(103,เมษายน[29])</f>
        <v>0</v>
      </c>
      <c r="AF12" s="26">
        <f>SUBTOTAL(103,เมษายน[30])</f>
        <v>0</v>
      </c>
      <c r="AG12" s="26">
        <f>SUBTOTAL(103,เมษายน[30])</f>
        <v>0</v>
      </c>
      <c r="AH12" s="26">
        <f>SUBTOTAL(109,เมษายน[จำนวนวัน:])</f>
        <v>0</v>
      </c>
    </row>
  </sheetData>
  <mergeCells count="3">
    <mergeCell ref="C4:AG4"/>
    <mergeCell ref="D2:F2"/>
    <mergeCell ref="H2:I2"/>
  </mergeCells>
  <conditionalFormatting sqref="C7:AG11">
    <cfRule type="expression" priority="1" stopIfTrue="1">
      <formula>C7=""</formula>
    </cfRule>
  </conditionalFormatting>
  <conditionalFormatting sqref="C7:AG11">
    <cfRule type="expression" dxfId="698" priority="2" stopIfTrue="1">
      <formula>C7=KeyCustom2</formula>
    </cfRule>
    <cfRule type="expression" dxfId="697" priority="3" stopIfTrue="1">
      <formula>C7=KeyCustom1</formula>
    </cfRule>
    <cfRule type="expression" dxfId="696" priority="4" stopIfTrue="1">
      <formula>C7=KeySick</formula>
    </cfRule>
    <cfRule type="expression" dxfId="695" priority="5" stopIfTrue="1">
      <formula>C7=KeyPersonal</formula>
    </cfRule>
    <cfRule type="expression" dxfId="694" priority="6" stopIfTrue="1">
      <formula>C7=KeyVacation</formula>
    </cfRule>
  </conditionalFormatting>
  <conditionalFormatting sqref="AH7:AH11">
    <cfRule type="dataBar" priority="7">
      <dataBar>
        <cfvo type="min"/>
        <cfvo type="formula" val="DATEDIF(DATE(ปีปฏิทิน,2,1),DATE(ปีปฏิทิน,3,1),&quot;d&quot;)"/>
        <color theme="2" tint="-0.249977111117893"/>
      </dataBar>
      <extLst>
        <ext xmlns:x14="http://schemas.microsoft.com/office/spreadsheetml/2009/9/main" uri="{B025F937-C7B1-47D3-B67F-A62EFF666E3E}">
          <x14:id>{0C86709F-D813-4066-A3F1-C30F11214F4B}</x14:id>
        </ext>
      </extLst>
    </cfRule>
  </conditionalFormatting>
  <dataValidations count="14">
    <dataValidation allowBlank="1" showInputMessage="1" showErrorMessage="1" prompt="ปีจะถูกอัปเดตโดยอัตโนมัติโดยอ้างอิงจากปีที่ใส่ในเวิร์กชีต มกราคม" sqref="AH4" xr:uid="{00000000-0002-0000-0300-000000000000}"/>
    <dataValidation allowBlank="1" showInputMessage="1" showErrorMessage="1" prompt="คำนวณจำนวนวันทั้งหมดที่พนักงานขาดงานในเดือนนี้โดยอัตโนมัติในคอลัมน์นี้" sqref="AH6" xr:uid="{00000000-0002-0000-0300-000001000000}"/>
    <dataValidation allowBlank="1" showInputMessage="1" showErrorMessage="1" prompt="ติดตามการขาดงานเดือนเมษายนในเวิร์กชีตนี้" sqref="A1" xr:uid="{00000000-0002-0000-0300-000002000000}"/>
    <dataValidation errorStyle="warning" allowBlank="1" showInputMessage="1" showErrorMessage="1" error="เลือกชื่อจากรายการ เลือกยกเลิก จากนั้นกด ALT+ลูกศรลง จากนั้นกด ENTER เพื่อเลือกชื่อ" prompt="ใส่ชื่อพนักงานในเวิร์กชีต ชื่อพนักงาน จากนั้นเลือกหนึ่งในชื่อเหล่านั้นจากรายการในคอลัมน์นี้ กด ALT+ลูกศรลง จากนั้นกด ENTER เพื่อเลือกชื่อ" sqref="B6" xr:uid="{00000000-0002-0000-0300-000003000000}"/>
    <dataValidation allowBlank="1" showInputMessage="1" showErrorMessage="1" prompt="ชื่อเรื่องจะถูกอัปเดตโดยอัตโนมัติในเซลล์นี้ เมื่อต้องการปรับเปลี่ยนชื่อเรื่อง ให้อัปเดต B1 บนเวิร์กชีต มกราคม" sqref="B1" xr:uid="{00000000-0002-0000-0300-000004000000}"/>
    <dataValidation allowBlank="1" showInputMessage="1" showErrorMessage="1" prompt="ตัวอักษร “V” ระบุถึงการขาดงานเนื่องจากลาพักร้อน" sqref="C2" xr:uid="{33D7F4DF-4EFB-4970-B954-767E070B398D}"/>
    <dataValidation allowBlank="1" showInputMessage="1" showErrorMessage="1" prompt="ตัวอักษร “P” ระบุถึงการขาดงานเนื่องจากลากิจ" sqref="G2" xr:uid="{0FDDE50D-A7A8-440A-83F7-2D1512A69E6C}"/>
    <dataValidation allowBlank="1" showInputMessage="1" showErrorMessage="1" prompt="ตัวอักษร “S” ระบุถึงการขาดงานเนื่องจากลาป่วย" sqref="J2" xr:uid="{4A149631-0593-4DD2-AE68-55BEBFA54487}"/>
    <dataValidation allowBlank="1" showInputMessage="1" showErrorMessage="1" prompt="ใส่ตัวอักษรและกำหนดป้ายชื่อด้วยตนเองที่ด้านขวาเพื่อเพิ่มรายการคีย์อื่นๆ" sqref="L2 P2" xr:uid="{6D7DBD4D-0263-46BD-A0E1-E4EFEAF41960}"/>
    <dataValidation allowBlank="1" showInputMessage="1" showErrorMessage="1" prompt="ใส่ป้ายชื่อเพื่ออธิบายปุ่มแบบกำหนดเองที่ด้านซ้าย" sqref="M2:O2 Q2:S2" xr:uid="{62FDD6D3-A643-48E3-A0CD-DCB92A9F27B3}"/>
    <dataValidation allowBlank="1" showInputMessage="1" showErrorMessage="1" prompt="แถวนี้ระบุถึงคีย์ที่ใช้ในตาราง: เซลล์ C2 เป็นลาพักร้อน, G2 เป็นลากิจ และ K2 เป็นลาป่วย เซลล์ N2 และ R2 สามารถกำหนดเองได้" sqref="B2" xr:uid="{00000000-0002-0000-0300-00000A000000}"/>
    <dataValidation allowBlank="1" showInputMessage="1" showErrorMessage="1" prompt="ชื่อเดือนสำหรับตารางการขาดงานนี้จะอยู่ในเซลล์นี้ จำนวนการขาดงานสำหรับเดือนนี้จะอยู่ในเซลล์สุดท้ายของตาราง เลือกชื่อพนักงานจากคอลัมน์ B ในตาราง" sqref="B4" xr:uid="{00000000-0002-0000-0300-00000B000000}"/>
    <dataValidation allowBlank="1" showInputMessage="1" showErrorMessage="1" prompt="วันของเดือนในแถวนี้จะถูกสร้างโดยอัตโนมัติ ใส่การขาดงานของพนักงานและประเภทการขาดงานในแต่ละคอลัมน์ในแต่ละวันของเดือน ช่องว่างหมายถึงไม่ได้ขาดงาน" sqref="C6" xr:uid="{00000000-0002-0000-0300-00000C000000}"/>
    <dataValidation allowBlank="1" showInputMessage="1" showErrorMessage="1" prompt="วันในสัปดาห์ในแถวนี้จะถูกอัปเดตโดยอัตโนมัติในแต่ละเดือนโดยอ้างอิงจากปีใน AH4 แต่ละวันในแต่ละเดือนเป็นคอลัมน์เพื่อบันทึกการขาดงานของพนักงานและประเภทการขาดงาน" sqref="C5" xr:uid="{00000000-0002-0000-0300-00000D000000}"/>
  </dataValidations>
  <printOptions horizontalCentered="1"/>
  <pageMargins left="0.25" right="0.25" top="0.75" bottom="0.75" header="0.3" footer="0.3"/>
  <pageSetup paperSize="9" scale="68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86709F-D813-4066-A3F1-C30F11214F4B}">
            <x14:dataBar minLength="0" maxLength="100">
              <x14:cfvo type="autoMin"/>
              <x14:cfvo type="formula">
                <xm:f>DATEDIF(DATE(ปีปฏิทิน,2,1),DATE(ปีปฏิทิน,3,1),"d")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E000000}">
          <x14:formula1>
            <xm:f>ชื่อพนักงาน!$B$4:$B$8</xm:f>
          </x14:formula1>
          <xm:sqref>B7:B11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9.9978637043366805E-2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625" style="8" customWidth="1"/>
    <col min="2" max="2" width="25.625" style="8" customWidth="1"/>
    <col min="3" max="33" width="4.625" style="8" customWidth="1"/>
    <col min="34" max="34" width="13.5" style="8" customWidth="1"/>
    <col min="35" max="35" width="2.625" customWidth="1"/>
  </cols>
  <sheetData>
    <row r="1" spans="2:34" ht="50.1" customHeight="1" x14ac:dyDescent="0.25">
      <c r="B1" s="10" t="str">
        <f>Employee_Absence_Title</f>
        <v>กำหนดการการขาดงานของพนักงาน</v>
      </c>
    </row>
    <row r="2" spans="2:34" ht="15" customHeight="1" x14ac:dyDescent="0.25">
      <c r="B2" s="15" t="s">
        <v>1</v>
      </c>
      <c r="C2" s="4" t="s">
        <v>9</v>
      </c>
      <c r="D2" s="29" t="s">
        <v>12</v>
      </c>
      <c r="E2" s="29"/>
      <c r="F2" s="29"/>
      <c r="G2" s="5" t="s">
        <v>15</v>
      </c>
      <c r="H2" s="29" t="s">
        <v>18</v>
      </c>
      <c r="I2" s="29"/>
      <c r="J2" s="20" t="s">
        <v>63</v>
      </c>
      <c r="K2" s="24" t="s">
        <v>23</v>
      </c>
      <c r="L2" s="21"/>
      <c r="M2" s="27" t="s">
        <v>27</v>
      </c>
      <c r="N2" s="27"/>
      <c r="O2" s="27"/>
      <c r="P2" s="22"/>
      <c r="Q2" s="27" t="s">
        <v>32</v>
      </c>
      <c r="R2" s="27"/>
      <c r="S2" s="27"/>
    </row>
    <row r="3" spans="2:34" ht="15" customHeight="1" x14ac:dyDescent="0.25">
      <c r="B3" s="10"/>
    </row>
    <row r="4" spans="2:34" ht="30" customHeight="1" x14ac:dyDescent="0.25">
      <c r="B4" s="9" t="s">
        <v>62</v>
      </c>
      <c r="C4" s="28" t="s">
        <v>10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9">
        <f>ปีปฏิทิน</f>
        <v>2019</v>
      </c>
    </row>
    <row r="5" spans="2:34" ht="15" customHeight="1" x14ac:dyDescent="0.25">
      <c r="B5" s="9"/>
      <c r="C5" s="2" t="str">
        <f>TEXT(WEEKDAY(DATE(ปีปฏิทิน,5,1),1),"aaa")</f>
        <v>พ.</v>
      </c>
      <c r="D5" s="2" t="str">
        <f>TEXT(WEEKDAY(DATE(ปีปฏิทิน,5,2),1),"aaa")</f>
        <v>พฤ.</v>
      </c>
      <c r="E5" s="2" t="str">
        <f>TEXT(WEEKDAY(DATE(ปีปฏิทิน,5,3),1),"aaa")</f>
        <v>ศ.</v>
      </c>
      <c r="F5" s="2" t="str">
        <f>TEXT(WEEKDAY(DATE(ปีปฏิทิน,5,4),1),"aaa")</f>
        <v>ส.</v>
      </c>
      <c r="G5" s="2" t="str">
        <f>TEXT(WEEKDAY(DATE(ปีปฏิทิน,5,5),1),"aaa")</f>
        <v>อา.</v>
      </c>
      <c r="H5" s="2" t="str">
        <f>TEXT(WEEKDAY(DATE(ปีปฏิทิน,5,6),1),"aaa")</f>
        <v>จ.</v>
      </c>
      <c r="I5" s="2" t="str">
        <f>TEXT(WEEKDAY(DATE(ปีปฏิทิน,5,7),1),"aaa")</f>
        <v>อ.</v>
      </c>
      <c r="J5" s="2" t="str">
        <f>TEXT(WEEKDAY(DATE(ปีปฏิทิน,5,8),1),"aaa")</f>
        <v>พ.</v>
      </c>
      <c r="K5" s="2" t="str">
        <f>TEXT(WEEKDAY(DATE(ปีปฏิทิน,5,9),1),"aaa")</f>
        <v>พฤ.</v>
      </c>
      <c r="L5" s="2" t="str">
        <f>TEXT(WEEKDAY(DATE(ปีปฏิทิน,5,10),1),"aaa")</f>
        <v>ศ.</v>
      </c>
      <c r="M5" s="2" t="str">
        <f>TEXT(WEEKDAY(DATE(ปีปฏิทิน,5,11),1),"aaa")</f>
        <v>ส.</v>
      </c>
      <c r="N5" s="2" t="str">
        <f>TEXT(WEEKDAY(DATE(ปีปฏิทิน,5,12),1),"aaa")</f>
        <v>อา.</v>
      </c>
      <c r="O5" s="2" t="str">
        <f>TEXT(WEEKDAY(DATE(ปีปฏิทิน,5,13),1),"aaa")</f>
        <v>จ.</v>
      </c>
      <c r="P5" s="2" t="str">
        <f>TEXT(WEEKDAY(DATE(ปีปฏิทิน,5,14),1),"aaa")</f>
        <v>อ.</v>
      </c>
      <c r="Q5" s="2" t="str">
        <f>TEXT(WEEKDAY(DATE(ปีปฏิทิน,5,15),1),"aaa")</f>
        <v>พ.</v>
      </c>
      <c r="R5" s="2" t="str">
        <f>TEXT(WEEKDAY(DATE(ปีปฏิทิน,5,16),1),"aaa")</f>
        <v>พฤ.</v>
      </c>
      <c r="S5" s="2" t="str">
        <f>TEXT(WEEKDAY(DATE(ปีปฏิทิน,5,17),1),"aaa")</f>
        <v>ศ.</v>
      </c>
      <c r="T5" s="2" t="str">
        <f>TEXT(WEEKDAY(DATE(ปีปฏิทิน,5,18),1),"aaa")</f>
        <v>ส.</v>
      </c>
      <c r="U5" s="2" t="str">
        <f>TEXT(WEEKDAY(DATE(ปีปฏิทิน,5,19),1),"aaa")</f>
        <v>อา.</v>
      </c>
      <c r="V5" s="2" t="str">
        <f>TEXT(WEEKDAY(DATE(ปีปฏิทิน,5,20),1),"aaa")</f>
        <v>จ.</v>
      </c>
      <c r="W5" s="2" t="str">
        <f>TEXT(WEEKDAY(DATE(ปีปฏิทิน,5,21),1),"aaa")</f>
        <v>อ.</v>
      </c>
      <c r="X5" s="2" t="str">
        <f>TEXT(WEEKDAY(DATE(ปีปฏิทิน,5,22),1),"aaa")</f>
        <v>พ.</v>
      </c>
      <c r="Y5" s="2" t="str">
        <f>TEXT(WEEKDAY(DATE(ปีปฏิทิน,5,23),1),"aaa")</f>
        <v>พฤ.</v>
      </c>
      <c r="Z5" s="2" t="str">
        <f>TEXT(WEEKDAY(DATE(ปีปฏิทิน,5,24),1),"aaa")</f>
        <v>ศ.</v>
      </c>
      <c r="AA5" s="2" t="str">
        <f>TEXT(WEEKDAY(DATE(ปีปฏิทิน,5,25),1),"aaa")</f>
        <v>ส.</v>
      </c>
      <c r="AB5" s="2" t="str">
        <f>TEXT(WEEKDAY(DATE(ปีปฏิทิน,5,26),1),"aaa")</f>
        <v>อา.</v>
      </c>
      <c r="AC5" s="2" t="str">
        <f>TEXT(WEEKDAY(DATE(ปีปฏิทิน,5,27),1),"aaa")</f>
        <v>จ.</v>
      </c>
      <c r="AD5" s="2" t="str">
        <f>TEXT(WEEKDAY(DATE(ปีปฏิทิน,5,28),1),"aaa")</f>
        <v>อ.</v>
      </c>
      <c r="AE5" s="2" t="str">
        <f>TEXT(WEEKDAY(DATE(ปีปฏิทิน,5,29),1),"aaa")</f>
        <v>พ.</v>
      </c>
      <c r="AF5" s="2" t="str">
        <f>TEXT(WEEKDAY(DATE(ปีปฏิทิน,5,30),1),"aaa")</f>
        <v>พฤ.</v>
      </c>
      <c r="AG5" s="2" t="str">
        <f>TEXT(WEEKDAY(DATE(ปีปฏิทิน,5,31),1),"aaa")</f>
        <v>ศ.</v>
      </c>
      <c r="AH5" s="9"/>
    </row>
    <row r="6" spans="2:34" ht="15" customHeight="1" x14ac:dyDescent="0.25">
      <c r="B6" s="11" t="s">
        <v>3</v>
      </c>
      <c r="C6" s="3" t="s">
        <v>11</v>
      </c>
      <c r="D6" s="3" t="s">
        <v>13</v>
      </c>
      <c r="E6" s="3" t="s">
        <v>14</v>
      </c>
      <c r="F6" s="3" t="s">
        <v>16</v>
      </c>
      <c r="G6" s="3" t="s">
        <v>17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24</v>
      </c>
      <c r="M6" s="3" t="s">
        <v>25</v>
      </c>
      <c r="N6" s="3" t="s">
        <v>26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33</v>
      </c>
      <c r="T6" s="3" t="s">
        <v>34</v>
      </c>
      <c r="U6" s="3" t="s">
        <v>35</v>
      </c>
      <c r="V6" s="3" t="s">
        <v>36</v>
      </c>
      <c r="W6" s="3" t="s">
        <v>37</v>
      </c>
      <c r="X6" s="3" t="s">
        <v>38</v>
      </c>
      <c r="Y6" s="3" t="s">
        <v>39</v>
      </c>
      <c r="Z6" s="3" t="s">
        <v>40</v>
      </c>
      <c r="AA6" s="3" t="s">
        <v>41</v>
      </c>
      <c r="AB6" s="3" t="s">
        <v>42</v>
      </c>
      <c r="AC6" s="3" t="s">
        <v>43</v>
      </c>
      <c r="AD6" s="3" t="s">
        <v>44</v>
      </c>
      <c r="AE6" s="3" t="s">
        <v>45</v>
      </c>
      <c r="AF6" s="3" t="s">
        <v>46</v>
      </c>
      <c r="AG6" s="3" t="s">
        <v>47</v>
      </c>
      <c r="AH6" s="12" t="s">
        <v>49</v>
      </c>
    </row>
    <row r="7" spans="2:34" ht="30" customHeight="1" x14ac:dyDescent="0.25">
      <c r="B7" s="13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7">
        <f>COUNTA(พฤษภาคม[[#This Row],[1]:[31]])</f>
        <v>0</v>
      </c>
    </row>
    <row r="8" spans="2:34" ht="30" customHeight="1" x14ac:dyDescent="0.25">
      <c r="B8" s="13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7">
        <f>COUNTA(พฤษภาคม[[#This Row],[1]:[31]])</f>
        <v>0</v>
      </c>
    </row>
    <row r="9" spans="2:34" ht="30" customHeight="1" x14ac:dyDescent="0.25">
      <c r="B9" s="13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7">
        <f>COUNTA(พฤษภาคม[[#This Row],[1]:[31]])</f>
        <v>0</v>
      </c>
    </row>
    <row r="10" spans="2:34" ht="30" customHeight="1" x14ac:dyDescent="0.25">
      <c r="B10" s="13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7">
        <f>COUNTA(พฤษภาคม[[#This Row],[1]:[31]])</f>
        <v>0</v>
      </c>
    </row>
    <row r="11" spans="2:34" ht="30" customHeight="1" x14ac:dyDescent="0.25">
      <c r="B11" s="13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7">
        <f>COUNTA(พฤษภาคม[[#This Row],[1]:[31]])</f>
        <v>0</v>
      </c>
    </row>
    <row r="12" spans="2:34" ht="30" customHeight="1" x14ac:dyDescent="0.25">
      <c r="B12" s="17" t="str">
        <f>MonthName&amp;" ผลรวม"</f>
        <v>พฤษภาคม ผลรวม</v>
      </c>
      <c r="C12" s="26">
        <f>SUBTOTAL(103,พฤษภาคม[1])</f>
        <v>0</v>
      </c>
      <c r="D12" s="26">
        <f>SUBTOTAL(103,พฤษภาคม[2])</f>
        <v>0</v>
      </c>
      <c r="E12" s="26">
        <f>SUBTOTAL(103,พฤษภาคม[3])</f>
        <v>0</v>
      </c>
      <c r="F12" s="26">
        <f>SUBTOTAL(103,พฤษภาคม[4])</f>
        <v>0</v>
      </c>
      <c r="G12" s="26">
        <f>SUBTOTAL(103,พฤษภาคม[5])</f>
        <v>0</v>
      </c>
      <c r="H12" s="26">
        <f>SUBTOTAL(103,พฤษภาคม[6])</f>
        <v>0</v>
      </c>
      <c r="I12" s="26">
        <f>SUBTOTAL(103,พฤษภาคม[7])</f>
        <v>0</v>
      </c>
      <c r="J12" s="26">
        <f>SUBTOTAL(103,พฤษภาคม[8])</f>
        <v>0</v>
      </c>
      <c r="K12" s="26">
        <f>SUBTOTAL(103,พฤษภาคม[9])</f>
        <v>0</v>
      </c>
      <c r="L12" s="26">
        <f>SUBTOTAL(103,พฤษภาคม[10])</f>
        <v>0</v>
      </c>
      <c r="M12" s="26">
        <f>SUBTOTAL(103,พฤษภาคม[11])</f>
        <v>0</v>
      </c>
      <c r="N12" s="26">
        <f>SUBTOTAL(103,พฤษภาคม[12])</f>
        <v>0</v>
      </c>
      <c r="O12" s="26">
        <f>SUBTOTAL(103,พฤษภาคม[13])</f>
        <v>0</v>
      </c>
      <c r="P12" s="26">
        <f>SUBTOTAL(103,พฤษภาคม[14])</f>
        <v>0</v>
      </c>
      <c r="Q12" s="26">
        <f>SUBTOTAL(103,พฤษภาคม[15])</f>
        <v>0</v>
      </c>
      <c r="R12" s="26">
        <f>SUBTOTAL(103,พฤษภาคม[16])</f>
        <v>0</v>
      </c>
      <c r="S12" s="26">
        <f>SUBTOTAL(103,พฤษภาคม[17])</f>
        <v>0</v>
      </c>
      <c r="T12" s="26">
        <f>SUBTOTAL(103,พฤษภาคม[18])</f>
        <v>0</v>
      </c>
      <c r="U12" s="26">
        <f>SUBTOTAL(103,พฤษภาคม[19])</f>
        <v>0</v>
      </c>
      <c r="V12" s="26">
        <f>SUBTOTAL(103,พฤษภาคม[20])</f>
        <v>0</v>
      </c>
      <c r="W12" s="26">
        <f>SUBTOTAL(103,พฤษภาคม[21])</f>
        <v>0</v>
      </c>
      <c r="X12" s="26">
        <f>SUBTOTAL(103,พฤษภาคม[22])</f>
        <v>0</v>
      </c>
      <c r="Y12" s="26">
        <f>SUBTOTAL(103,พฤษภาคม[23])</f>
        <v>0</v>
      </c>
      <c r="Z12" s="26">
        <f>SUBTOTAL(103,พฤษภาคม[24])</f>
        <v>0</v>
      </c>
      <c r="AA12" s="26">
        <f>SUBTOTAL(103,พฤษภาคม[25])</f>
        <v>0</v>
      </c>
      <c r="AB12" s="26">
        <f>SUBTOTAL(103,พฤษภาคม[26])</f>
        <v>0</v>
      </c>
      <c r="AC12" s="26">
        <f>SUBTOTAL(103,พฤษภาคม[27])</f>
        <v>0</v>
      </c>
      <c r="AD12" s="26">
        <f>SUBTOTAL(103,พฤษภาคม[28])</f>
        <v>0</v>
      </c>
      <c r="AE12" s="26">
        <f>SUBTOTAL(103,พฤษภาคม[29])</f>
        <v>0</v>
      </c>
      <c r="AF12" s="26">
        <f>SUBTOTAL(103,พฤษภาคม[30])</f>
        <v>0</v>
      </c>
      <c r="AG12" s="26">
        <f>SUBTOTAL(103,พฤษภาคม[31])</f>
        <v>0</v>
      </c>
      <c r="AH12" s="26">
        <f>SUBTOTAL(109,พฤษภาคม[จำนวนวัน:])</f>
        <v>0</v>
      </c>
    </row>
  </sheetData>
  <mergeCells count="3">
    <mergeCell ref="C4:AG4"/>
    <mergeCell ref="D2:F2"/>
    <mergeCell ref="H2:I2"/>
  </mergeCells>
  <conditionalFormatting sqref="C7:AG11">
    <cfRule type="expression" priority="1" stopIfTrue="1">
      <formula>C7=""</formula>
    </cfRule>
  </conditionalFormatting>
  <conditionalFormatting sqref="C7:AG11">
    <cfRule type="expression" dxfId="624" priority="2" stopIfTrue="1">
      <formula>C7=KeyCustom2</formula>
    </cfRule>
    <cfRule type="expression" dxfId="623" priority="3" stopIfTrue="1">
      <formula>C7=KeyCustom1</formula>
    </cfRule>
    <cfRule type="expression" dxfId="622" priority="4" stopIfTrue="1">
      <formula>C7=KeySick</formula>
    </cfRule>
    <cfRule type="expression" dxfId="621" priority="5" stopIfTrue="1">
      <formula>C7=KeyPersonal</formula>
    </cfRule>
    <cfRule type="expression" dxfId="620" priority="6" stopIfTrue="1">
      <formula>C7=KeyVacation</formula>
    </cfRule>
  </conditionalFormatting>
  <conditionalFormatting sqref="AH7:AH11">
    <cfRule type="dataBar" priority="7">
      <dataBar>
        <cfvo type="min"/>
        <cfvo type="formula" val="DATEDIF(DATE(ปีปฏิทิน,2,1),DATE(ปีปฏิทิน,3,1),&quot;d&quot;)"/>
        <color theme="2" tint="-0.249977111117893"/>
      </dataBar>
      <extLst>
        <ext xmlns:x14="http://schemas.microsoft.com/office/spreadsheetml/2009/9/main" uri="{B025F937-C7B1-47D3-B67F-A62EFF666E3E}">
          <x14:id>{5670947F-8B3C-4A6C-A280-4F5E10811DCE}</x14:id>
        </ext>
      </extLst>
    </cfRule>
  </conditionalFormatting>
  <dataValidations count="14">
    <dataValidation allowBlank="1" showInputMessage="1" showErrorMessage="1" prompt="วันของเดือนในแถวนี้จะถูกสร้างโดยอัตโนมัติ ใส่การขาดงานของพนักงานและประเภทการขาดงานในแต่ละคอลัมน์ในแต่ละวันของเดือน ช่องว่างหมายถึงไม่ได้ขาดงาน" sqref="C6" xr:uid="{00000000-0002-0000-0400-000000000000}"/>
    <dataValidation allowBlank="1" showInputMessage="1" showErrorMessage="1" prompt="ชื่อเดือนสำหรับตารางการขาดงานนี้จะอยู่ในเซลล์นี้ จำนวนการขาดงานสำหรับเดือนนี้จะอยู่ในเซลล์สุดท้ายของตาราง เลือกชื่อพนักงานจากคอลัมน์ B ในตาราง" sqref="B4" xr:uid="{00000000-0002-0000-0400-000001000000}"/>
    <dataValidation allowBlank="1" showInputMessage="1" showErrorMessage="1" prompt="แถวนี้ระบุถึงคีย์ที่ใช้ในตาราง: เซลล์ C2 เป็นลาพักร้อน, G2 เป็นลากิจ และ K2 เป็นลาป่วย เซลล์ N2 และ R2 สามารถกำหนดเองได้" sqref="B2" xr:uid="{00000000-0002-0000-0400-000002000000}"/>
    <dataValidation allowBlank="1" showInputMessage="1" showErrorMessage="1" prompt="ใส่ป้ายชื่อเพื่ออธิบายปุ่มแบบกำหนดเองที่ด้านซ้าย" sqref="M2:O2 Q2:S2" xr:uid="{42DB8786-7A21-4F45-B284-1A4F2B26D33A}"/>
    <dataValidation allowBlank="1" showInputMessage="1" showErrorMessage="1" prompt="ใส่ตัวอักษรและกำหนดป้ายชื่อด้วยตนเองที่ด้านขวาเพื่อเพิ่มรายการคีย์อื่นๆ" sqref="L2 P2" xr:uid="{2578226B-924F-4218-8B96-ABAB689E7994}"/>
    <dataValidation allowBlank="1" showInputMessage="1" showErrorMessage="1" prompt="ตัวอักษร “S” ระบุถึงการขาดงานเนื่องจากลาป่วย" sqref="J2" xr:uid="{173D2102-C6F5-436F-B66D-AE5B1CADF862}"/>
    <dataValidation allowBlank="1" showInputMessage="1" showErrorMessage="1" prompt="ตัวอักษร “P” ระบุถึงการขาดงานเนื่องจากลากิจ" sqref="G2" xr:uid="{BF240673-905C-41F4-88F7-5C09BE6A633B}"/>
    <dataValidation allowBlank="1" showInputMessage="1" showErrorMessage="1" prompt="ตัวอักษร “V” ระบุถึงการขาดงานเนื่องจากลาพักร้อน" sqref="C2" xr:uid="{BF4ECFC3-76D6-476A-A4BF-F8CF616E3159}"/>
    <dataValidation allowBlank="1" showInputMessage="1" showErrorMessage="1" prompt="ชื่อเรื่องจะถูกอัปเดตโดยอัตโนมัติในเซลล์นี้ เมื่อต้องการปรับเปลี่ยนชื่อเรื่อง ให้อัปเดต B1 บนเวิร์กชีต มกราคม" sqref="B1" xr:uid="{00000000-0002-0000-0400-000008000000}"/>
    <dataValidation errorStyle="warning" allowBlank="1" showInputMessage="1" showErrorMessage="1" error="เลือกชื่อจากรายการ เลือกยกเลิก จากนั้นกด ALT+ลูกศรลง จากนั้นกด ENTER เพื่อเลือกชื่อ" prompt="ใส่ชื่อพนักงานในเวิร์กชีต ชื่อพนักงาน จากนั้นเลือกหนึ่งในชื่อเหล่านั้นจากรายการในคอลัมน์นี้ กด ALT+ลูกศรลง จากนั้นกด ENTER เพื่อเลือกชื่อ" sqref="B6" xr:uid="{00000000-0002-0000-0400-000009000000}"/>
    <dataValidation allowBlank="1" showInputMessage="1" showErrorMessage="1" prompt="ติดตามการขาดงานเดือนพฤษภาคมในเวิร์กชีตนี้" sqref="A1" xr:uid="{00000000-0002-0000-0400-00000A000000}"/>
    <dataValidation allowBlank="1" showInputMessage="1" showErrorMessage="1" prompt="คำนวณจำนวนวันทั้งหมดที่พนักงานขาดงานในเดือนนี้โดยอัตโนมัติในคอลัมน์นี้" sqref="AH6" xr:uid="{00000000-0002-0000-0400-00000B000000}"/>
    <dataValidation allowBlank="1" showInputMessage="1" showErrorMessage="1" prompt="ปีจะถูกอัปเดตโดยอัตโนมัติโดยอ้างอิงจากปีที่ใส่ในเวิร์กชีต มกราคม" sqref="AH4" xr:uid="{00000000-0002-0000-0400-00000C000000}"/>
    <dataValidation allowBlank="1" showInputMessage="1" showErrorMessage="1" prompt="วันในสัปดาห์ในแถวนี้จะถูกอัปเดตโดยอัตโนมัติในแต่ละเดือนโดยอ้างอิงจากปีใน AH4 แต่ละวันในแต่ละเดือนเป็นคอลัมน์เพื่อบันทึกการขาดงานของพนักงานและประเภทการขาดงาน" sqref="C5" xr:uid="{00000000-0002-0000-0400-00000D000000}"/>
  </dataValidations>
  <printOptions horizontalCentered="1"/>
  <pageMargins left="0.25" right="0.25" top="0.75" bottom="0.75" header="0.3" footer="0.3"/>
  <pageSetup paperSize="9" scale="68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670947F-8B3C-4A6C-A280-4F5E10811DCE}">
            <x14:dataBar minLength="0" maxLength="100">
              <x14:cfvo type="autoMin"/>
              <x14:cfvo type="formula">
                <xm:f>DATEDIF(DATE(ปีปฏิทิน,2,1),DATE(ปีปฏิทิน,3,1),"d")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E000000}">
          <x14:formula1>
            <xm:f>ชื่อพนักงาน!$B$4:$B$8</xm:f>
          </x14:formula1>
          <xm:sqref>B7:B11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625" style="8" customWidth="1"/>
    <col min="2" max="2" width="25.625" style="8" customWidth="1"/>
    <col min="3" max="33" width="4.625" style="8" customWidth="1"/>
    <col min="34" max="34" width="13.5" style="8" customWidth="1"/>
    <col min="35" max="35" width="2.625" customWidth="1"/>
  </cols>
  <sheetData>
    <row r="1" spans="2:34" ht="50.1" customHeight="1" x14ac:dyDescent="0.25">
      <c r="B1" s="10" t="str">
        <f>Employee_Absence_Title</f>
        <v>กำหนดการการขาดงานของพนักงาน</v>
      </c>
    </row>
    <row r="2" spans="2:34" ht="15" customHeight="1" x14ac:dyDescent="0.25">
      <c r="B2" s="15" t="s">
        <v>1</v>
      </c>
      <c r="C2" s="4" t="s">
        <v>9</v>
      </c>
      <c r="D2" s="29" t="s">
        <v>12</v>
      </c>
      <c r="E2" s="29"/>
      <c r="F2" s="29"/>
      <c r="G2" s="5" t="s">
        <v>15</v>
      </c>
      <c r="H2" s="29" t="s">
        <v>18</v>
      </c>
      <c r="I2" s="29"/>
      <c r="J2" s="20" t="s">
        <v>63</v>
      </c>
      <c r="K2" s="24" t="s">
        <v>23</v>
      </c>
      <c r="L2" s="21"/>
      <c r="M2" s="27" t="s">
        <v>27</v>
      </c>
      <c r="N2" s="27"/>
      <c r="O2" s="27"/>
      <c r="P2" s="22"/>
      <c r="Q2" s="27" t="s">
        <v>32</v>
      </c>
      <c r="R2" s="27"/>
      <c r="S2" s="27"/>
    </row>
    <row r="3" spans="2:34" ht="15" customHeight="1" x14ac:dyDescent="0.25">
      <c r="B3" s="10"/>
    </row>
    <row r="4" spans="2:34" ht="30" customHeight="1" x14ac:dyDescent="0.25">
      <c r="B4" s="9" t="s">
        <v>55</v>
      </c>
      <c r="C4" s="28" t="s">
        <v>10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9">
        <f>ปีปฏิทิน</f>
        <v>2019</v>
      </c>
    </row>
    <row r="5" spans="2:34" ht="15" customHeight="1" x14ac:dyDescent="0.25">
      <c r="B5" s="9"/>
      <c r="C5" s="2" t="str">
        <f>TEXT(WEEKDAY(DATE(ปีปฏิทิน,6,1),1),"aaa")</f>
        <v>ส.</v>
      </c>
      <c r="D5" s="2" t="str">
        <f>TEXT(WEEKDAY(DATE(ปีปฏิทิน,6,2),1),"aaa")</f>
        <v>อา.</v>
      </c>
      <c r="E5" s="2" t="str">
        <f>TEXT(WEEKDAY(DATE(ปีปฏิทิน,6,3),1),"aaa")</f>
        <v>จ.</v>
      </c>
      <c r="F5" s="2" t="str">
        <f>TEXT(WEEKDAY(DATE(ปีปฏิทิน,6,4),1),"aaa")</f>
        <v>อ.</v>
      </c>
      <c r="G5" s="2" t="str">
        <f>TEXT(WEEKDAY(DATE(ปีปฏิทิน,6,5),1),"aaa")</f>
        <v>พ.</v>
      </c>
      <c r="H5" s="2" t="str">
        <f>TEXT(WEEKDAY(DATE(ปีปฏิทิน,6,6),1),"aaa")</f>
        <v>พฤ.</v>
      </c>
      <c r="I5" s="2" t="str">
        <f>TEXT(WEEKDAY(DATE(ปีปฏิทิน,6,7),1),"aaa")</f>
        <v>ศ.</v>
      </c>
      <c r="J5" s="2" t="str">
        <f>TEXT(WEEKDAY(DATE(ปีปฏิทิน,6,8),1),"aaa")</f>
        <v>ส.</v>
      </c>
      <c r="K5" s="2" t="str">
        <f>TEXT(WEEKDAY(DATE(ปีปฏิทิน,6,9),1),"aaa")</f>
        <v>อา.</v>
      </c>
      <c r="L5" s="2" t="str">
        <f>TEXT(WEEKDAY(DATE(ปีปฏิทิน,6,10),1),"aaa")</f>
        <v>จ.</v>
      </c>
      <c r="M5" s="2" t="str">
        <f>TEXT(WEEKDAY(DATE(ปีปฏิทิน,6,11),1),"aaa")</f>
        <v>อ.</v>
      </c>
      <c r="N5" s="2" t="str">
        <f>TEXT(WEEKDAY(DATE(ปีปฏิทิน,6,12),1),"aaa")</f>
        <v>พ.</v>
      </c>
      <c r="O5" s="2" t="str">
        <f>TEXT(WEEKDAY(DATE(ปีปฏิทิน,6,13),1),"aaa")</f>
        <v>พฤ.</v>
      </c>
      <c r="P5" s="2" t="str">
        <f>TEXT(WEEKDAY(DATE(ปีปฏิทิน,6,14),1),"aaa")</f>
        <v>ศ.</v>
      </c>
      <c r="Q5" s="2" t="str">
        <f>TEXT(WEEKDAY(DATE(ปีปฏิทิน,6,15),1),"aaa")</f>
        <v>ส.</v>
      </c>
      <c r="R5" s="2" t="str">
        <f>TEXT(WEEKDAY(DATE(ปีปฏิทิน,6,16),1),"aaa")</f>
        <v>อา.</v>
      </c>
      <c r="S5" s="2" t="str">
        <f>TEXT(WEEKDAY(DATE(ปีปฏิทิน,6,17),1),"aaa")</f>
        <v>จ.</v>
      </c>
      <c r="T5" s="2" t="str">
        <f>TEXT(WEEKDAY(DATE(ปีปฏิทิน,6,18),1),"aaa")</f>
        <v>อ.</v>
      </c>
      <c r="U5" s="2" t="str">
        <f>TEXT(WEEKDAY(DATE(ปีปฏิทิน,6,19),1),"aaa")</f>
        <v>พ.</v>
      </c>
      <c r="V5" s="2" t="str">
        <f>TEXT(WEEKDAY(DATE(ปีปฏิทิน,6,20),1),"aaa")</f>
        <v>พฤ.</v>
      </c>
      <c r="W5" s="2" t="str">
        <f>TEXT(WEEKDAY(DATE(ปีปฏิทิน,6,21),1),"aaa")</f>
        <v>ศ.</v>
      </c>
      <c r="X5" s="2" t="str">
        <f>TEXT(WEEKDAY(DATE(ปีปฏิทิน,6,22),1),"aaa")</f>
        <v>ส.</v>
      </c>
      <c r="Y5" s="2" t="str">
        <f>TEXT(WEEKDAY(DATE(ปีปฏิทิน,6,23),1),"aaa")</f>
        <v>อา.</v>
      </c>
      <c r="Z5" s="2" t="str">
        <f>TEXT(WEEKDAY(DATE(ปีปฏิทิน,6,24),1),"aaa")</f>
        <v>จ.</v>
      </c>
      <c r="AA5" s="2" t="str">
        <f>TEXT(WEEKDAY(DATE(ปีปฏิทิน,6,25),1),"aaa")</f>
        <v>อ.</v>
      </c>
      <c r="AB5" s="2" t="str">
        <f>TEXT(WEEKDAY(DATE(ปีปฏิทิน,6,26),1),"aaa")</f>
        <v>พ.</v>
      </c>
      <c r="AC5" s="2" t="str">
        <f>TEXT(WEEKDAY(DATE(ปีปฏิทิน,6,27),1),"aaa")</f>
        <v>พฤ.</v>
      </c>
      <c r="AD5" s="2" t="str">
        <f>TEXT(WEEKDAY(DATE(ปีปฏิทิน,6,28),1),"aaa")</f>
        <v>ศ.</v>
      </c>
      <c r="AE5" s="2" t="str">
        <f>TEXT(WEEKDAY(DATE(ปีปฏิทิน,6,29),1),"aaa")</f>
        <v>ส.</v>
      </c>
      <c r="AF5" s="2" t="str">
        <f>TEXT(WEEKDAY(DATE(ปีปฏิทิน,6,30),1),"aaa")</f>
        <v>อา.</v>
      </c>
      <c r="AG5" s="2"/>
      <c r="AH5" s="9"/>
    </row>
    <row r="6" spans="2:34" ht="15" customHeight="1" x14ac:dyDescent="0.25">
      <c r="B6" s="11" t="s">
        <v>3</v>
      </c>
      <c r="C6" s="3" t="s">
        <v>11</v>
      </c>
      <c r="D6" s="3" t="s">
        <v>13</v>
      </c>
      <c r="E6" s="3" t="s">
        <v>14</v>
      </c>
      <c r="F6" s="3" t="s">
        <v>16</v>
      </c>
      <c r="G6" s="3" t="s">
        <v>17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24</v>
      </c>
      <c r="M6" s="3" t="s">
        <v>25</v>
      </c>
      <c r="N6" s="3" t="s">
        <v>26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33</v>
      </c>
      <c r="T6" s="3" t="s">
        <v>34</v>
      </c>
      <c r="U6" s="3" t="s">
        <v>35</v>
      </c>
      <c r="V6" s="3" t="s">
        <v>36</v>
      </c>
      <c r="W6" s="3" t="s">
        <v>37</v>
      </c>
      <c r="X6" s="3" t="s">
        <v>38</v>
      </c>
      <c r="Y6" s="3" t="s">
        <v>39</v>
      </c>
      <c r="Z6" s="3" t="s">
        <v>40</v>
      </c>
      <c r="AA6" s="3" t="s">
        <v>41</v>
      </c>
      <c r="AB6" s="3" t="s">
        <v>42</v>
      </c>
      <c r="AC6" s="3" t="s">
        <v>43</v>
      </c>
      <c r="AD6" s="3" t="s">
        <v>44</v>
      </c>
      <c r="AE6" s="3" t="s">
        <v>45</v>
      </c>
      <c r="AF6" s="3" t="s">
        <v>46</v>
      </c>
      <c r="AG6" s="3" t="s">
        <v>51</v>
      </c>
      <c r="AH6" s="12" t="s">
        <v>49</v>
      </c>
    </row>
    <row r="7" spans="2:34" ht="30" customHeight="1" x14ac:dyDescent="0.25">
      <c r="B7" s="13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7">
        <f>COUNTA(มิถุนายน[[#This Row],[1]:[30]])</f>
        <v>0</v>
      </c>
    </row>
    <row r="8" spans="2:34" ht="30" customHeight="1" x14ac:dyDescent="0.25">
      <c r="B8" s="13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7">
        <f>COUNTA(มิถุนายน[[#This Row],[1]:[30]])</f>
        <v>0</v>
      </c>
    </row>
    <row r="9" spans="2:34" ht="30" customHeight="1" x14ac:dyDescent="0.25">
      <c r="B9" s="13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7">
        <f>COUNTA(มิถุนายน[[#This Row],[1]:[30]])</f>
        <v>0</v>
      </c>
    </row>
    <row r="10" spans="2:34" ht="30" customHeight="1" x14ac:dyDescent="0.25">
      <c r="B10" s="13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7">
        <f>COUNTA(มิถุนายน[[#This Row],[1]:[30]])</f>
        <v>0</v>
      </c>
    </row>
    <row r="11" spans="2:34" ht="30" customHeight="1" x14ac:dyDescent="0.25">
      <c r="B11" s="13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7">
        <f>COUNTA(มิถุนายน[[#This Row],[1]:[30]])</f>
        <v>0</v>
      </c>
    </row>
    <row r="12" spans="2:34" ht="30" customHeight="1" x14ac:dyDescent="0.25">
      <c r="B12" s="17" t="str">
        <f>MonthName&amp;" ผลรวม"</f>
        <v>มิถุนายน ผลรวม</v>
      </c>
      <c r="C12" s="26">
        <f>SUBTOTAL(103,มิถุนายน[1])</f>
        <v>0</v>
      </c>
      <c r="D12" s="26">
        <f>SUBTOTAL(103,มิถุนายน[2])</f>
        <v>0</v>
      </c>
      <c r="E12" s="26">
        <f>SUBTOTAL(103,มิถุนายน[3])</f>
        <v>0</v>
      </c>
      <c r="F12" s="26">
        <f>SUBTOTAL(103,มิถุนายน[4])</f>
        <v>0</v>
      </c>
      <c r="G12" s="26">
        <f>SUBTOTAL(103,มิถุนายน[5])</f>
        <v>0</v>
      </c>
      <c r="H12" s="26">
        <f>SUBTOTAL(103,มิถุนายน[6])</f>
        <v>0</v>
      </c>
      <c r="I12" s="26">
        <f>SUBTOTAL(103,มิถุนายน[7])</f>
        <v>0</v>
      </c>
      <c r="J12" s="26">
        <f>SUBTOTAL(103,มิถุนายน[8])</f>
        <v>0</v>
      </c>
      <c r="K12" s="26">
        <f>SUBTOTAL(103,มิถุนายน[9])</f>
        <v>0</v>
      </c>
      <c r="L12" s="26">
        <f>SUBTOTAL(103,มิถุนายน[10])</f>
        <v>0</v>
      </c>
      <c r="M12" s="26">
        <f>SUBTOTAL(103,มิถุนายน[11])</f>
        <v>0</v>
      </c>
      <c r="N12" s="26">
        <f>SUBTOTAL(103,มิถุนายน[12])</f>
        <v>0</v>
      </c>
      <c r="O12" s="26">
        <f>SUBTOTAL(103,มิถุนายน[13])</f>
        <v>0</v>
      </c>
      <c r="P12" s="26">
        <f>SUBTOTAL(103,มิถุนายน[14])</f>
        <v>0</v>
      </c>
      <c r="Q12" s="26">
        <f>SUBTOTAL(103,มิถุนายน[15])</f>
        <v>0</v>
      </c>
      <c r="R12" s="26">
        <f>SUBTOTAL(103,มิถุนายน[16])</f>
        <v>0</v>
      </c>
      <c r="S12" s="26">
        <f>SUBTOTAL(103,มิถุนายน[17])</f>
        <v>0</v>
      </c>
      <c r="T12" s="26">
        <f>SUBTOTAL(103,มิถุนายน[18])</f>
        <v>0</v>
      </c>
      <c r="U12" s="26">
        <f>SUBTOTAL(103,มิถุนายน[19])</f>
        <v>0</v>
      </c>
      <c r="V12" s="26">
        <f>SUBTOTAL(103,มิถุนายน[20])</f>
        <v>0</v>
      </c>
      <c r="W12" s="26">
        <f>SUBTOTAL(103,มิถุนายน[21])</f>
        <v>0</v>
      </c>
      <c r="X12" s="26">
        <f>SUBTOTAL(103,มิถุนายน[22])</f>
        <v>0</v>
      </c>
      <c r="Y12" s="26">
        <f>SUBTOTAL(103,มิถุนายน[23])</f>
        <v>0</v>
      </c>
      <c r="Z12" s="26">
        <f>SUBTOTAL(103,มิถุนายน[24])</f>
        <v>0</v>
      </c>
      <c r="AA12" s="26">
        <f>SUBTOTAL(103,มิถุนายน[25])</f>
        <v>0</v>
      </c>
      <c r="AB12" s="26">
        <f>SUBTOTAL(103,มิถุนายน[26])</f>
        <v>0</v>
      </c>
      <c r="AC12" s="26">
        <f>SUBTOTAL(103,มิถุนายน[27])</f>
        <v>0</v>
      </c>
      <c r="AD12" s="26">
        <f>SUBTOTAL(103,มิถุนายน[28])</f>
        <v>0</v>
      </c>
      <c r="AE12" s="26">
        <f>SUBTOTAL(103,มิถุนายน[29])</f>
        <v>0</v>
      </c>
      <c r="AF12" s="26">
        <f>SUBTOTAL(103,มิถุนายน[30])</f>
        <v>0</v>
      </c>
      <c r="AG12" s="26">
        <f>SUBTOTAL(103,มิถุนายน[[ ]])</f>
        <v>0</v>
      </c>
      <c r="AH12" s="26">
        <f>SUBTOTAL(109,มิถุนายน[จำนวนวัน:])</f>
        <v>0</v>
      </c>
    </row>
  </sheetData>
  <mergeCells count="3">
    <mergeCell ref="C4:AG4"/>
    <mergeCell ref="D2:F2"/>
    <mergeCell ref="H2:I2"/>
  </mergeCells>
  <conditionalFormatting sqref="C7:AG11">
    <cfRule type="expression" priority="1" stopIfTrue="1">
      <formula>C7=""</formula>
    </cfRule>
  </conditionalFormatting>
  <conditionalFormatting sqref="C7:AG11">
    <cfRule type="expression" dxfId="550" priority="2" stopIfTrue="1">
      <formula>C7=KeyCustom2</formula>
    </cfRule>
    <cfRule type="expression" dxfId="549" priority="3" stopIfTrue="1">
      <formula>C7=KeyCustom1</formula>
    </cfRule>
    <cfRule type="expression" dxfId="548" priority="4" stopIfTrue="1">
      <formula>C7=KeySick</formula>
    </cfRule>
    <cfRule type="expression" dxfId="547" priority="5" stopIfTrue="1">
      <formula>C7=KeyPersonal</formula>
    </cfRule>
    <cfRule type="expression" dxfId="546" priority="6" stopIfTrue="1">
      <formula>C7=KeyVacation</formula>
    </cfRule>
  </conditionalFormatting>
  <conditionalFormatting sqref="AH7:AH11">
    <cfRule type="dataBar" priority="7">
      <dataBar>
        <cfvo type="min"/>
        <cfvo type="formula" val="DATEDIF(DATE(ปีปฏิทิน,2,1),DATE(ปีปฏิทิน,3,1),&quot;d&quot;)"/>
        <color theme="2" tint="-0.249977111117893"/>
      </dataBar>
      <extLst>
        <ext xmlns:x14="http://schemas.microsoft.com/office/spreadsheetml/2009/9/main" uri="{B025F937-C7B1-47D3-B67F-A62EFF666E3E}">
          <x14:id>{5E94D469-7B22-408B-924D-8DC8A136AD3B}</x14:id>
        </ext>
      </extLst>
    </cfRule>
  </conditionalFormatting>
  <dataValidations count="14">
    <dataValidation allowBlank="1" showInputMessage="1" showErrorMessage="1" prompt="วันในสัปดาห์ในแถวนี้จะถูกอัปเดตโดยอัตโนมัติในแต่ละเดือนโดยอ้างอิงจากปีใน AH4 แต่ละวันในแต่ละเดือนเป็นคอลัมน์เพื่อบันทึกการขาดงานของพนักงานและประเภทการขาดงาน" sqref="C5" xr:uid="{00000000-0002-0000-0500-000000000000}"/>
    <dataValidation allowBlank="1" showInputMessage="1" showErrorMessage="1" prompt="ปีจะถูกอัปเดตโดยอัตโนมัติโดยอ้างอิงจากปีที่ใส่ในเวิร์กชีต มกราคม" sqref="AH4" xr:uid="{00000000-0002-0000-0500-000001000000}"/>
    <dataValidation allowBlank="1" showInputMessage="1" showErrorMessage="1" prompt="คำนวณจำนวนวันทั้งหมดที่พนักงานขาดงานในเดือนนี้โดยอัตโนมัติในคอลัมน์นี้" sqref="AH6" xr:uid="{00000000-0002-0000-0500-000002000000}"/>
    <dataValidation allowBlank="1" showInputMessage="1" showErrorMessage="1" prompt="ติดตามการขาดงานเดือนมิถุนายนในเวิร์กชีตนี้" sqref="A1" xr:uid="{00000000-0002-0000-0500-000003000000}"/>
    <dataValidation errorStyle="warning" allowBlank="1" showInputMessage="1" showErrorMessage="1" error="เลือกชื่อจากรายการ เลือกยกเลิก จากนั้นกด ALT+ลูกศรลง จากนั้นกด ENTER เพื่อเลือกชื่อ" prompt="ใส่ชื่อพนักงานในเวิร์กชีต ชื่อพนักงาน จากนั้นเลือกหนึ่งในชื่อเหล่านั้นจากรายการในคอลัมน์นี้ กด ALT+ลูกศรลง จากนั้นกด ENTER เพื่อเลือกชื่อ" sqref="B6" xr:uid="{00000000-0002-0000-0500-000004000000}"/>
    <dataValidation allowBlank="1" showInputMessage="1" showErrorMessage="1" prompt="ชื่อเรื่องจะถูกอัปเดตโดยอัตโนมัติในเซลล์นี้ เมื่อต้องการปรับเปลี่ยนชื่อเรื่อง ให้อัปเดต B1 บนเวิร์กชีต มกราคม" sqref="B1" xr:uid="{00000000-0002-0000-0500-000005000000}"/>
    <dataValidation allowBlank="1" showInputMessage="1" showErrorMessage="1" prompt="ตัวอักษร “V” ระบุถึงการขาดงานเนื่องจากลาพักร้อน" sqref="C2" xr:uid="{52CC6BB7-BEDE-4A40-80CB-BF7D5251761B}"/>
    <dataValidation allowBlank="1" showInputMessage="1" showErrorMessage="1" prompt="ตัวอักษร “P” ระบุถึงการขาดงานเนื่องจากลากิจ" sqref="G2" xr:uid="{2BBC090F-043A-4EA8-8CB0-05FB9D0D39A2}"/>
    <dataValidation allowBlank="1" showInputMessage="1" showErrorMessage="1" prompt="ตัวอักษร “S” ระบุถึงการขาดงานเนื่องจากลาป่วย" sqref="J2" xr:uid="{813AA0E3-EA12-4C18-8045-364F8952EAB0}"/>
    <dataValidation allowBlank="1" showInputMessage="1" showErrorMessage="1" prompt="ใส่ตัวอักษรและกำหนดป้ายชื่อด้วยตนเองที่ด้านขวาเพื่อเพิ่มรายการคีย์อื่นๆ" sqref="L2 P2" xr:uid="{1B587FD4-5077-41B8-A7A9-4CEF7DEB96F1}"/>
    <dataValidation allowBlank="1" showInputMessage="1" showErrorMessage="1" prompt="ใส่ป้ายชื่อเพื่ออธิบายปุ่มแบบกำหนดเองที่ด้านซ้าย" sqref="M2:O2 Q2:S2" xr:uid="{E3E7E7D6-2D83-47CC-A3B4-70D39988970C}"/>
    <dataValidation allowBlank="1" showInputMessage="1" showErrorMessage="1" prompt="แถวนี้ระบุถึงคีย์ที่ใช้ในตาราง: เซลล์ C2 เป็นลาพักร้อน, G2 เป็นลากิจ และ K2 เป็นลาป่วย เซลล์ N2 และ R2 สามารถกำหนดเองได้" sqref="B2" xr:uid="{00000000-0002-0000-0500-00000B000000}"/>
    <dataValidation allowBlank="1" showInputMessage="1" showErrorMessage="1" prompt="ชื่อเดือนสำหรับตารางการขาดงานนี้จะอยู่ในเซลล์นี้ จำนวนการขาดงานสำหรับเดือนนี้จะอยู่ในเซลล์สุดท้ายของตาราง เลือกชื่อพนักงานจากคอลัมน์ B ในตาราง" sqref="B4" xr:uid="{00000000-0002-0000-0500-00000C000000}"/>
    <dataValidation allowBlank="1" showInputMessage="1" showErrorMessage="1" prompt="วันของเดือนในแถวนี้จะถูกสร้างโดยอัตโนมัติ ใส่การขาดงานของพนักงานและประเภทการขาดงานในแต่ละคอลัมน์ในแต่ละวันของเดือน ช่องว่างหมายถึงไม่ได้ขาดงาน" sqref="C6" xr:uid="{00000000-0002-0000-0500-00000D000000}"/>
  </dataValidations>
  <printOptions horizontalCentered="1"/>
  <pageMargins left="0.25" right="0.25" top="0.75" bottom="0.75" header="0.3" footer="0.3"/>
  <pageSetup paperSize="9" scale="68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E94D469-7B22-408B-924D-8DC8A136AD3B}">
            <x14:dataBar minLength="0" maxLength="100">
              <x14:cfvo type="autoMin"/>
              <x14:cfvo type="formula">
                <xm:f>DATEDIF(DATE(ปีปฏิทิน,2,1),DATE(ปีปฏิทิน,3,1),"d")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E000000}">
          <x14:formula1>
            <xm:f>ชื่อพนักงาน!$B$4:$B$8</xm:f>
          </x14:formula1>
          <xm:sqref>B7:B11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625" style="8" customWidth="1"/>
    <col min="2" max="2" width="25.625" style="8" customWidth="1"/>
    <col min="3" max="33" width="4.625" style="8" customWidth="1"/>
    <col min="34" max="34" width="13.5" style="8" customWidth="1"/>
    <col min="35" max="35" width="2.625" customWidth="1"/>
  </cols>
  <sheetData>
    <row r="1" spans="2:34" ht="50.1" customHeight="1" x14ac:dyDescent="0.25">
      <c r="B1" s="10" t="str">
        <f>Employee_Absence_Title</f>
        <v>กำหนดการการขาดงานของพนักงาน</v>
      </c>
    </row>
    <row r="2" spans="2:34" ht="15" customHeight="1" x14ac:dyDescent="0.25">
      <c r="B2" s="15" t="s">
        <v>1</v>
      </c>
      <c r="C2" s="4" t="s">
        <v>9</v>
      </c>
      <c r="D2" s="29" t="s">
        <v>12</v>
      </c>
      <c r="E2" s="29"/>
      <c r="F2" s="29"/>
      <c r="G2" s="5" t="s">
        <v>15</v>
      </c>
      <c r="H2" s="29" t="s">
        <v>18</v>
      </c>
      <c r="I2" s="29"/>
      <c r="J2" s="20" t="s">
        <v>63</v>
      </c>
      <c r="K2" s="24" t="s">
        <v>23</v>
      </c>
      <c r="L2" s="21"/>
      <c r="M2" s="27" t="s">
        <v>27</v>
      </c>
      <c r="N2" s="27"/>
      <c r="O2" s="27"/>
      <c r="P2" s="22"/>
      <c r="Q2" s="27" t="s">
        <v>32</v>
      </c>
      <c r="R2" s="27"/>
      <c r="S2" s="27"/>
    </row>
    <row r="3" spans="2:34" ht="15" customHeight="1" x14ac:dyDescent="0.25">
      <c r="B3" s="10"/>
    </row>
    <row r="4" spans="2:34" ht="30" customHeight="1" x14ac:dyDescent="0.25">
      <c r="B4" s="9" t="s">
        <v>56</v>
      </c>
      <c r="C4" s="28" t="s">
        <v>10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9">
        <f>ปีปฏิทิน</f>
        <v>2019</v>
      </c>
    </row>
    <row r="5" spans="2:34" ht="15" customHeight="1" x14ac:dyDescent="0.25">
      <c r="B5" s="9"/>
      <c r="C5" s="2" t="str">
        <f>TEXT(WEEKDAY(DATE(ปีปฏิทิน,7,1),1),"aaa")</f>
        <v>จ.</v>
      </c>
      <c r="D5" s="2" t="str">
        <f>TEXT(WEEKDAY(DATE(ปีปฏิทิน,7,2),1),"aaa")</f>
        <v>อ.</v>
      </c>
      <c r="E5" s="2" t="str">
        <f>TEXT(WEEKDAY(DATE(ปีปฏิทิน,7,3),1),"aaa")</f>
        <v>พ.</v>
      </c>
      <c r="F5" s="2" t="str">
        <f>TEXT(WEEKDAY(DATE(ปีปฏิทิน,7,4),1),"aaa")</f>
        <v>พฤ.</v>
      </c>
      <c r="G5" s="2" t="str">
        <f>TEXT(WEEKDAY(DATE(ปีปฏิทิน,7,5),1),"aaa")</f>
        <v>ศ.</v>
      </c>
      <c r="H5" s="2" t="str">
        <f>TEXT(WEEKDAY(DATE(ปีปฏิทิน,7,6),1),"aaa")</f>
        <v>ส.</v>
      </c>
      <c r="I5" s="2" t="str">
        <f>TEXT(WEEKDAY(DATE(ปีปฏิทิน,7,7),1),"aaa")</f>
        <v>อา.</v>
      </c>
      <c r="J5" s="2" t="str">
        <f>TEXT(WEEKDAY(DATE(ปีปฏิทิน,7,8),1),"aaa")</f>
        <v>จ.</v>
      </c>
      <c r="K5" s="2" t="str">
        <f>TEXT(WEEKDAY(DATE(ปีปฏิทิน,7,9),1),"aaa")</f>
        <v>อ.</v>
      </c>
      <c r="L5" s="2" t="str">
        <f>TEXT(WEEKDAY(DATE(ปีปฏิทิน,7,10),1),"aaa")</f>
        <v>พ.</v>
      </c>
      <c r="M5" s="2" t="str">
        <f>TEXT(WEEKDAY(DATE(ปีปฏิทิน,7,11),1),"aaa")</f>
        <v>พฤ.</v>
      </c>
      <c r="N5" s="2" t="str">
        <f>TEXT(WEEKDAY(DATE(ปีปฏิทิน,7,12),1),"aaa")</f>
        <v>ศ.</v>
      </c>
      <c r="O5" s="2" t="str">
        <f>TEXT(WEEKDAY(DATE(ปีปฏิทิน,7,13),1),"aaa")</f>
        <v>ส.</v>
      </c>
      <c r="P5" s="2" t="str">
        <f>TEXT(WEEKDAY(DATE(ปีปฏิทิน,7,14),1),"aaa")</f>
        <v>อา.</v>
      </c>
      <c r="Q5" s="2" t="str">
        <f>TEXT(WEEKDAY(DATE(ปีปฏิทิน,7,15),1),"aaa")</f>
        <v>จ.</v>
      </c>
      <c r="R5" s="2" t="str">
        <f>TEXT(WEEKDAY(DATE(ปีปฏิทิน,7,16),1),"aaa")</f>
        <v>อ.</v>
      </c>
      <c r="S5" s="2" t="str">
        <f>TEXT(WEEKDAY(DATE(ปีปฏิทิน,7,17),1),"aaa")</f>
        <v>พ.</v>
      </c>
      <c r="T5" s="2" t="str">
        <f>TEXT(WEEKDAY(DATE(ปีปฏิทิน,7,18),1),"aaa")</f>
        <v>พฤ.</v>
      </c>
      <c r="U5" s="2" t="str">
        <f>TEXT(WEEKDAY(DATE(ปีปฏิทิน,7,19),1),"aaa")</f>
        <v>ศ.</v>
      </c>
      <c r="V5" s="2" t="str">
        <f>TEXT(WEEKDAY(DATE(ปีปฏิทิน,7,20),1),"aaa")</f>
        <v>ส.</v>
      </c>
      <c r="W5" s="2" t="str">
        <f>TEXT(WEEKDAY(DATE(ปีปฏิทิน,7,21),1),"aaa")</f>
        <v>อา.</v>
      </c>
      <c r="X5" s="2" t="str">
        <f>TEXT(WEEKDAY(DATE(ปีปฏิทิน,7,22),1),"aaa")</f>
        <v>จ.</v>
      </c>
      <c r="Y5" s="2" t="str">
        <f>TEXT(WEEKDAY(DATE(ปีปฏิทิน,7,23),1),"aaa")</f>
        <v>อ.</v>
      </c>
      <c r="Z5" s="2" t="str">
        <f>TEXT(WEEKDAY(DATE(ปีปฏิทิน,7,24),1),"aaa")</f>
        <v>พ.</v>
      </c>
      <c r="AA5" s="2" t="str">
        <f>TEXT(WEEKDAY(DATE(ปีปฏิทิน,7,25),1),"aaa")</f>
        <v>พฤ.</v>
      </c>
      <c r="AB5" s="2" t="str">
        <f>TEXT(WEEKDAY(DATE(ปีปฏิทิน,7,26),1),"aaa")</f>
        <v>ศ.</v>
      </c>
      <c r="AC5" s="2" t="str">
        <f>TEXT(WEEKDAY(DATE(ปีปฏิทิน,7,27),1),"aaa")</f>
        <v>ส.</v>
      </c>
      <c r="AD5" s="2" t="str">
        <f>TEXT(WEEKDAY(DATE(ปีปฏิทิน,7,28),1),"aaa")</f>
        <v>อา.</v>
      </c>
      <c r="AE5" s="2" t="str">
        <f>TEXT(WEEKDAY(DATE(ปีปฏิทิน,7,29),1),"aaa")</f>
        <v>จ.</v>
      </c>
      <c r="AF5" s="2" t="str">
        <f>TEXT(WEEKDAY(DATE(ปีปฏิทิน,7,30),1),"aaa")</f>
        <v>อ.</v>
      </c>
      <c r="AG5" s="2" t="str">
        <f>TEXT(WEEKDAY(DATE(ปีปฏิทิน,7,31),1),"aaa")</f>
        <v>พ.</v>
      </c>
      <c r="AH5" s="9"/>
    </row>
    <row r="6" spans="2:34" ht="15" customHeight="1" x14ac:dyDescent="0.25">
      <c r="B6" s="11" t="s">
        <v>3</v>
      </c>
      <c r="C6" s="3" t="s">
        <v>11</v>
      </c>
      <c r="D6" s="3" t="s">
        <v>13</v>
      </c>
      <c r="E6" s="3" t="s">
        <v>14</v>
      </c>
      <c r="F6" s="3" t="s">
        <v>16</v>
      </c>
      <c r="G6" s="3" t="s">
        <v>17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24</v>
      </c>
      <c r="M6" s="3" t="s">
        <v>25</v>
      </c>
      <c r="N6" s="3" t="s">
        <v>26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33</v>
      </c>
      <c r="T6" s="3" t="s">
        <v>34</v>
      </c>
      <c r="U6" s="3" t="s">
        <v>35</v>
      </c>
      <c r="V6" s="3" t="s">
        <v>36</v>
      </c>
      <c r="W6" s="3" t="s">
        <v>37</v>
      </c>
      <c r="X6" s="3" t="s">
        <v>38</v>
      </c>
      <c r="Y6" s="3" t="s">
        <v>39</v>
      </c>
      <c r="Z6" s="3" t="s">
        <v>40</v>
      </c>
      <c r="AA6" s="3" t="s">
        <v>41</v>
      </c>
      <c r="AB6" s="3" t="s">
        <v>42</v>
      </c>
      <c r="AC6" s="3" t="s">
        <v>43</v>
      </c>
      <c r="AD6" s="3" t="s">
        <v>44</v>
      </c>
      <c r="AE6" s="3" t="s">
        <v>45</v>
      </c>
      <c r="AF6" s="3" t="s">
        <v>46</v>
      </c>
      <c r="AG6" s="3" t="s">
        <v>47</v>
      </c>
      <c r="AH6" s="12" t="s">
        <v>49</v>
      </c>
    </row>
    <row r="7" spans="2:34" ht="30" customHeight="1" x14ac:dyDescent="0.25">
      <c r="B7" s="13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7">
        <f>COUNTA(กรกฎาคม[[#This Row],[1]:[31]])</f>
        <v>0</v>
      </c>
    </row>
    <row r="8" spans="2:34" ht="30" customHeight="1" x14ac:dyDescent="0.25">
      <c r="B8" s="13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7">
        <f>COUNTA(กรกฎาคม[[#This Row],[1]:[31]])</f>
        <v>0</v>
      </c>
    </row>
    <row r="9" spans="2:34" ht="30" customHeight="1" x14ac:dyDescent="0.25">
      <c r="B9" s="13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7">
        <f>COUNTA(กรกฎาคม[[#This Row],[1]:[31]])</f>
        <v>0</v>
      </c>
    </row>
    <row r="10" spans="2:34" ht="30" customHeight="1" x14ac:dyDescent="0.25">
      <c r="B10" s="13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7">
        <f>COUNTA(กรกฎาคม[[#This Row],[1]:[31]])</f>
        <v>0</v>
      </c>
    </row>
    <row r="11" spans="2:34" ht="30" customHeight="1" x14ac:dyDescent="0.25">
      <c r="B11" s="13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7">
        <f>COUNTA(กรกฎาคม[[#This Row],[1]:[31]])</f>
        <v>0</v>
      </c>
    </row>
    <row r="12" spans="2:34" ht="30" customHeight="1" x14ac:dyDescent="0.25">
      <c r="B12" s="17" t="str">
        <f>MonthName&amp;" ผลรวม"</f>
        <v>กรกฎาคม ผลรวม</v>
      </c>
      <c r="C12" s="26">
        <f>SUBTOTAL(103,กรกฎาคม[1])</f>
        <v>0</v>
      </c>
      <c r="D12" s="26">
        <f>SUBTOTAL(103,กรกฎาคม[2])</f>
        <v>0</v>
      </c>
      <c r="E12" s="26">
        <f>SUBTOTAL(103,กรกฎาคม[3])</f>
        <v>0</v>
      </c>
      <c r="F12" s="26">
        <f>SUBTOTAL(103,กรกฎาคม[4])</f>
        <v>0</v>
      </c>
      <c r="G12" s="26">
        <f>SUBTOTAL(103,กรกฎาคม[5])</f>
        <v>0</v>
      </c>
      <c r="H12" s="26">
        <f>SUBTOTAL(103,กรกฎาคม[6])</f>
        <v>0</v>
      </c>
      <c r="I12" s="26">
        <f>SUBTOTAL(103,กรกฎาคม[7])</f>
        <v>0</v>
      </c>
      <c r="J12" s="26">
        <f>SUBTOTAL(103,กรกฎาคม[8])</f>
        <v>0</v>
      </c>
      <c r="K12" s="26">
        <f>SUBTOTAL(103,กรกฎาคม[9])</f>
        <v>0</v>
      </c>
      <c r="L12" s="26">
        <f>SUBTOTAL(103,กรกฎาคม[10])</f>
        <v>0</v>
      </c>
      <c r="M12" s="26">
        <f>SUBTOTAL(103,กรกฎาคม[11])</f>
        <v>0</v>
      </c>
      <c r="N12" s="26">
        <f>SUBTOTAL(103,กรกฎาคม[12])</f>
        <v>0</v>
      </c>
      <c r="O12" s="26">
        <f>SUBTOTAL(103,กรกฎาคม[13])</f>
        <v>0</v>
      </c>
      <c r="P12" s="26">
        <f>SUBTOTAL(103,กรกฎาคม[14])</f>
        <v>0</v>
      </c>
      <c r="Q12" s="26">
        <f>SUBTOTAL(103,กรกฎาคม[15])</f>
        <v>0</v>
      </c>
      <c r="R12" s="26">
        <f>SUBTOTAL(103,กรกฎาคม[16])</f>
        <v>0</v>
      </c>
      <c r="S12" s="26">
        <f>SUBTOTAL(103,กรกฎาคม[17])</f>
        <v>0</v>
      </c>
      <c r="T12" s="26">
        <f>SUBTOTAL(103,กรกฎาคม[18])</f>
        <v>0</v>
      </c>
      <c r="U12" s="26">
        <f>SUBTOTAL(103,กรกฎาคม[19])</f>
        <v>0</v>
      </c>
      <c r="V12" s="26">
        <f>SUBTOTAL(103,กรกฎาคม[20])</f>
        <v>0</v>
      </c>
      <c r="W12" s="26">
        <f>SUBTOTAL(103,กรกฎาคม[21])</f>
        <v>0</v>
      </c>
      <c r="X12" s="26">
        <f>SUBTOTAL(103,กรกฎาคม[22])</f>
        <v>0</v>
      </c>
      <c r="Y12" s="26">
        <f>SUBTOTAL(103,กรกฎาคม[23])</f>
        <v>0</v>
      </c>
      <c r="Z12" s="26">
        <f>SUBTOTAL(103,กรกฎาคม[24])</f>
        <v>0</v>
      </c>
      <c r="AA12" s="26">
        <f>SUBTOTAL(103,กรกฎาคม[25])</f>
        <v>0</v>
      </c>
      <c r="AB12" s="26">
        <f>SUBTOTAL(103,กรกฎาคม[26])</f>
        <v>0</v>
      </c>
      <c r="AC12" s="26">
        <f>SUBTOTAL(103,กรกฎาคม[27])</f>
        <v>0</v>
      </c>
      <c r="AD12" s="26">
        <f>SUBTOTAL(103,กรกฎาคม[28])</f>
        <v>0</v>
      </c>
      <c r="AE12" s="26">
        <f>SUBTOTAL(103,กรกฎาคม[29])</f>
        <v>0</v>
      </c>
      <c r="AF12" s="26">
        <f>SUBTOTAL(103,กรกฎาคม[30])</f>
        <v>0</v>
      </c>
      <c r="AG12" s="26">
        <f>SUBTOTAL(103,กรกฎาคม[31])</f>
        <v>0</v>
      </c>
      <c r="AH12" s="26">
        <f>SUBTOTAL(109,กรกฎาคม[จำนวนวัน:])</f>
        <v>0</v>
      </c>
    </row>
  </sheetData>
  <mergeCells count="3">
    <mergeCell ref="C4:AG4"/>
    <mergeCell ref="D2:F2"/>
    <mergeCell ref="H2:I2"/>
  </mergeCells>
  <conditionalFormatting sqref="C7:AG11">
    <cfRule type="expression" priority="1" stopIfTrue="1">
      <formula>C7=""</formula>
    </cfRule>
  </conditionalFormatting>
  <conditionalFormatting sqref="C7:AG11">
    <cfRule type="expression" dxfId="476" priority="2" stopIfTrue="1">
      <formula>C7=KeyCustom2</formula>
    </cfRule>
    <cfRule type="expression" dxfId="475" priority="3" stopIfTrue="1">
      <formula>C7=KeyCustom1</formula>
    </cfRule>
    <cfRule type="expression" dxfId="474" priority="4" stopIfTrue="1">
      <formula>C7=KeySick</formula>
    </cfRule>
    <cfRule type="expression" dxfId="473" priority="5" stopIfTrue="1">
      <formula>C7=KeyPersonal</formula>
    </cfRule>
    <cfRule type="expression" dxfId="472" priority="6" stopIfTrue="1">
      <formula>C7=KeyVacation</formula>
    </cfRule>
  </conditionalFormatting>
  <conditionalFormatting sqref="AH7:AH11">
    <cfRule type="dataBar" priority="7">
      <dataBar>
        <cfvo type="min"/>
        <cfvo type="formula" val="DATEDIF(DATE(ปีปฏิทิน,2,1),DATE(ปีปฏิทิน,3,1),&quot;d&quot;)"/>
        <color theme="2" tint="-0.249977111117893"/>
      </dataBar>
      <extLst>
        <ext xmlns:x14="http://schemas.microsoft.com/office/spreadsheetml/2009/9/main" uri="{B025F937-C7B1-47D3-B67F-A62EFF666E3E}">
          <x14:id>{E0DCF129-9B2A-4CEB-9E56-27607F4BED20}</x14:id>
        </ext>
      </extLst>
    </cfRule>
  </conditionalFormatting>
  <dataValidations count="14">
    <dataValidation allowBlank="1" showInputMessage="1" showErrorMessage="1" prompt="วันของเดือนในแถวนี้จะถูกสร้างโดยอัตโนมัติ ใส่การขาดงานของพนักงานและประเภทการขาดงานในแต่ละคอลัมน์ในแต่ละวันของเดือน ช่องว่างหมายถึงไม่ได้ขาดงาน" sqref="C6" xr:uid="{00000000-0002-0000-0600-000000000000}"/>
    <dataValidation allowBlank="1" showInputMessage="1" showErrorMessage="1" prompt="ชื่อเดือนสำหรับตารางการขาดงานนี้จะอยู่ในเซลล์นี้ จำนวนการขาดงานสำหรับเดือนนี้จะอยู่ในเซลล์สุดท้ายของตาราง เลือกชื่อพนักงานจากคอลัมน์ B ในตาราง" sqref="B4" xr:uid="{00000000-0002-0000-0600-000001000000}"/>
    <dataValidation allowBlank="1" showInputMessage="1" showErrorMessage="1" prompt="แถวนี้ระบุถึงคีย์ที่ใช้ในตาราง: เซลล์ C2 เป็นลาพักร้อน, G2 เป็นลากิจ และ K2 เป็นลาป่วย เซลล์ N2 และ R2 สามารถกำหนดเองได้" sqref="B2" xr:uid="{00000000-0002-0000-0600-000002000000}"/>
    <dataValidation allowBlank="1" showInputMessage="1" showErrorMessage="1" prompt="ใส่ป้ายชื่อเพื่ออธิบายปุ่มแบบกำหนดเองที่ด้านซ้าย" sqref="M2:O2 Q2:S2" xr:uid="{D13349A0-C825-4284-98E9-91E57FBA8BE1}"/>
    <dataValidation allowBlank="1" showInputMessage="1" showErrorMessage="1" prompt="ใส่ตัวอักษรและกำหนดป้ายชื่อด้วยตนเองที่ด้านขวาเพื่อเพิ่มรายการคีย์อื่นๆ" sqref="L2 P2" xr:uid="{E3764CFD-50AD-4EE7-99C8-320A4E72EBC8}"/>
    <dataValidation allowBlank="1" showInputMessage="1" showErrorMessage="1" prompt="ตัวอักษร “S” ระบุถึงการขาดงานเนื่องจากลาป่วย" sqref="J2" xr:uid="{29E3D1C0-A056-4665-A72C-C47CAB0A1F61}"/>
    <dataValidation allowBlank="1" showInputMessage="1" showErrorMessage="1" prompt="ตัวอักษร “P” ระบุถึงการขาดงานเนื่องจากลากิจ" sqref="G2" xr:uid="{45333D47-0C77-4E47-9211-11173DCE9360}"/>
    <dataValidation allowBlank="1" showInputMessage="1" showErrorMessage="1" prompt="ตัวอักษร “V” ระบุถึงการขาดงานเนื่องจากลาพักร้อน" sqref="C2" xr:uid="{96DF1F3B-0949-408C-9B36-1C292FA2BF97}"/>
    <dataValidation allowBlank="1" showInputMessage="1" showErrorMessage="1" prompt="ชื่อเรื่องจะถูกอัปเดตโดยอัตโนมัติในเซลล์นี้ เมื่อต้องการปรับเปลี่ยนชื่อเรื่อง ให้อัปเดต B1 บนเวิร์กชีต มกราคม" sqref="B1" xr:uid="{00000000-0002-0000-0600-000008000000}"/>
    <dataValidation errorStyle="warning" allowBlank="1" showInputMessage="1" showErrorMessage="1" error="เลือกชื่อจากรายการ เลือกยกเลิก จากนั้นกด ALT+ลูกศรลง จากนั้นกด ENTER เพื่อเลือกชื่อ" prompt="ใส่ชื่อพนักงานในเวิร์กชีต ชื่อพนักงาน จากนั้นเลือกหนึ่งในชื่อเหล่านั้นจากรายการในคอลัมน์นี้ กด ALT+ลูกศรลง จากนั้นกด ENTER เพื่อเลือกชื่อ" sqref="B6" xr:uid="{00000000-0002-0000-0600-000009000000}"/>
    <dataValidation allowBlank="1" showInputMessage="1" showErrorMessage="1" prompt="ติดตามการขาดงานเดือนกรกฎาคมในเวิร์กชีตนี้" sqref="A1" xr:uid="{00000000-0002-0000-0600-00000A000000}"/>
    <dataValidation allowBlank="1" showInputMessage="1" showErrorMessage="1" prompt="คำนวณจำนวนวันทั้งหมดที่พนักงานขาดงานในเดือนนี้โดยอัตโนมัติในคอลัมน์นี้" sqref="AH6" xr:uid="{00000000-0002-0000-0600-00000B000000}"/>
    <dataValidation allowBlank="1" showInputMessage="1" showErrorMessage="1" prompt="ปีจะถูกอัปเดตโดยอัตโนมัติโดยอ้างอิงจากปีที่ใส่ในเวิร์กชีต มกราคม" sqref="AH4" xr:uid="{00000000-0002-0000-0600-00000C000000}"/>
    <dataValidation allowBlank="1" showInputMessage="1" showErrorMessage="1" prompt="วันในสัปดาห์ในแถวนี้จะถูกอัปเดตโดยอัตโนมัติในแต่ละเดือนโดยอ้างอิงจากปีใน AH4 แต่ละวันในแต่ละเดือนเป็นคอลัมน์เพื่อบันทึกการขาดงานของพนักงานและประเภทการขาดงาน" sqref="C5" xr:uid="{00000000-0002-0000-0600-00000D000000}"/>
  </dataValidations>
  <printOptions horizontalCentered="1"/>
  <pageMargins left="0.25" right="0.25" top="0.75" bottom="0.75" header="0.3" footer="0.3"/>
  <pageSetup paperSize="9" scale="68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0DCF129-9B2A-4CEB-9E56-27607F4BED20}">
            <x14:dataBar minLength="0" maxLength="100">
              <x14:cfvo type="autoMin"/>
              <x14:cfvo type="formula">
                <xm:f>DATEDIF(DATE(ปีปฏิทิน,2,1),DATE(ปีปฏิทิน,3,1),"d")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E000000}">
          <x14:formula1>
            <xm:f>ชื่อพนักงาน!$B$4:$B$8</xm:f>
          </x14:formula1>
          <xm:sqref>B7:B11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749992370372631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625" style="8" customWidth="1"/>
    <col min="2" max="2" width="25.625" style="8" customWidth="1"/>
    <col min="3" max="33" width="4.625" style="8" customWidth="1"/>
    <col min="34" max="34" width="13.5" style="8" customWidth="1"/>
    <col min="35" max="35" width="2.625" customWidth="1"/>
  </cols>
  <sheetData>
    <row r="1" spans="2:34" ht="50.1" customHeight="1" x14ac:dyDescent="0.25">
      <c r="B1" s="10" t="str">
        <f>Employee_Absence_Title</f>
        <v>กำหนดการการขาดงานของพนักงาน</v>
      </c>
    </row>
    <row r="2" spans="2:34" ht="15" customHeight="1" x14ac:dyDescent="0.25">
      <c r="B2" s="15" t="s">
        <v>1</v>
      </c>
      <c r="C2" s="4" t="s">
        <v>9</v>
      </c>
      <c r="D2" s="29" t="s">
        <v>12</v>
      </c>
      <c r="E2" s="29"/>
      <c r="F2" s="29"/>
      <c r="G2" s="5" t="s">
        <v>15</v>
      </c>
      <c r="H2" s="29" t="s">
        <v>18</v>
      </c>
      <c r="I2" s="29"/>
      <c r="J2" s="20" t="s">
        <v>63</v>
      </c>
      <c r="K2" s="24" t="s">
        <v>23</v>
      </c>
      <c r="L2" s="21"/>
      <c r="M2" s="27" t="s">
        <v>27</v>
      </c>
      <c r="N2" s="27"/>
      <c r="O2" s="27"/>
      <c r="P2" s="22"/>
      <c r="Q2" s="27" t="s">
        <v>32</v>
      </c>
      <c r="R2" s="27"/>
      <c r="S2" s="27"/>
    </row>
    <row r="3" spans="2:34" ht="15" customHeight="1" x14ac:dyDescent="0.25">
      <c r="B3" s="10"/>
    </row>
    <row r="4" spans="2:34" ht="30" customHeight="1" x14ac:dyDescent="0.25">
      <c r="B4" s="9" t="s">
        <v>57</v>
      </c>
      <c r="C4" s="28" t="s">
        <v>10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9">
        <f>ปีปฏิทิน</f>
        <v>2019</v>
      </c>
    </row>
    <row r="5" spans="2:34" ht="15" customHeight="1" x14ac:dyDescent="0.25">
      <c r="B5" s="9"/>
      <c r="C5" s="2" t="str">
        <f>TEXT(WEEKDAY(DATE(ปีปฏิทิน,8,1),1),"aaa")</f>
        <v>พฤ.</v>
      </c>
      <c r="D5" s="2" t="str">
        <f>TEXT(WEEKDAY(DATE(ปีปฏิทิน,8,2),1),"aaa")</f>
        <v>ศ.</v>
      </c>
      <c r="E5" s="2" t="str">
        <f>TEXT(WEEKDAY(DATE(ปีปฏิทิน,8,3),1),"aaa")</f>
        <v>ส.</v>
      </c>
      <c r="F5" s="2" t="str">
        <f>TEXT(WEEKDAY(DATE(ปีปฏิทิน,8,4),1),"aaa")</f>
        <v>อา.</v>
      </c>
      <c r="G5" s="2" t="str">
        <f>TEXT(WEEKDAY(DATE(ปีปฏิทิน,8,5),1),"aaa")</f>
        <v>จ.</v>
      </c>
      <c r="H5" s="2" t="str">
        <f>TEXT(WEEKDAY(DATE(ปีปฏิทิน,8,6),1),"aaa")</f>
        <v>อ.</v>
      </c>
      <c r="I5" s="2" t="str">
        <f>TEXT(WEEKDAY(DATE(ปีปฏิทิน,8,7),1),"aaa")</f>
        <v>พ.</v>
      </c>
      <c r="J5" s="2" t="str">
        <f>TEXT(WEEKDAY(DATE(ปีปฏิทิน,8,8),1),"aaa")</f>
        <v>พฤ.</v>
      </c>
      <c r="K5" s="2" t="str">
        <f>TEXT(WEEKDAY(DATE(ปีปฏิทิน,8,9),1),"aaa")</f>
        <v>ศ.</v>
      </c>
      <c r="L5" s="2" t="str">
        <f>TEXT(WEEKDAY(DATE(ปีปฏิทิน,8,10),1),"aaa")</f>
        <v>ส.</v>
      </c>
      <c r="M5" s="2" t="str">
        <f>TEXT(WEEKDAY(DATE(ปีปฏิทิน,8,11),1),"aaa")</f>
        <v>อา.</v>
      </c>
      <c r="N5" s="2" t="str">
        <f>TEXT(WEEKDAY(DATE(ปีปฏิทิน,8,12),1),"aaa")</f>
        <v>จ.</v>
      </c>
      <c r="O5" s="2" t="str">
        <f>TEXT(WEEKDAY(DATE(ปีปฏิทิน,8,13),1),"aaa")</f>
        <v>อ.</v>
      </c>
      <c r="P5" s="2" t="str">
        <f>TEXT(WEEKDAY(DATE(ปีปฏิทิน,8,14),1),"aaa")</f>
        <v>พ.</v>
      </c>
      <c r="Q5" s="2" t="str">
        <f>TEXT(WEEKDAY(DATE(ปีปฏิทิน,8,15),1),"aaa")</f>
        <v>พฤ.</v>
      </c>
      <c r="R5" s="2" t="str">
        <f>TEXT(WEEKDAY(DATE(ปีปฏิทิน,8,16),1),"aaa")</f>
        <v>ศ.</v>
      </c>
      <c r="S5" s="2" t="str">
        <f>TEXT(WEEKDAY(DATE(ปีปฏิทิน,8,17),1),"aaa")</f>
        <v>ส.</v>
      </c>
      <c r="T5" s="2" t="str">
        <f>TEXT(WEEKDAY(DATE(ปีปฏิทิน,8,18),1),"aaa")</f>
        <v>อา.</v>
      </c>
      <c r="U5" s="2" t="str">
        <f>TEXT(WEEKDAY(DATE(ปีปฏิทิน,8,19),1),"aaa")</f>
        <v>จ.</v>
      </c>
      <c r="V5" s="2" t="str">
        <f>TEXT(WEEKDAY(DATE(ปีปฏิทิน,8,20),1),"aaa")</f>
        <v>อ.</v>
      </c>
      <c r="W5" s="2" t="str">
        <f>TEXT(WEEKDAY(DATE(ปีปฏิทิน,8,21),1),"aaa")</f>
        <v>พ.</v>
      </c>
      <c r="X5" s="2" t="str">
        <f>TEXT(WEEKDAY(DATE(ปีปฏิทิน,8,22),1),"aaa")</f>
        <v>พฤ.</v>
      </c>
      <c r="Y5" s="2" t="str">
        <f>TEXT(WEEKDAY(DATE(ปีปฏิทิน,8,23),1),"aaa")</f>
        <v>ศ.</v>
      </c>
      <c r="Z5" s="2" t="str">
        <f>TEXT(WEEKDAY(DATE(ปีปฏิทิน,8,24),1),"aaa")</f>
        <v>ส.</v>
      </c>
      <c r="AA5" s="2" t="str">
        <f>TEXT(WEEKDAY(DATE(ปีปฏิทิน,8,25),1),"aaa")</f>
        <v>อา.</v>
      </c>
      <c r="AB5" s="2" t="str">
        <f>TEXT(WEEKDAY(DATE(ปีปฏิทิน,8,26),1),"aaa")</f>
        <v>จ.</v>
      </c>
      <c r="AC5" s="2" t="str">
        <f>TEXT(WEEKDAY(DATE(ปีปฏิทิน,8,27),1),"aaa")</f>
        <v>อ.</v>
      </c>
      <c r="AD5" s="2" t="str">
        <f>TEXT(WEEKDAY(DATE(ปีปฏิทิน,8,28),1),"aaa")</f>
        <v>พ.</v>
      </c>
      <c r="AE5" s="2" t="str">
        <f>TEXT(WEEKDAY(DATE(ปีปฏิทิน,8,29),1),"aaa")</f>
        <v>พฤ.</v>
      </c>
      <c r="AF5" s="2" t="str">
        <f>TEXT(WEEKDAY(DATE(ปีปฏิทิน,8,30),1),"aaa")</f>
        <v>ศ.</v>
      </c>
      <c r="AG5" s="2" t="str">
        <f>TEXT(WEEKDAY(DATE(ปีปฏิทิน,8,31),1),"aaa")</f>
        <v>ส.</v>
      </c>
      <c r="AH5" s="9"/>
    </row>
    <row r="6" spans="2:34" ht="15" customHeight="1" x14ac:dyDescent="0.25">
      <c r="B6" s="11" t="s">
        <v>3</v>
      </c>
      <c r="C6" s="3" t="s">
        <v>11</v>
      </c>
      <c r="D6" s="3" t="s">
        <v>13</v>
      </c>
      <c r="E6" s="3" t="s">
        <v>14</v>
      </c>
      <c r="F6" s="3" t="s">
        <v>16</v>
      </c>
      <c r="G6" s="3" t="s">
        <v>17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24</v>
      </c>
      <c r="M6" s="3" t="s">
        <v>25</v>
      </c>
      <c r="N6" s="3" t="s">
        <v>26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33</v>
      </c>
      <c r="T6" s="3" t="s">
        <v>34</v>
      </c>
      <c r="U6" s="3" t="s">
        <v>35</v>
      </c>
      <c r="V6" s="3" t="s">
        <v>36</v>
      </c>
      <c r="W6" s="3" t="s">
        <v>37</v>
      </c>
      <c r="X6" s="3" t="s">
        <v>38</v>
      </c>
      <c r="Y6" s="3" t="s">
        <v>39</v>
      </c>
      <c r="Z6" s="3" t="s">
        <v>40</v>
      </c>
      <c r="AA6" s="3" t="s">
        <v>41</v>
      </c>
      <c r="AB6" s="3" t="s">
        <v>42</v>
      </c>
      <c r="AC6" s="3" t="s">
        <v>43</v>
      </c>
      <c r="AD6" s="3" t="s">
        <v>44</v>
      </c>
      <c r="AE6" s="3" t="s">
        <v>45</v>
      </c>
      <c r="AF6" s="3" t="s">
        <v>46</v>
      </c>
      <c r="AG6" s="3" t="s">
        <v>47</v>
      </c>
      <c r="AH6" s="12" t="s">
        <v>49</v>
      </c>
    </row>
    <row r="7" spans="2:34" ht="30" customHeight="1" x14ac:dyDescent="0.25">
      <c r="B7" s="13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7">
        <f>COUNTA(สิงหาคม[[#This Row],[1]:[31]])</f>
        <v>0</v>
      </c>
    </row>
    <row r="8" spans="2:34" ht="30" customHeight="1" x14ac:dyDescent="0.25">
      <c r="B8" s="13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7">
        <f>COUNTA(สิงหาคม[[#This Row],[1]:[31]])</f>
        <v>0</v>
      </c>
    </row>
    <row r="9" spans="2:34" ht="30" customHeight="1" x14ac:dyDescent="0.25">
      <c r="B9" s="13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7">
        <f>COUNTA(สิงหาคม[[#This Row],[1]:[31]])</f>
        <v>0</v>
      </c>
    </row>
    <row r="10" spans="2:34" ht="30" customHeight="1" x14ac:dyDescent="0.25">
      <c r="B10" s="13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7">
        <f>COUNTA(สิงหาคม[[#This Row],[1]:[31]])</f>
        <v>0</v>
      </c>
    </row>
    <row r="11" spans="2:34" ht="30" customHeight="1" x14ac:dyDescent="0.25">
      <c r="B11" s="13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7">
        <f>COUNTA(สิงหาคม[[#This Row],[1]:[31]])</f>
        <v>0</v>
      </c>
    </row>
    <row r="12" spans="2:34" ht="30" customHeight="1" x14ac:dyDescent="0.25">
      <c r="B12" s="17" t="str">
        <f>MonthName&amp;" ผลรวม"</f>
        <v>สิงหาคม ผลรวม</v>
      </c>
      <c r="C12" s="26">
        <f>SUBTOTAL(103,สิงหาคม[1])</f>
        <v>0</v>
      </c>
      <c r="D12" s="26">
        <f>SUBTOTAL(103,สิงหาคม[2])</f>
        <v>0</v>
      </c>
      <c r="E12" s="26">
        <f>SUBTOTAL(103,สิงหาคม[3])</f>
        <v>0</v>
      </c>
      <c r="F12" s="26">
        <f>SUBTOTAL(103,สิงหาคม[4])</f>
        <v>0</v>
      </c>
      <c r="G12" s="26">
        <f>SUBTOTAL(103,สิงหาคม[5])</f>
        <v>0</v>
      </c>
      <c r="H12" s="26">
        <f>SUBTOTAL(103,สิงหาคม[6])</f>
        <v>0</v>
      </c>
      <c r="I12" s="26">
        <f>SUBTOTAL(103,สิงหาคม[7])</f>
        <v>0</v>
      </c>
      <c r="J12" s="26">
        <f>SUBTOTAL(103,สิงหาคม[8])</f>
        <v>0</v>
      </c>
      <c r="K12" s="26">
        <f>SUBTOTAL(103,สิงหาคม[9])</f>
        <v>0</v>
      </c>
      <c r="L12" s="26">
        <f>SUBTOTAL(103,สิงหาคม[10])</f>
        <v>0</v>
      </c>
      <c r="M12" s="26">
        <f>SUBTOTAL(103,สิงหาคม[11])</f>
        <v>0</v>
      </c>
      <c r="N12" s="26">
        <f>SUBTOTAL(103,สิงหาคม[12])</f>
        <v>0</v>
      </c>
      <c r="O12" s="26">
        <f>SUBTOTAL(103,สิงหาคม[13])</f>
        <v>0</v>
      </c>
      <c r="P12" s="26">
        <f>SUBTOTAL(103,สิงหาคม[14])</f>
        <v>0</v>
      </c>
      <c r="Q12" s="26">
        <f>SUBTOTAL(103,สิงหาคม[15])</f>
        <v>0</v>
      </c>
      <c r="R12" s="26">
        <f>SUBTOTAL(103,สิงหาคม[16])</f>
        <v>0</v>
      </c>
      <c r="S12" s="26">
        <f>SUBTOTAL(103,สิงหาคม[17])</f>
        <v>0</v>
      </c>
      <c r="T12" s="26">
        <f>SUBTOTAL(103,สิงหาคม[18])</f>
        <v>0</v>
      </c>
      <c r="U12" s="26">
        <f>SUBTOTAL(103,สิงหาคม[19])</f>
        <v>0</v>
      </c>
      <c r="V12" s="26">
        <f>SUBTOTAL(103,สิงหาคม[20])</f>
        <v>0</v>
      </c>
      <c r="W12" s="26">
        <f>SUBTOTAL(103,สิงหาคม[21])</f>
        <v>0</v>
      </c>
      <c r="X12" s="26">
        <f>SUBTOTAL(103,สิงหาคม[22])</f>
        <v>0</v>
      </c>
      <c r="Y12" s="26">
        <f>SUBTOTAL(103,สิงหาคม[23])</f>
        <v>0</v>
      </c>
      <c r="Z12" s="26">
        <f>SUBTOTAL(103,สิงหาคม[24])</f>
        <v>0</v>
      </c>
      <c r="AA12" s="26">
        <f>SUBTOTAL(103,สิงหาคม[25])</f>
        <v>0</v>
      </c>
      <c r="AB12" s="26">
        <f>SUBTOTAL(103,สิงหาคม[26])</f>
        <v>0</v>
      </c>
      <c r="AC12" s="26">
        <f>SUBTOTAL(103,สิงหาคม[27])</f>
        <v>0</v>
      </c>
      <c r="AD12" s="26">
        <f>SUBTOTAL(103,สิงหาคม[28])</f>
        <v>0</v>
      </c>
      <c r="AE12" s="26">
        <f>SUBTOTAL(103,สิงหาคม[29])</f>
        <v>0</v>
      </c>
      <c r="AF12" s="26">
        <f>SUBTOTAL(103,สิงหาคม[30])</f>
        <v>0</v>
      </c>
      <c r="AG12" s="26">
        <f>SUBTOTAL(103,สิงหาคม[31])</f>
        <v>0</v>
      </c>
      <c r="AH12" s="26">
        <f>SUBTOTAL(109,สิงหาคม[จำนวนวัน:])</f>
        <v>0</v>
      </c>
    </row>
  </sheetData>
  <mergeCells count="3">
    <mergeCell ref="C4:AG4"/>
    <mergeCell ref="D2:F2"/>
    <mergeCell ref="H2:I2"/>
  </mergeCells>
  <conditionalFormatting sqref="C7:AG11">
    <cfRule type="expression" priority="1" stopIfTrue="1">
      <formula>C7=""</formula>
    </cfRule>
  </conditionalFormatting>
  <conditionalFormatting sqref="C7:AG11">
    <cfRule type="expression" dxfId="402" priority="2" stopIfTrue="1">
      <formula>C7=KeyCustom2</formula>
    </cfRule>
    <cfRule type="expression" dxfId="401" priority="3" stopIfTrue="1">
      <formula>C7=KeyCustom1</formula>
    </cfRule>
    <cfRule type="expression" dxfId="400" priority="4" stopIfTrue="1">
      <formula>C7=KeySick</formula>
    </cfRule>
    <cfRule type="expression" dxfId="399" priority="5" stopIfTrue="1">
      <formula>C7=KeyPersonal</formula>
    </cfRule>
    <cfRule type="expression" dxfId="398" priority="6" stopIfTrue="1">
      <formula>C7=KeyVacation</formula>
    </cfRule>
  </conditionalFormatting>
  <conditionalFormatting sqref="AH7:AH11">
    <cfRule type="dataBar" priority="7">
      <dataBar>
        <cfvo type="min"/>
        <cfvo type="formula" val="DATEDIF(DATE(ปีปฏิทิน,2,1),DATE(ปีปฏิทิน,3,1),&quot;d&quot;)"/>
        <color theme="2" tint="-0.249977111117893"/>
      </dataBar>
      <extLst>
        <ext xmlns:x14="http://schemas.microsoft.com/office/spreadsheetml/2009/9/main" uri="{B025F937-C7B1-47D3-B67F-A62EFF666E3E}">
          <x14:id>{09900229-9536-43AB-AAE0-FC121BDECD61}</x14:id>
        </ext>
      </extLst>
    </cfRule>
  </conditionalFormatting>
  <dataValidations count="14">
    <dataValidation allowBlank="1" showInputMessage="1" showErrorMessage="1" prompt="วันในสัปดาห์ในแถวนี้จะถูกอัปเดตโดยอัตโนมัติในแต่ละเดือนโดยอ้างอิงจากปีใน AH4 แต่ละวันในแต่ละเดือนเป็นคอลัมน์เพื่อบันทึกการขาดงานของพนักงานและประเภทการขาดงาน" sqref="C5" xr:uid="{00000000-0002-0000-0700-000000000000}"/>
    <dataValidation allowBlank="1" showInputMessage="1" showErrorMessage="1" prompt="ปีจะถูกอัปเดตโดยอัตโนมัติโดยอ้างอิงจากปีที่ใส่ในเวิร์กชีต มกราคม" sqref="AH4" xr:uid="{00000000-0002-0000-0700-000001000000}"/>
    <dataValidation allowBlank="1" showInputMessage="1" showErrorMessage="1" prompt="คำนวณจำนวนวันทั้งหมดที่พนักงานขาดงานในเดือนนี้โดยอัตโนมัติในคอลัมน์นี้" sqref="AH6" xr:uid="{00000000-0002-0000-0700-000002000000}"/>
    <dataValidation allowBlank="1" showInputMessage="1" showErrorMessage="1" prompt="ติดตามการขาดงานเดือนสิงหาคมในเวิร์กชีตนี้" sqref="A1" xr:uid="{00000000-0002-0000-0700-000003000000}"/>
    <dataValidation errorStyle="warning" allowBlank="1" showInputMessage="1" showErrorMessage="1" error="เลือกชื่อจากรายการ เลือกยกเลิก จากนั้นกด ALT+ลูกศรลง จากนั้นกด ENTER เพื่อเลือกชื่อ" prompt="ใส่ชื่อพนักงานในเวิร์กชีต ชื่อพนักงาน จากนั้นเลือกหนึ่งในชื่อเหล่านั้นจากรายการในคอลัมน์นี้ กด ALT+ลูกศรลง จากนั้นกด ENTER เพื่อเลือกชื่อ" sqref="B6" xr:uid="{00000000-0002-0000-0700-000004000000}"/>
    <dataValidation allowBlank="1" showInputMessage="1" showErrorMessage="1" prompt="ชื่อเรื่องจะถูกอัปเดตโดยอัตโนมัติในเซลล์นี้ เมื่อต้องการปรับเปลี่ยนชื่อเรื่อง ให้อัปเดต B1 บนเวิร์กชีต มกราคม" sqref="B1" xr:uid="{00000000-0002-0000-0700-000005000000}"/>
    <dataValidation allowBlank="1" showInputMessage="1" showErrorMessage="1" prompt="ตัวอักษร “V” ระบุถึงการขาดงานเนื่องจากลาพักร้อน" sqref="C2" xr:uid="{AE5697B2-C95E-4EB8-A858-0901687CC541}"/>
    <dataValidation allowBlank="1" showInputMessage="1" showErrorMessage="1" prompt="ตัวอักษร “P” ระบุถึงการขาดงานเนื่องจากลากิจ" sqref="G2" xr:uid="{6970DDD0-F686-491E-B073-805D040BA7EA}"/>
    <dataValidation allowBlank="1" showInputMessage="1" showErrorMessage="1" prompt="ตัวอักษร “S” ระบุถึงการขาดงานเนื่องจากลาป่วย" sqref="J2" xr:uid="{22AD2D92-7F53-44B8-826E-E01038159260}"/>
    <dataValidation allowBlank="1" showInputMessage="1" showErrorMessage="1" prompt="ใส่ตัวอักษรและกำหนดป้ายชื่อด้วยตนเองที่ด้านขวาเพื่อเพิ่มรายการคีย์อื่นๆ" sqref="L2 P2" xr:uid="{CBE88F8C-5A99-424F-98A6-7D860074B0B4}"/>
    <dataValidation allowBlank="1" showInputMessage="1" showErrorMessage="1" prompt="ใส่ป้ายชื่อเพื่ออธิบายปุ่มแบบกำหนดเองที่ด้านซ้าย" sqref="M2:O2 Q2:S2" xr:uid="{6A89626E-A46E-4879-8BA2-E31380971CDF}"/>
    <dataValidation allowBlank="1" showInputMessage="1" showErrorMessage="1" prompt="แถวนี้ระบุถึงคีย์ที่ใช้ในตาราง: เซลล์ C2 เป็นลาพักร้อน, G2 เป็นลากิจ และ K2 เป็นลาป่วย เซลล์ N2 และ R2 สามารถกำหนดเองได้" sqref="B2" xr:uid="{00000000-0002-0000-0700-00000B000000}"/>
    <dataValidation allowBlank="1" showInputMessage="1" showErrorMessage="1" prompt="ชื่อเดือนสำหรับตารางการขาดงานนี้จะอยู่ในเซลล์นี้ จำนวนการขาดงานสำหรับเดือนนี้จะอยู่ในเซลล์สุดท้ายของตาราง เลือกชื่อพนักงานจากคอลัมน์ B ในตาราง" sqref="B4" xr:uid="{00000000-0002-0000-0700-00000C000000}"/>
    <dataValidation allowBlank="1" showInputMessage="1" showErrorMessage="1" prompt="วันของเดือนในแถวนี้จะถูกสร้างโดยอัตโนมัติ ใส่การขาดงานของพนักงานและประเภทการขาดงานในแต่ละคอลัมน์ในแต่ละวันของเดือน ช่องว่างหมายถึงไม่ได้ขาดงาน" sqref="C6" xr:uid="{00000000-0002-0000-0700-00000D000000}"/>
  </dataValidations>
  <printOptions horizontalCentered="1"/>
  <pageMargins left="0.25" right="0.25" top="0.75" bottom="0.75" header="0.3" footer="0.3"/>
  <pageSetup paperSize="9" scale="68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9900229-9536-43AB-AAE0-FC121BDECD61}">
            <x14:dataBar minLength="0" maxLength="100">
              <x14:cfvo type="autoMin"/>
              <x14:cfvo type="formula">
                <xm:f>DATEDIF(DATE(ปีปฏิทิน,2,1),DATE(ปีปฏิทิน,3,1),"d")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E000000}">
          <x14:formula1>
            <xm:f>ชื่อพนักงาน!$B$4:$B$8</xm:f>
          </x14:formula1>
          <xm:sqref>B7:B11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499984740745262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625" style="8" customWidth="1"/>
    <col min="2" max="2" width="25.625" style="8" customWidth="1"/>
    <col min="3" max="33" width="4.625" style="8" customWidth="1"/>
    <col min="34" max="34" width="13.5" style="8" customWidth="1"/>
    <col min="35" max="35" width="2.625" customWidth="1"/>
  </cols>
  <sheetData>
    <row r="1" spans="2:34" ht="50.1" customHeight="1" x14ac:dyDescent="0.25">
      <c r="B1" s="10" t="str">
        <f>Employee_Absence_Title</f>
        <v>กำหนดการการขาดงานของพนักงาน</v>
      </c>
    </row>
    <row r="2" spans="2:34" ht="15" customHeight="1" x14ac:dyDescent="0.25">
      <c r="B2" s="15" t="s">
        <v>1</v>
      </c>
      <c r="C2" s="4" t="s">
        <v>9</v>
      </c>
      <c r="D2" s="29" t="s">
        <v>12</v>
      </c>
      <c r="E2" s="29"/>
      <c r="F2" s="29"/>
      <c r="G2" s="5" t="s">
        <v>15</v>
      </c>
      <c r="H2" s="29" t="s">
        <v>18</v>
      </c>
      <c r="I2" s="29"/>
      <c r="J2" s="20" t="s">
        <v>63</v>
      </c>
      <c r="K2" s="24" t="s">
        <v>23</v>
      </c>
      <c r="L2" s="21"/>
      <c r="M2" s="27" t="s">
        <v>27</v>
      </c>
      <c r="N2" s="27"/>
      <c r="O2" s="27"/>
      <c r="P2" s="22"/>
      <c r="Q2" s="27" t="s">
        <v>32</v>
      </c>
      <c r="R2" s="27"/>
      <c r="S2" s="27"/>
    </row>
    <row r="3" spans="2:34" ht="15" customHeight="1" x14ac:dyDescent="0.25">
      <c r="B3" s="10"/>
    </row>
    <row r="4" spans="2:34" ht="30" customHeight="1" x14ac:dyDescent="0.25">
      <c r="B4" s="9" t="s">
        <v>58</v>
      </c>
      <c r="C4" s="28" t="s">
        <v>10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9">
        <f>ปีปฏิทิน</f>
        <v>2019</v>
      </c>
    </row>
    <row r="5" spans="2:34" ht="15" customHeight="1" x14ac:dyDescent="0.25">
      <c r="B5" s="9"/>
      <c r="C5" s="2" t="str">
        <f>TEXT(WEEKDAY(DATE(ปีปฏิทิน,9,1),1),"aaa")</f>
        <v>อา.</v>
      </c>
      <c r="D5" s="2" t="str">
        <f>TEXT(WEEKDAY(DATE(ปีปฏิทิน,9,2),1),"aaa")</f>
        <v>จ.</v>
      </c>
      <c r="E5" s="2" t="str">
        <f>TEXT(WEEKDAY(DATE(ปีปฏิทิน,9,3),1),"aaa")</f>
        <v>อ.</v>
      </c>
      <c r="F5" s="2" t="str">
        <f>TEXT(WEEKDAY(DATE(ปีปฏิทิน,9,4),1),"aaa")</f>
        <v>พ.</v>
      </c>
      <c r="G5" s="2" t="str">
        <f>TEXT(WEEKDAY(DATE(ปีปฏิทิน,9,5),1),"aaa")</f>
        <v>พฤ.</v>
      </c>
      <c r="H5" s="2" t="str">
        <f>TEXT(WEEKDAY(DATE(ปีปฏิทิน,9,6),1),"aaa")</f>
        <v>ศ.</v>
      </c>
      <c r="I5" s="2" t="str">
        <f>TEXT(WEEKDAY(DATE(ปีปฏิทิน,9,7),1),"aaa")</f>
        <v>ส.</v>
      </c>
      <c r="J5" s="2" t="str">
        <f>TEXT(WEEKDAY(DATE(ปีปฏิทิน,9,8),1),"aaa")</f>
        <v>อา.</v>
      </c>
      <c r="K5" s="2" t="str">
        <f>TEXT(WEEKDAY(DATE(ปีปฏิทิน,9,9),1),"aaa")</f>
        <v>จ.</v>
      </c>
      <c r="L5" s="2" t="str">
        <f>TEXT(WEEKDAY(DATE(ปีปฏิทิน,9,10),1),"aaa")</f>
        <v>อ.</v>
      </c>
      <c r="M5" s="2" t="str">
        <f>TEXT(WEEKDAY(DATE(ปีปฏิทิน,9,11),1),"aaa")</f>
        <v>พ.</v>
      </c>
      <c r="N5" s="2" t="str">
        <f>TEXT(WEEKDAY(DATE(ปีปฏิทิน,9,12),1),"aaa")</f>
        <v>พฤ.</v>
      </c>
      <c r="O5" s="2" t="str">
        <f>TEXT(WEEKDAY(DATE(ปีปฏิทิน,9,13),1),"aaa")</f>
        <v>ศ.</v>
      </c>
      <c r="P5" s="2" t="str">
        <f>TEXT(WEEKDAY(DATE(ปีปฏิทิน,9,14),1),"aaa")</f>
        <v>ส.</v>
      </c>
      <c r="Q5" s="2" t="str">
        <f>TEXT(WEEKDAY(DATE(ปีปฏิทิน,9,15),1),"aaa")</f>
        <v>อา.</v>
      </c>
      <c r="R5" s="2" t="str">
        <f>TEXT(WEEKDAY(DATE(ปีปฏิทิน,9,16),1),"aaa")</f>
        <v>จ.</v>
      </c>
      <c r="S5" s="2" t="str">
        <f>TEXT(WEEKDAY(DATE(ปีปฏิทิน,9,17),1),"aaa")</f>
        <v>อ.</v>
      </c>
      <c r="T5" s="2" t="str">
        <f>TEXT(WEEKDAY(DATE(ปีปฏิทิน,9,18),1),"aaa")</f>
        <v>พ.</v>
      </c>
      <c r="U5" s="2" t="str">
        <f>TEXT(WEEKDAY(DATE(ปีปฏิทิน,9,19),1),"aaa")</f>
        <v>พฤ.</v>
      </c>
      <c r="V5" s="2" t="str">
        <f>TEXT(WEEKDAY(DATE(ปีปฏิทิน,9,20),1),"aaa")</f>
        <v>ศ.</v>
      </c>
      <c r="W5" s="2" t="str">
        <f>TEXT(WEEKDAY(DATE(ปีปฏิทิน,9,21),1),"aaa")</f>
        <v>ส.</v>
      </c>
      <c r="X5" s="2" t="str">
        <f>TEXT(WEEKDAY(DATE(ปีปฏิทิน,9,22),1),"aaa")</f>
        <v>อา.</v>
      </c>
      <c r="Y5" s="2" t="str">
        <f>TEXT(WEEKDAY(DATE(ปีปฏิทิน,9,23),1),"aaa")</f>
        <v>จ.</v>
      </c>
      <c r="Z5" s="2" t="str">
        <f>TEXT(WEEKDAY(DATE(ปีปฏิทิน,9,24),1),"aaa")</f>
        <v>อ.</v>
      </c>
      <c r="AA5" s="2" t="str">
        <f>TEXT(WEEKDAY(DATE(ปีปฏิทิน,9,25),1),"aaa")</f>
        <v>พ.</v>
      </c>
      <c r="AB5" s="2" t="str">
        <f>TEXT(WEEKDAY(DATE(ปีปฏิทิน,9,26),1),"aaa")</f>
        <v>พฤ.</v>
      </c>
      <c r="AC5" s="2" t="str">
        <f>TEXT(WEEKDAY(DATE(ปีปฏิทิน,9,27),1),"aaa")</f>
        <v>ศ.</v>
      </c>
      <c r="AD5" s="2" t="str">
        <f>TEXT(WEEKDAY(DATE(ปีปฏิทิน,9,28),1),"aaa")</f>
        <v>ส.</v>
      </c>
      <c r="AE5" s="2" t="str">
        <f>TEXT(WEEKDAY(DATE(ปีปฏิทิน,9,29),1),"aaa")</f>
        <v>อา.</v>
      </c>
      <c r="AF5" s="2" t="str">
        <f>TEXT(WEEKDAY(DATE(ปีปฏิทิน,9,30),1),"aaa")</f>
        <v>จ.</v>
      </c>
      <c r="AG5" s="2"/>
      <c r="AH5" s="9"/>
    </row>
    <row r="6" spans="2:34" ht="15" customHeight="1" x14ac:dyDescent="0.25">
      <c r="B6" s="11" t="s">
        <v>3</v>
      </c>
      <c r="C6" s="3" t="s">
        <v>11</v>
      </c>
      <c r="D6" s="3" t="s">
        <v>13</v>
      </c>
      <c r="E6" s="3" t="s">
        <v>14</v>
      </c>
      <c r="F6" s="3" t="s">
        <v>16</v>
      </c>
      <c r="G6" s="3" t="s">
        <v>17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24</v>
      </c>
      <c r="M6" s="3" t="s">
        <v>25</v>
      </c>
      <c r="N6" s="3" t="s">
        <v>26</v>
      </c>
      <c r="O6" s="3" t="s">
        <v>28</v>
      </c>
      <c r="P6" s="3" t="s">
        <v>29</v>
      </c>
      <c r="Q6" s="3" t="s">
        <v>30</v>
      </c>
      <c r="R6" s="3" t="s">
        <v>31</v>
      </c>
      <c r="S6" s="3" t="s">
        <v>33</v>
      </c>
      <c r="T6" s="3" t="s">
        <v>34</v>
      </c>
      <c r="U6" s="3" t="s">
        <v>35</v>
      </c>
      <c r="V6" s="3" t="s">
        <v>36</v>
      </c>
      <c r="W6" s="3" t="s">
        <v>37</v>
      </c>
      <c r="X6" s="3" t="s">
        <v>38</v>
      </c>
      <c r="Y6" s="3" t="s">
        <v>39</v>
      </c>
      <c r="Z6" s="3" t="s">
        <v>40</v>
      </c>
      <c r="AA6" s="3" t="s">
        <v>41</v>
      </c>
      <c r="AB6" s="3" t="s">
        <v>42</v>
      </c>
      <c r="AC6" s="3" t="s">
        <v>43</v>
      </c>
      <c r="AD6" s="3" t="s">
        <v>44</v>
      </c>
      <c r="AE6" s="3" t="s">
        <v>45</v>
      </c>
      <c r="AF6" s="3" t="s">
        <v>46</v>
      </c>
      <c r="AG6" s="3" t="s">
        <v>51</v>
      </c>
      <c r="AH6" s="12" t="s">
        <v>49</v>
      </c>
    </row>
    <row r="7" spans="2:34" ht="30" customHeight="1" x14ac:dyDescent="0.25">
      <c r="B7" s="13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7">
        <f>COUNTA(กันยายน[[#This Row],[1]:[30]])</f>
        <v>0</v>
      </c>
    </row>
    <row r="8" spans="2:34" ht="30" customHeight="1" x14ac:dyDescent="0.25">
      <c r="B8" s="13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7">
        <f>COUNTA(กันยายน[[#This Row],[1]:[30]])</f>
        <v>0</v>
      </c>
    </row>
    <row r="9" spans="2:34" ht="30" customHeight="1" x14ac:dyDescent="0.25">
      <c r="B9" s="13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7">
        <f>COUNTA(กันยายน[[#This Row],[1]:[30]])</f>
        <v>0</v>
      </c>
    </row>
    <row r="10" spans="2:34" ht="30" customHeight="1" x14ac:dyDescent="0.25">
      <c r="B10" s="13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7">
        <f>COUNTA(กันยายน[[#This Row],[1]:[30]])</f>
        <v>0</v>
      </c>
    </row>
    <row r="11" spans="2:34" ht="30" customHeight="1" x14ac:dyDescent="0.25">
      <c r="B11" s="13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7">
        <f>COUNTA(กันยายน[[#This Row],[1]:[30]])</f>
        <v>0</v>
      </c>
    </row>
    <row r="12" spans="2:34" ht="30" customHeight="1" x14ac:dyDescent="0.25">
      <c r="B12" s="17" t="str">
        <f>MonthName&amp;" ผลรวม"</f>
        <v>กันยายน ผลรวม</v>
      </c>
      <c r="C12" s="26">
        <f>SUBTOTAL(103,กันยายน[1])</f>
        <v>0</v>
      </c>
      <c r="D12" s="26">
        <f>SUBTOTAL(103,กันยายน[2])</f>
        <v>0</v>
      </c>
      <c r="E12" s="26">
        <f>SUBTOTAL(103,กันยายน[3])</f>
        <v>0</v>
      </c>
      <c r="F12" s="26">
        <f>SUBTOTAL(103,กันยายน[4])</f>
        <v>0</v>
      </c>
      <c r="G12" s="26">
        <f>SUBTOTAL(103,กันยายน[5])</f>
        <v>0</v>
      </c>
      <c r="H12" s="26">
        <f>SUBTOTAL(103,กันยายน[6])</f>
        <v>0</v>
      </c>
      <c r="I12" s="26">
        <f>SUBTOTAL(103,กันยายน[7])</f>
        <v>0</v>
      </c>
      <c r="J12" s="26">
        <f>SUBTOTAL(103,กันยายน[8])</f>
        <v>0</v>
      </c>
      <c r="K12" s="26">
        <f>SUBTOTAL(103,กันยายน[9])</f>
        <v>0</v>
      </c>
      <c r="L12" s="26">
        <f>SUBTOTAL(103,กันยายน[10])</f>
        <v>0</v>
      </c>
      <c r="M12" s="26">
        <f>SUBTOTAL(103,กันยายน[11])</f>
        <v>0</v>
      </c>
      <c r="N12" s="26">
        <f>SUBTOTAL(103,กันยายน[12])</f>
        <v>0</v>
      </c>
      <c r="O12" s="26">
        <f>SUBTOTAL(103,กันยายน[13])</f>
        <v>0</v>
      </c>
      <c r="P12" s="26">
        <f>SUBTOTAL(103,กันยายน[14])</f>
        <v>0</v>
      </c>
      <c r="Q12" s="26">
        <f>SUBTOTAL(103,กันยายน[15])</f>
        <v>0</v>
      </c>
      <c r="R12" s="26">
        <f>SUBTOTAL(103,กันยายน[16])</f>
        <v>0</v>
      </c>
      <c r="S12" s="26">
        <f>SUBTOTAL(103,กันยายน[17])</f>
        <v>0</v>
      </c>
      <c r="T12" s="26">
        <f>SUBTOTAL(103,กันยายน[18])</f>
        <v>0</v>
      </c>
      <c r="U12" s="26">
        <f>SUBTOTAL(103,กันยายน[19])</f>
        <v>0</v>
      </c>
      <c r="V12" s="26">
        <f>SUBTOTAL(103,กันยายน[20])</f>
        <v>0</v>
      </c>
      <c r="W12" s="26">
        <f>SUBTOTAL(103,กันยายน[21])</f>
        <v>0</v>
      </c>
      <c r="X12" s="26">
        <f>SUBTOTAL(103,กันยายน[22])</f>
        <v>0</v>
      </c>
      <c r="Y12" s="26">
        <f>SUBTOTAL(103,กันยายน[23])</f>
        <v>0</v>
      </c>
      <c r="Z12" s="26">
        <f>SUBTOTAL(103,กันยายน[24])</f>
        <v>0</v>
      </c>
      <c r="AA12" s="26">
        <f>SUBTOTAL(103,กันยายน[25])</f>
        <v>0</v>
      </c>
      <c r="AB12" s="26">
        <f>SUBTOTAL(103,กันยายน[26])</f>
        <v>0</v>
      </c>
      <c r="AC12" s="26">
        <f>SUBTOTAL(103,กันยายน[27])</f>
        <v>0</v>
      </c>
      <c r="AD12" s="26">
        <f>SUBTOTAL(103,กันยายน[28])</f>
        <v>0</v>
      </c>
      <c r="AE12" s="26">
        <f>SUBTOTAL(103,กันยายน[29])</f>
        <v>0</v>
      </c>
      <c r="AF12" s="26">
        <f>SUBTOTAL(103,กันยายน[30])</f>
        <v>0</v>
      </c>
      <c r="AG12" s="26">
        <f>SUBTOTAL(103,กันยายน[[ ]])</f>
        <v>0</v>
      </c>
      <c r="AH12" s="26">
        <f>SUBTOTAL(109,กันยายน[จำนวนวัน:])</f>
        <v>0</v>
      </c>
    </row>
  </sheetData>
  <mergeCells count="3">
    <mergeCell ref="C4:AG4"/>
    <mergeCell ref="D2:F2"/>
    <mergeCell ref="H2:I2"/>
  </mergeCells>
  <conditionalFormatting sqref="C7:AG11">
    <cfRule type="expression" priority="1" stopIfTrue="1">
      <formula>C7=""</formula>
    </cfRule>
  </conditionalFormatting>
  <conditionalFormatting sqref="C7:AG11">
    <cfRule type="expression" dxfId="328" priority="2" stopIfTrue="1">
      <formula>C7=KeyCustom2</formula>
    </cfRule>
    <cfRule type="expression" dxfId="327" priority="3" stopIfTrue="1">
      <formula>C7=KeyCustom1</formula>
    </cfRule>
    <cfRule type="expression" dxfId="326" priority="4" stopIfTrue="1">
      <formula>C7=KeySick</formula>
    </cfRule>
    <cfRule type="expression" dxfId="325" priority="5" stopIfTrue="1">
      <formula>C7=KeyPersonal</formula>
    </cfRule>
    <cfRule type="expression" dxfId="324" priority="6" stopIfTrue="1">
      <formula>C7=KeyVacation</formula>
    </cfRule>
  </conditionalFormatting>
  <conditionalFormatting sqref="AH7:AH11">
    <cfRule type="dataBar" priority="7">
      <dataBar>
        <cfvo type="min"/>
        <cfvo type="formula" val="DATEDIF(DATE(ปีปฏิทิน,2,1),DATE(ปีปฏิทิน,3,1),&quot;d&quot;)"/>
        <color theme="2" tint="-0.249977111117893"/>
      </dataBar>
      <extLst>
        <ext xmlns:x14="http://schemas.microsoft.com/office/spreadsheetml/2009/9/main" uri="{B025F937-C7B1-47D3-B67F-A62EFF666E3E}">
          <x14:id>{1A021984-06A1-41D9-90D2-8C16E885020B}</x14:id>
        </ext>
      </extLst>
    </cfRule>
  </conditionalFormatting>
  <dataValidations count="14">
    <dataValidation allowBlank="1" showInputMessage="1" showErrorMessage="1" prompt="วันของเดือนในแถวนี้จะถูกสร้างโดยอัตโนมัติ ใส่การขาดงานของพนักงานและประเภทการขาดงานในแต่ละคอลัมน์ในแต่ละวันของเดือน ช่องว่างหมายถึงไม่ได้ขาดงาน" sqref="C6" xr:uid="{00000000-0002-0000-0800-000000000000}"/>
    <dataValidation allowBlank="1" showInputMessage="1" showErrorMessage="1" prompt="ชื่อเดือนสำหรับตารางการขาดงานนี้จะอยู่ในเซลล์นี้ จำนวนการขาดงานสำหรับเดือนนี้จะอยู่ในเซลล์สุดท้ายของตาราง เลือกชื่อพนักงานจากคอลัมน์ B ในตาราง" sqref="B4" xr:uid="{00000000-0002-0000-0800-000001000000}"/>
    <dataValidation allowBlank="1" showInputMessage="1" showErrorMessage="1" prompt="แถวนี้ระบุถึงคีย์ที่ใช้ในตาราง: เซลล์ C2 เป็นลาพักร้อน, G2 เป็นลากิจ และ K2 เป็นลาป่วย เซลล์ N2 และ R2 สามารถกำหนดเองได้" sqref="B2" xr:uid="{00000000-0002-0000-0800-000002000000}"/>
    <dataValidation allowBlank="1" showInputMessage="1" showErrorMessage="1" prompt="ใส่ป้ายชื่อเพื่ออธิบายปุ่มแบบกำหนดเองที่ด้านซ้าย" sqref="M2:O2 Q2:S2" xr:uid="{4FD969CA-83D0-4822-A598-3EB62FC15A97}"/>
    <dataValidation allowBlank="1" showInputMessage="1" showErrorMessage="1" prompt="ใส่ตัวอักษรและกำหนดป้ายชื่อด้วยตนเองที่ด้านขวาเพื่อเพิ่มรายการคีย์อื่นๆ" sqref="L2 P2" xr:uid="{3F53B5B6-F67D-4E2C-87EB-F871FDE93F59}"/>
    <dataValidation allowBlank="1" showInputMessage="1" showErrorMessage="1" prompt="ตัวอักษร “S” ระบุถึงการขาดงานเนื่องจากลาป่วย" sqref="J2" xr:uid="{4625ECFE-F692-4540-95FE-1418BC108FEE}"/>
    <dataValidation allowBlank="1" showInputMessage="1" showErrorMessage="1" prompt="ตัวอักษร “P” ระบุถึงการขาดงานเนื่องจากลากิจ" sqref="G2" xr:uid="{4D106A6F-D701-44AA-AC22-90F41B4E4E92}"/>
    <dataValidation allowBlank="1" showInputMessage="1" showErrorMessage="1" prompt="ตัวอักษร “V” ระบุถึงการขาดงานเนื่องจากลาพักร้อน" sqref="C2" xr:uid="{418124FA-5919-4D32-9B5F-F966DDF7DD02}"/>
    <dataValidation allowBlank="1" showInputMessage="1" showErrorMessage="1" prompt="ชื่อเรื่องจะถูกอัปเดตโดยอัตโนมัติในเซลล์นี้ เมื่อต้องการปรับเปลี่ยนชื่อเรื่อง ให้อัปเดต B1 บนเวิร์กชีต มกราคม" sqref="B1" xr:uid="{00000000-0002-0000-0800-000008000000}"/>
    <dataValidation errorStyle="warning" allowBlank="1" showInputMessage="1" showErrorMessage="1" error="เลือกชื่อจากรายการ เลือกยกเลิก จากนั้นกด ALT+ลูกศรลง จากนั้นกด ENTER เพื่อเลือกชื่อ" prompt="ใส่ชื่อพนักงานในเวิร์กชีต ชื่อพนักงาน จากนั้นเลือกหนึ่งในชื่อเหล่านั้นจากรายการในคอลัมน์นี้ กด ALT+ลูกศรลง จากนั้นกด ENTER เพื่อเลือกชื่อ" sqref="B6" xr:uid="{00000000-0002-0000-0800-000009000000}"/>
    <dataValidation allowBlank="1" showInputMessage="1" showErrorMessage="1" prompt="ติดตามการขาดงานเดือนกันยายนในเวิร์กชีตนี้" sqref="A1" xr:uid="{00000000-0002-0000-0800-00000A000000}"/>
    <dataValidation allowBlank="1" showInputMessage="1" showErrorMessage="1" prompt="คำนวณจำนวนวันทั้งหมดที่พนักงานขาดงานในเดือนนี้โดยอัตโนมัติในคอลัมน์นี้" sqref="AH6" xr:uid="{00000000-0002-0000-0800-00000B000000}"/>
    <dataValidation allowBlank="1" showInputMessage="1" showErrorMessage="1" prompt="ปีจะถูกอัปเดตโดยอัตโนมัติโดยอ้างอิงจากปีที่ใส่ในเวิร์กชีต มกราคม" sqref="AH4" xr:uid="{00000000-0002-0000-0800-00000C000000}"/>
    <dataValidation allowBlank="1" showInputMessage="1" showErrorMessage="1" prompt="วันในสัปดาห์ในแถวนี้จะถูกอัปเดตโดยอัตโนมัติในแต่ละเดือนโดยอ้างอิงจากปีใน AH4 แต่ละวันในแต่ละเดือนเป็นคอลัมน์เพื่อบันทึกการขาดงานของพนักงานและประเภทการขาดงาน" sqref="C5" xr:uid="{00000000-0002-0000-0800-00000D000000}"/>
  </dataValidations>
  <printOptions horizontalCentered="1"/>
  <pageMargins left="0.25" right="0.25" top="0.75" bottom="0.75" header="0.3" footer="0.3"/>
  <pageSetup paperSize="9" scale="68" fitToHeight="0" orientation="landscape" vertic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A021984-06A1-41D9-90D2-8C16E885020B}">
            <x14:dataBar minLength="0" maxLength="100">
              <x14:cfvo type="autoMin"/>
              <x14:cfvo type="formula">
                <xm:f>DATEDIF(DATE(ปีปฏิทิน,2,1),DATE(ปีปฏิทิน,3,1),"d")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E000000}">
          <x14:formula1>
            <xm:f>ชื่อพนักงาน!$B$4:$B$8</xm:f>
          </x14:formula1>
          <xm:sqref>B7:B11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เวิร์กชีต</vt:lpstr>
      </vt:variant>
      <vt:variant>
        <vt:i4>13</vt:i4>
      </vt:variant>
      <vt:variant>
        <vt:lpstr>ช่วงที่มีชื่อ</vt:lpstr>
      </vt:variant>
      <vt:variant>
        <vt:i4>50</vt:i4>
      </vt:variant>
    </vt:vector>
  </HeadingPairs>
  <TitlesOfParts>
    <vt:vector size="63" baseType="lpstr">
      <vt:lpstr>มกราคม</vt:lpstr>
      <vt:lpstr>กุมภาพันธ์</vt:lpstr>
      <vt:lpstr>มีนาคม</vt:lpstr>
      <vt:lpstr>เมษายน</vt:lpstr>
      <vt:lpstr>พฤษภาคม</vt:lpstr>
      <vt:lpstr>มิถุนายน</vt:lpstr>
      <vt:lpstr>กรกฎาคม</vt:lpstr>
      <vt:lpstr>สิงหาคม</vt:lpstr>
      <vt:lpstr>กันยายน</vt:lpstr>
      <vt:lpstr>ตุลาคม</vt:lpstr>
      <vt:lpstr>พฤศจิกายน</vt:lpstr>
      <vt:lpstr>ธันวาคม</vt:lpstr>
      <vt:lpstr>ชื่อพนักงาน</vt:lpstr>
      <vt:lpstr>Employee_Absence_Title</vt:lpstr>
      <vt:lpstr>Key_name</vt:lpstr>
      <vt:lpstr>KeyCustom1</vt:lpstr>
      <vt:lpstr>KeyCustom1Label</vt:lpstr>
      <vt:lpstr>KeyCustom2</vt:lpstr>
      <vt:lpstr>KeyCustom2Label</vt:lpstr>
      <vt:lpstr>KeyPersonal</vt:lpstr>
      <vt:lpstr>KeyPersonalLabel</vt:lpstr>
      <vt:lpstr>KeySick</vt:lpstr>
      <vt:lpstr>KeySickLabel</vt:lpstr>
      <vt:lpstr>KeyVacation</vt:lpstr>
      <vt:lpstr>KeyVacationLabel</vt:lpstr>
      <vt:lpstr>กรกฎาคม!MonthName</vt:lpstr>
      <vt:lpstr>กันยายน!MonthName</vt:lpstr>
      <vt:lpstr>กุมภาพันธ์!MonthName</vt:lpstr>
      <vt:lpstr>ตุลาคม!MonthName</vt:lpstr>
      <vt:lpstr>ธันวาคม!MonthName</vt:lpstr>
      <vt:lpstr>พฤศจิกายน!MonthName</vt:lpstr>
      <vt:lpstr>พฤษภาคม!MonthName</vt:lpstr>
      <vt:lpstr>มกราคม!MonthName</vt:lpstr>
      <vt:lpstr>มิถุนายน!MonthName</vt:lpstr>
      <vt:lpstr>มีนาคม!MonthName</vt:lpstr>
      <vt:lpstr>เมษายน!MonthName</vt:lpstr>
      <vt:lpstr>สิงหาคม!MonthName</vt:lpstr>
      <vt:lpstr>กรกฎาคม!Print_Titles</vt:lpstr>
      <vt:lpstr>กันยายน!Print_Titles</vt:lpstr>
      <vt:lpstr>กุมภาพันธ์!Print_Titles</vt:lpstr>
      <vt:lpstr>ตุลาคม!Print_Titles</vt:lpstr>
      <vt:lpstr>ธันวาคม!Print_Titles</vt:lpstr>
      <vt:lpstr>พฤศจิกายน!Print_Titles</vt:lpstr>
      <vt:lpstr>พฤษภาคม!Print_Titles</vt:lpstr>
      <vt:lpstr>มกราคม!Print_Titles</vt:lpstr>
      <vt:lpstr>มิถุนายน!Print_Titles</vt:lpstr>
      <vt:lpstr>มีนาคม!Print_Titles</vt:lpstr>
      <vt:lpstr>เมษายน!Print_Titles</vt:lpstr>
      <vt:lpstr>สิงหาคม!Print_Titles</vt:lpstr>
      <vt:lpstr>ชื่อคอลัมน์13</vt:lpstr>
      <vt:lpstr>ชื่อเรื่อง1</vt:lpstr>
      <vt:lpstr>ชื่อเรื่อง10</vt:lpstr>
      <vt:lpstr>ชื่อเรื่อง11</vt:lpstr>
      <vt:lpstr>ชื่อเรื่อง12</vt:lpstr>
      <vt:lpstr>ชื่อเรื่อง2</vt:lpstr>
      <vt:lpstr>ชื่อเรื่อง3</vt:lpstr>
      <vt:lpstr>ชื่อเรื่อง4</vt:lpstr>
      <vt:lpstr>ชื่อเรื่อง5</vt:lpstr>
      <vt:lpstr>ชื่อเรื่อง6</vt:lpstr>
      <vt:lpstr>ชื่อเรื่อง7</vt:lpstr>
      <vt:lpstr>ชื่อเรื่อง8</vt:lpstr>
      <vt:lpstr>ชื่อเรื่อง9</vt:lpstr>
      <vt:lpstr>ปีปฏิทิน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2016-12-06T04:52:27Z</dcterms:created>
  <dcterms:modified xsi:type="dcterms:W3CDTF">2019-07-30T03:21:09Z</dcterms:modified>
</cp:coreProperties>
</file>