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10" yWindow="405" windowWidth="15000" windowHeight="9645"/>
  </bookViews>
  <sheets>
    <sheet name="현금 흐름표" sheetId="1" r:id="rId1"/>
  </sheets>
  <definedNames>
    <definedName name="FiscalYearStartDate">'현금 흐름표'!$B$4</definedName>
    <definedName name="_xlnm.Print_Area" localSheetId="0">'현금 흐름표'!$A$1:$K$24</definedName>
  </definedNames>
  <calcPr calcId="14562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 l="1"/>
  <c r="D48" i="1"/>
  <c r="E6" i="1" s="1"/>
  <c r="E13" i="1" s="1"/>
  <c r="E48" i="1" s="1"/>
  <c r="F6" i="1" s="1"/>
  <c r="F13" i="1" s="1"/>
  <c r="F48" i="1" s="1"/>
  <c r="G6" i="1" s="1"/>
  <c r="G13" i="1" s="1"/>
  <c r="G48" i="1" s="1"/>
  <c r="H6" i="1" s="1"/>
  <c r="H13" i="1" s="1"/>
  <c r="H48" i="1" s="1"/>
  <c r="I6" i="1" s="1"/>
  <c r="I13" i="1" s="1"/>
  <c r="I48" i="1" s="1"/>
  <c r="J6" i="1" s="1"/>
  <c r="J13" i="1" s="1"/>
  <c r="J48" i="1" s="1"/>
  <c r="K6" i="1" s="1"/>
  <c r="K13" i="1" s="1"/>
  <c r="K48" i="1" s="1"/>
  <c r="L6" i="1" s="1"/>
  <c r="L13" i="1" s="1"/>
  <c r="L48" i="1" s="1"/>
  <c r="M6" i="1" s="1"/>
  <c r="M13" i="1" s="1"/>
  <c r="M48" i="1" s="1"/>
  <c r="N6" i="1" s="1"/>
  <c r="N13" i="1" s="1"/>
  <c r="N48" i="1" s="1"/>
  <c r="O6" i="1" s="1"/>
  <c r="O13" i="1" s="1"/>
  <c r="O48" i="1" s="1"/>
  <c r="P6" i="1" s="1"/>
  <c r="R46" i="1"/>
  <c r="R45" i="1"/>
  <c r="R37" i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<sst xmlns="http://schemas.openxmlformats.org/spreadsheetml/2006/main" count="45" uniqueCount="42">
  <si>
    <r>
      <t xml:space="preserve">현금 </t>
    </r>
    <r>
      <rPr>
        <b/>
        <sz val="28"/>
        <color theme="1" tint="0.14999847407452621"/>
        <rFont val="Franklin Gothic Medium"/>
        <family val="2"/>
        <scheme val="major"/>
      </rPr>
      <t>흐름표</t>
    </r>
  </si>
  <si>
    <r>
      <rPr>
        <sz val="14"/>
        <color theme="1" tint="0.14975432599871821"/>
        <rFont val="Franklin Gothic Medium"/>
        <family val="3"/>
        <charset val="129"/>
        <scheme val="major"/>
      </rPr>
      <t>회계연도</t>
    </r>
    <r>
      <rPr>
        <sz val="14"/>
        <color theme="1" tint="0.14975432599871821"/>
        <rFont val="Franklin Gothic Medium"/>
        <family val="2"/>
        <scheme val="major"/>
      </rPr>
      <t xml:space="preserve"> </t>
    </r>
    <r>
      <rPr>
        <sz val="14"/>
        <color theme="1" tint="0.14975432599871821"/>
        <rFont val="Franklin Gothic Medium"/>
        <family val="3"/>
        <charset val="129"/>
        <scheme val="major"/>
      </rPr>
      <t>시작</t>
    </r>
    <r>
      <rPr>
        <sz val="14"/>
        <color theme="1" tint="0.14975432599871821"/>
        <rFont val="Franklin Gothic Medium"/>
        <family val="2"/>
        <scheme val="major"/>
      </rPr>
      <t>:</t>
    </r>
    <phoneticPr fontId="12" type="noConversion"/>
  </si>
  <si>
    <r>
      <rPr>
        <sz val="11"/>
        <color theme="1" tint="0.14975432599871821"/>
        <rFont val="Franklin Gothic Medium"/>
        <family val="3"/>
        <charset val="129"/>
        <scheme val="major"/>
      </rPr>
      <t>보유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>(</t>
    </r>
    <r>
      <rPr>
        <sz val="11"/>
        <color theme="1" tint="0.14975432599871821"/>
        <rFont val="Franklin Gothic Medium"/>
        <family val="3"/>
        <charset val="129"/>
        <scheme val="major"/>
      </rPr>
      <t>월초</t>
    </r>
    <r>
      <rPr>
        <sz val="11"/>
        <color theme="1" tint="0.14975432599871821"/>
        <rFont val="Franklin Gothic Medium"/>
        <family val="2"/>
        <scheme val="major"/>
      </rPr>
      <t>)</t>
    </r>
    <phoneticPr fontId="12" type="noConversion"/>
  </si>
  <si>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수입</t>
    </r>
    <phoneticPr fontId="12" type="noConversion"/>
  </si>
  <si>
    <t>현금 판매</t>
  </si>
  <si>
    <t>CR 계정 징수</t>
  </si>
  <si>
    <t>대출/기타 현금 유입</t>
  </si>
  <si>
    <t>합계</t>
    <phoneticPr fontId="12" type="noConversion"/>
  </si>
  <si>
    <t>합계</t>
    <phoneticPr fontId="12" type="noConversion"/>
  </si>
  <si>
    <r>
      <rPr>
        <sz val="11"/>
        <color theme="1" tint="0.14975432599871821"/>
        <rFont val="Franklin Gothic Medium"/>
        <family val="3"/>
        <charset val="129"/>
        <scheme val="major"/>
      </rPr>
      <t>총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보유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>(</t>
    </r>
    <r>
      <rPr>
        <sz val="11"/>
        <color theme="1" tint="0.14975432599871821"/>
        <rFont val="Franklin Gothic Medium"/>
        <family val="3"/>
        <charset val="129"/>
        <scheme val="major"/>
      </rPr>
      <t>출금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전</t>
    </r>
    <r>
      <rPr>
        <sz val="11"/>
        <color theme="1" tint="0.14975432599871821"/>
        <rFont val="Franklin Gothic Medium"/>
        <family val="2"/>
        <scheme val="major"/>
      </rPr>
      <t>)</t>
    </r>
    <phoneticPr fontId="12" type="noConversion"/>
  </si>
  <si>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지출</t>
    </r>
    <phoneticPr fontId="12" type="noConversion"/>
  </si>
  <si>
    <t>구매(상품화)</t>
  </si>
  <si>
    <t>구매(지정)</t>
  </si>
  <si>
    <t>총 급여(정확한 인출액)</t>
  </si>
  <si>
    <t>급료(세금 등)</t>
  </si>
  <si>
    <t>외부 서비스</t>
  </si>
  <si>
    <t>소모품(사무실/운영)</t>
  </si>
  <si>
    <t>수리 및 유지 관리</t>
  </si>
  <si>
    <t>광고</t>
  </si>
  <si>
    <t>교통, 운송 및 출장</t>
  </si>
  <si>
    <t>회계 및 법적 비용</t>
  </si>
  <si>
    <t>임대</t>
  </si>
  <si>
    <t>전화</t>
  </si>
  <si>
    <t>가스, 수도, 전기</t>
  </si>
  <si>
    <t>보험</t>
  </si>
  <si>
    <t>세금(부동산 취득세 등)</t>
  </si>
  <si>
    <t>이자</t>
  </si>
  <si>
    <t>기타 비용(지정)</t>
  </si>
  <si>
    <t>기타(지정)</t>
  </si>
  <si>
    <t>기타</t>
  </si>
  <si>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지출</t>
    </r>
    <r>
      <rPr>
        <sz val="11"/>
        <color theme="1" tint="0.14975432599871821"/>
        <rFont val="Franklin Gothic Medium"/>
        <family val="2"/>
        <scheme val="major"/>
      </rPr>
      <t>(</t>
    </r>
    <r>
      <rPr>
        <sz val="11"/>
        <color theme="1" tint="0.14975432599871821"/>
        <rFont val="Franklin Gothic Medium"/>
        <family val="3"/>
        <charset val="129"/>
        <scheme val="major"/>
      </rPr>
      <t>손익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외</t>
    </r>
    <r>
      <rPr>
        <sz val="11"/>
        <color theme="1" tint="0.14975432599871821"/>
        <rFont val="Franklin Gothic Medium"/>
        <family val="2"/>
        <scheme val="major"/>
      </rPr>
      <t>)</t>
    </r>
    <phoneticPr fontId="12" type="noConversion"/>
  </si>
  <si>
    <t>주요 융자 상환금</t>
  </si>
  <si>
    <t>자본 구매(지정)</t>
  </si>
  <si>
    <t>기타 시작 비용</t>
  </si>
  <si>
    <t>예비 및/또는 에스크로</t>
  </si>
  <si>
    <t>소유자 인출</t>
  </si>
  <si>
    <r>
      <rPr>
        <sz val="11"/>
        <color theme="1" tint="0.14975432599871821"/>
        <rFont val="Franklin Gothic Medium"/>
        <family val="3"/>
        <charset val="129"/>
        <scheme val="major"/>
      </rPr>
      <t>총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지출</t>
    </r>
    <phoneticPr fontId="12" type="noConversion"/>
  </si>
  <si>
    <r>
      <rPr>
        <sz val="11"/>
        <color theme="1" tint="0.14975432599871821"/>
        <rFont val="Franklin Gothic Medium"/>
        <family val="3"/>
        <charset val="129"/>
        <scheme val="major"/>
      </rPr>
      <t>현금</t>
    </r>
    <r>
      <rPr>
        <sz val="11"/>
        <color theme="1" tint="0.14975432599871821"/>
        <rFont val="Franklin Gothic Medium"/>
        <family val="2"/>
        <scheme val="major"/>
      </rPr>
      <t xml:space="preserve"> </t>
    </r>
    <r>
      <rPr>
        <sz val="11"/>
        <color theme="1" tint="0.14975432599871821"/>
        <rFont val="Franklin Gothic Medium"/>
        <family val="3"/>
        <charset val="129"/>
        <scheme val="major"/>
      </rPr>
      <t>현황</t>
    </r>
    <r>
      <rPr>
        <sz val="11"/>
        <color theme="1" tint="0.14975432599871821"/>
        <rFont val="Franklin Gothic Medium"/>
        <family val="2"/>
        <scheme val="major"/>
      </rPr>
      <t>(</t>
    </r>
    <r>
      <rPr>
        <sz val="11"/>
        <color theme="1" tint="0.14975432599871821"/>
        <rFont val="Franklin Gothic Medium"/>
        <family val="3"/>
        <charset val="129"/>
        <scheme val="major"/>
      </rPr>
      <t>월말</t>
    </r>
    <r>
      <rPr>
        <sz val="11"/>
        <color theme="1" tint="0.14975432599871821"/>
        <rFont val="Franklin Gothic Medium"/>
        <family val="2"/>
        <scheme val="major"/>
      </rPr>
      <t>)</t>
    </r>
    <phoneticPr fontId="12" type="noConversion"/>
  </si>
  <si>
    <t>합계</t>
    <phoneticPr fontId="12" type="noConversion"/>
  </si>
  <si>
    <t>항목 추산</t>
  </si>
  <si>
    <t>시작 (전)</t>
  </si>
  <si>
    <t>추산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</si>
</sst>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2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8"/>
      <name val="Franklin Gothic Medium"/>
      <family val="3"/>
      <charset val="129"/>
      <scheme val="minor"/>
    </font>
    <font>
      <sz val="14"/>
      <color theme="1" tint="0.14975432599871821"/>
      <name val="Franklin Gothic Medium"/>
      <family val="3"/>
      <charset val="129"/>
      <scheme val="major"/>
    </font>
    <font>
      <sz val="11"/>
      <color theme="1" tint="0.14975432599871821"/>
      <name val="Franklin Gothic Medium"/>
      <family val="3"/>
      <charset val="129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family val="3"/>
      <charset val="129"/>
      <scheme val="minor"/>
    </font>
    <font>
      <sz val="10"/>
      <color theme="1" tint="0.14996795556505021"/>
      <name val="Franklin Gothic Medium"/>
      <family val="3"/>
      <charset val="129"/>
      <scheme val="minor"/>
    </font>
    <font>
      <b/>
      <sz val="12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7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4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8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6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ill="1" applyBorder="1" applyAlignment="1">
      <alignment vertical="center"/>
    </xf>
    <xf numFmtId="166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8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8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7" fillId="0" borderId="2" xfId="6">
      <alignment horizontal="right" vertical="center" wrapText="1" indent="1"/>
    </xf>
    <xf numFmtId="166" fontId="8" fillId="3" borderId="11" xfId="2" applyNumberFormat="1" applyFill="1" applyBorder="1" applyAlignment="1">
      <alignment horizontal="left" vertical="center"/>
    </xf>
    <xf numFmtId="0" fontId="11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Alignment="1">
      <alignment horizontal="left" vertical="center" indent="1"/>
    </xf>
    <xf numFmtId="166" fontId="16" fillId="0" borderId="0" xfId="0" applyNumberFormat="1" applyFont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3" fontId="18" fillId="0" borderId="2" xfId="0" applyNumberFormat="1" applyFont="1" applyFill="1" applyBorder="1" applyAlignment="1">
      <alignment horizontal="right" vertical="center" wrapText="1" indent="1"/>
    </xf>
    <xf numFmtId="3" fontId="19" fillId="0" borderId="2" xfId="0" applyNumberFormat="1" applyFont="1" applyFill="1" applyBorder="1" applyAlignment="1">
      <alignment horizontal="right" wrapText="1" indent="1"/>
    </xf>
    <xf numFmtId="3" fontId="20" fillId="0" borderId="3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돋움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돋움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6" formatCode="0_);\-0_)"/>
    </dxf>
    <dxf>
      <numFmt numFmtId="166" formatCode="0_);\-0_)"/>
    </dxf>
    <dxf>
      <numFmt numFmtId="166" formatCode="0_);\-0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TotalCell" dxfId="113"/>
      <tableStyleElement type="lastTotalCell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현금_수입" displayName="현금_수입" ref="B9:S12" headerRowCount="0" totalsRowCount="1">
  <tableColumns count="18">
    <tableColumn id="1" name="Items" totalsRowLabel="합계" headerRowDxfId="108" dataDxfId="107" totalsRowDxfId="106"/>
    <tableColumn id="17" name="Column2" headerRowDxfId="105" dataDxfId="104" totalsRowDxfId="103"/>
    <tableColumn id="2" name="Period 0" totalsRowFunction="sum" dataDxfId="102" totalsRowDxfId="101"/>
    <tableColumn id="3" name="Period 1" totalsRowFunction="sum" dataDxfId="100" totalsRowDxfId="99"/>
    <tableColumn id="4" name="Period 2" totalsRowFunction="sum" dataDxfId="98" totalsRowDxfId="97"/>
    <tableColumn id="5" name="Period 3" totalsRowFunction="sum" dataDxfId="96" totalsRowDxfId="95"/>
    <tableColumn id="6" name="Period 4" totalsRowFunction="sum" dataDxfId="94" totalsRowDxfId="93"/>
    <tableColumn id="7" name="Period 5" totalsRowFunction="sum" dataDxfId="92" totalsRowDxfId="91"/>
    <tableColumn id="8" name="Period 6" totalsRowFunction="sum" dataDxfId="90" totalsRowDxfId="89"/>
    <tableColumn id="9" name="Period 7" totalsRowFunction="sum" dataDxfId="88" totalsRowDxfId="87"/>
    <tableColumn id="10" name="Period 8" totalsRowFunction="sum" dataDxfId="86" totalsRowDxfId="85"/>
    <tableColumn id="11" name="Period 9" totalsRowFunction="sum" dataDxfId="84" totalsRowDxfId="83"/>
    <tableColumn id="12" name="Period 10" totalsRowFunction="sum" dataDxfId="82" totalsRowDxfId="81"/>
    <tableColumn id="13" name="Period 11" totalsRowFunction="sum" dataDxfId="80" totalsRowDxfId="79"/>
    <tableColumn id="14" name="Period 12" totalsRowFunction="sum" dataDxfId="78" totalsRowDxfId="77"/>
    <tableColumn id="18" name="Column3" dataDxfId="76" totalsRowDxfId="75"/>
    <tableColumn id="15" name="Total" totalsRowFunction="sum" dataDxfId="74" totalsRowDxfId="73">
      <calculatedColumnFormula>SUM(현금_수입[[#This Row],[Period 0]:[Period 12]])</calculatedColumnFormula>
    </tableColumn>
    <tableColumn id="16" name="Column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현금 수입" altTextSummary="회계연도의 첫 달부터 12개월 동안의 현금 수입을 계산된 총합계와 함께 표시합니다."/>
    </ext>
  </extLst>
</table>
</file>

<file path=xl/tables/table2.xml><?xml version="1.0" encoding="utf-8"?>
<table xmlns="http://schemas.openxmlformats.org/spreadsheetml/2006/main" id="2" name="현금_지출" displayName="현금_지출" ref="B16:S37" headerRowCount="0" totalsRowCount="1">
  <tableColumns count="18">
    <tableColumn id="1" name="Items" totalsRowLabel="합계" headerRowDxfId="72" dataDxfId="71" totalsRowDxfId="70"/>
    <tableColumn id="17" name="Column2" headerRowDxfId="69" dataDxfId="68" totalsRowDxfId="67"/>
    <tableColumn id="2" name="Period 0" totalsRowFunction="sum" dataDxfId="66" totalsRowDxfId="65"/>
    <tableColumn id="3" name="Period 1" totalsRowFunction="sum" dataDxfId="64" totalsRowDxfId="63"/>
    <tableColumn id="4" name="Period 2" totalsRowFunction="sum" dataDxfId="62" totalsRowDxfId="61"/>
    <tableColumn id="5" name="Period 3" totalsRowFunction="sum" dataDxfId="60" totalsRowDxfId="59"/>
    <tableColumn id="6" name="Period 4" totalsRowFunction="sum" dataDxfId="58" totalsRowDxfId="57"/>
    <tableColumn id="7" name="Period 5" totalsRowFunction="sum" dataDxfId="56" totalsRowDxfId="55"/>
    <tableColumn id="8" name="Period 6" totalsRowFunction="sum" dataDxfId="54" totalsRowDxfId="53"/>
    <tableColumn id="9" name="Period 7" totalsRowFunction="sum" dataDxfId="52" totalsRowDxfId="51"/>
    <tableColumn id="10" name="Period 8" totalsRowFunction="sum" dataDxfId="50" totalsRowDxfId="49"/>
    <tableColumn id="11" name="Period 9" totalsRowFunction="sum" dataDxfId="48" totalsRowDxfId="47"/>
    <tableColumn id="12" name="Period 10" totalsRowFunction="sum" dataDxfId="46" totalsRowDxfId="45"/>
    <tableColumn id="13" name="Period 11" totalsRowFunction="sum" dataDxfId="44" totalsRowDxfId="43"/>
    <tableColumn id="14" name="Period 12" totalsRowFunction="sum" dataDxfId="42" totalsRowDxfId="41"/>
    <tableColumn id="18" name="Column3" dataDxfId="40" totalsRowDxfId="39"/>
    <tableColumn id="15" name="Total" totalsRowFunction="sum" dataDxfId="38" totalsRowDxfId="37">
      <calculatedColumnFormula>SUM(현금_지출[[#This Row],[Period 0]:[Period 12]])</calculatedColumnFormula>
    </tableColumn>
    <tableColumn id="16" name="Column1" totalsRowDxfId="36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현금 지출" altTextSummary="회계연도의 첫 달부터 12개월 동안의 현금 지출을 계산된 총합계와 함께 표시합니다."/>
    </ext>
  </extLst>
</table>
</file>

<file path=xl/tables/table3.xml><?xml version="1.0" encoding="utf-8"?>
<table xmlns="http://schemas.openxmlformats.org/spreadsheetml/2006/main" id="3" name="현금_지출2" displayName="현금_지출2" ref="B40:S45" headerRowCount="0" totalsRowCount="1">
  <tableColumns count="18">
    <tableColumn id="1" name="Items" totalsRowLabel="합계" headerRowDxfId="35" dataDxfId="34" totalsRowDxfId="33"/>
    <tableColumn id="17" name="Column2" headerRowDxfId="32" dataDxfId="31" totalsRowDxfId="30"/>
    <tableColumn id="2" name="Period 0" totalsRowFunction="sum" dataDxfId="29" totalsRowDxfId="28"/>
    <tableColumn id="3" name="Period 1" totalsRowFunction="sum" dataDxfId="27" totalsRowDxfId="26"/>
    <tableColumn id="4" name="Period 2" totalsRowFunction="sum" dataDxfId="25" totalsRowDxfId="24"/>
    <tableColumn id="5" name="Period 3" totalsRowFunction="sum" dataDxfId="23" totalsRowDxfId="22"/>
    <tableColumn id="6" name="Period 4" totalsRowFunction="sum" dataDxfId="21" totalsRowDxfId="20"/>
    <tableColumn id="7" name="Period 5" totalsRowFunction="sum" dataDxfId="19" totalsRowDxfId="18"/>
    <tableColumn id="8" name="Period 6" totalsRowFunction="sum" dataDxfId="17" totalsRowDxfId="16"/>
    <tableColumn id="9" name="Period 7" totalsRowFunction="sum" dataDxfId="15" totalsRowDxfId="14"/>
    <tableColumn id="10" name="Period 8" totalsRowFunction="sum" dataDxfId="13" totalsRowDxfId="12"/>
    <tableColumn id="11" name="Period 9" totalsRowFunction="sum" dataDxfId="11" totalsRowDxfId="10"/>
    <tableColumn id="12" name="Period 10" totalsRowFunction="sum" dataDxfId="9" totalsRowDxfId="8"/>
    <tableColumn id="13" name="Period 11" totalsRowFunction="sum" dataDxfId="7" totalsRowDxfId="6"/>
    <tableColumn id="14" name="Period 12" totalsRowFunction="sum" dataDxfId="5" totalsRowDxfId="4"/>
    <tableColumn id="18" name="Column3" dataDxfId="3" totalsRowDxfId="2"/>
    <tableColumn id="15" name="Total" totalsRowFunction="sum" totalsRowDxfId="1">
      <calculatedColumnFormula>SUM(현금_지출2[[#This Row],[Period 0]:[Period 12]])</calculatedColumnFormula>
    </tableColumn>
    <tableColumn id="16" name="Column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현금 지출(손익 외)" altTextSummary="회계연도 첫 달부터 12개월 동안의 (손익 외) 현금 지출을 총합계와 함께 표시합니다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/>
  <cols>
    <col min="1" max="1" width="2.25" customWidth="1"/>
    <col min="2" max="2" width="32.625" customWidth="1"/>
    <col min="3" max="3" width="2.875" customWidth="1"/>
    <col min="4" max="4" width="9.375" customWidth="1"/>
    <col min="5" max="16" width="9.625" customWidth="1"/>
    <col min="17" max="17" width="2.875" customWidth="1"/>
  </cols>
  <sheetData>
    <row r="1" spans="2:19" ht="42" customHeight="1" thickBot="1">
      <c r="B1" s="7" t="s">
        <v>0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>
      <c r="Q2" s="32"/>
    </row>
    <row r="3" spans="2:19" ht="25.5" customHeight="1">
      <c r="B3" s="44" t="s">
        <v>1</v>
      </c>
      <c r="D3" s="52" t="s">
        <v>40</v>
      </c>
      <c r="E3" s="42" t="str">
        <f>UPPER(TEXT(FiscalYearStartDate,"m 월"))</f>
        <v>1 월</v>
      </c>
      <c r="F3" s="42" t="str">
        <f>UPPER(TEXT(EOMONTH(FiscalYearStartDate,1),"m 월"))</f>
        <v>2 월</v>
      </c>
      <c r="G3" s="42" t="str">
        <f>UPPER(TEXT(EOMONTH(FiscalYearStartDate,2),"m 월"))</f>
        <v>3 월</v>
      </c>
      <c r="H3" s="42" t="str">
        <f>UPPER(TEXT(EOMONTH(FiscalYearStartDate,3),"m 월"))</f>
        <v>4 월</v>
      </c>
      <c r="I3" s="42" t="str">
        <f>UPPER(TEXT(EOMONTH(FiscalYearStartDate,4),"m 월"))</f>
        <v>5 월</v>
      </c>
      <c r="J3" s="42" t="str">
        <f>UPPER(TEXT(EOMONTH(FiscalYearStartDate,5),"m 월"))</f>
        <v>6 월</v>
      </c>
      <c r="K3" s="42" t="str">
        <f>UPPER(TEXT(EOMONTH(FiscalYearStartDate,6),"m 월"))</f>
        <v>7 월</v>
      </c>
      <c r="L3" s="42" t="str">
        <f>UPPER(TEXT(EOMONTH(FiscalYearStartDate,7),"m 월"))</f>
        <v>8 월</v>
      </c>
      <c r="M3" s="42" t="str">
        <f>UPPER(TEXT(EOMONTH(FiscalYearStartDate,8),"m 월"))</f>
        <v>9 월</v>
      </c>
      <c r="N3" s="42" t="str">
        <f>UPPER(TEXT(EOMONTH(FiscalYearStartDate,9),"m 월"))</f>
        <v>10 월</v>
      </c>
      <c r="O3" s="42" t="str">
        <f>UPPER(TEXT(EOMONTH(FiscalYearStartDate,10),"m 월"))</f>
        <v>11 월</v>
      </c>
      <c r="P3" s="42" t="str">
        <f>UPPER(TEXT(EOMONTH(FiscalYearStartDate,11),"m 월"))</f>
        <v>12 월</v>
      </c>
      <c r="Q3" s="22"/>
      <c r="R3" s="51" t="s">
        <v>38</v>
      </c>
      <c r="S3" s="2"/>
    </row>
    <row r="4" spans="2:19" ht="12.75" customHeight="1" thickBot="1">
      <c r="B4" s="3">
        <v>40913</v>
      </c>
      <c r="D4" s="53" t="s">
        <v>41</v>
      </c>
      <c r="E4" s="38">
        <f>FiscalYearStartDate</f>
        <v>40913</v>
      </c>
      <c r="F4" s="38">
        <f t="shared" ref="F4" si="0">EOMONTH(E4,0)+DAY(FiscalYearStartDate)</f>
        <v>40944</v>
      </c>
      <c r="G4" s="38">
        <f t="shared" ref="G4" si="1">EOMONTH(F4,0)+DAY(FiscalYearStartDate)</f>
        <v>40973</v>
      </c>
      <c r="H4" s="38">
        <f t="shared" ref="H4" si="2">EOMONTH(G4,0)+DAY(FiscalYearStartDate)</f>
        <v>41004</v>
      </c>
      <c r="I4" s="38">
        <f t="shared" ref="I4" si="3">EOMONTH(H4,0)+DAY(FiscalYearStartDate)</f>
        <v>41034</v>
      </c>
      <c r="J4" s="38">
        <f t="shared" ref="J4" si="4">EOMONTH(I4,0)+DAY(FiscalYearStartDate)</f>
        <v>41065</v>
      </c>
      <c r="K4" s="38">
        <f t="shared" ref="K4" si="5">EOMONTH(J4,0)+DAY(FiscalYearStartDate)</f>
        <v>41095</v>
      </c>
      <c r="L4" s="38">
        <f t="shared" ref="L4" si="6">EOMONTH(K4,0)+DAY(FiscalYearStartDate)</f>
        <v>41126</v>
      </c>
      <c r="M4" s="38">
        <f t="shared" ref="M4" si="7">EOMONTH(L4,0)+DAY(FiscalYearStartDate)</f>
        <v>41157</v>
      </c>
      <c r="N4" s="38">
        <f t="shared" ref="N4" si="8">EOMONTH(M4,0)+DAY(FiscalYearStartDate)</f>
        <v>41187</v>
      </c>
      <c r="O4" s="38">
        <f t="shared" ref="O4" si="9">EOMONTH(N4,0)+DAY(FiscalYearStartDate)</f>
        <v>41218</v>
      </c>
      <c r="P4" s="38">
        <f t="shared" ref="P4" si="10">EOMONTH(O4,0)+DAY(FiscalYearStartDate)</f>
        <v>41248</v>
      </c>
      <c r="Q4" s="23"/>
      <c r="R4" s="52" t="s">
        <v>39</v>
      </c>
      <c r="S4" s="2"/>
    </row>
    <row r="5" spans="2:19" ht="17.25" customHeight="1" thickTop="1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4"/>
      <c r="R5" s="6"/>
      <c r="S5" s="2"/>
    </row>
    <row r="6" spans="2:19" ht="17.25" customHeight="1" thickBot="1">
      <c r="B6" s="40" t="s">
        <v>2</v>
      </c>
      <c r="D6" s="41">
        <v>10000</v>
      </c>
      <c r="E6" s="41">
        <f>D48</f>
        <v>10000</v>
      </c>
      <c r="F6" s="41">
        <f t="shared" ref="F6:P6" si="11">E48</f>
        <v>-12500</v>
      </c>
      <c r="G6" s="41">
        <f t="shared" si="11"/>
        <v>4500</v>
      </c>
      <c r="H6" s="41">
        <f t="shared" si="11"/>
        <v>-100</v>
      </c>
      <c r="I6" s="41">
        <f t="shared" si="11"/>
        <v>22400</v>
      </c>
      <c r="J6" s="41">
        <f t="shared" si="11"/>
        <v>26900</v>
      </c>
      <c r="K6" s="41">
        <f t="shared" si="11"/>
        <v>26900</v>
      </c>
      <c r="L6" s="41">
        <f t="shared" si="11"/>
        <v>26900</v>
      </c>
      <c r="M6" s="41">
        <f t="shared" si="11"/>
        <v>26900</v>
      </c>
      <c r="N6" s="41">
        <f t="shared" si="11"/>
        <v>26900</v>
      </c>
      <c r="O6" s="41">
        <f t="shared" si="11"/>
        <v>26900</v>
      </c>
      <c r="P6" s="41">
        <f t="shared" si="11"/>
        <v>26900</v>
      </c>
      <c r="Q6" s="25"/>
      <c r="R6" s="41">
        <f>P6</f>
        <v>26900</v>
      </c>
      <c r="S6" s="37"/>
    </row>
    <row r="7" spans="2:19" ht="17.25" customHeight="1">
      <c r="Q7" s="20"/>
    </row>
    <row r="8" spans="2:19" ht="17.25" customHeight="1">
      <c r="B8" s="33" t="s">
        <v>3</v>
      </c>
      <c r="Q8" s="20"/>
    </row>
    <row r="9" spans="2:19" ht="17.25" customHeight="1">
      <c r="B9" s="47" t="s">
        <v>4</v>
      </c>
      <c r="C9" s="20"/>
      <c r="D9" s="45"/>
      <c r="E9" s="45">
        <v>12500</v>
      </c>
      <c r="F9" s="45">
        <v>12000</v>
      </c>
      <c r="G9" s="45">
        <v>13000</v>
      </c>
      <c r="H9" s="45">
        <v>10000</v>
      </c>
      <c r="I9" s="45"/>
      <c r="J9" s="45"/>
      <c r="K9" s="45"/>
      <c r="L9" s="45"/>
      <c r="M9" s="45"/>
      <c r="N9" s="45"/>
      <c r="O9" s="45"/>
      <c r="P9" s="45"/>
      <c r="Q9" s="26"/>
      <c r="R9" s="10">
        <f>SUM(현금_수입[[#This Row],[Period 0]:[Period 12]])</f>
        <v>47500</v>
      </c>
    </row>
    <row r="10" spans="2:19" ht="17.25" customHeight="1">
      <c r="B10" s="47" t="s">
        <v>5</v>
      </c>
      <c r="C10" s="20"/>
      <c r="D10" s="45"/>
      <c r="E10" s="45"/>
      <c r="F10" s="45"/>
      <c r="G10" s="45"/>
      <c r="H10" s="45">
        <v>7500</v>
      </c>
      <c r="I10" s="45">
        <v>4500</v>
      </c>
      <c r="J10" s="45"/>
      <c r="K10" s="45"/>
      <c r="L10" s="45"/>
      <c r="M10" s="45"/>
      <c r="N10" s="45"/>
      <c r="O10" s="45"/>
      <c r="P10" s="45"/>
      <c r="Q10" s="26"/>
      <c r="R10" s="10">
        <f>SUM(현금_수입[[#This Row],[Period 0]:[Period 12]])</f>
        <v>12000</v>
      </c>
    </row>
    <row r="11" spans="2:19" ht="17.25" customHeight="1">
      <c r="B11" s="47" t="s">
        <v>6</v>
      </c>
      <c r="C11" s="21"/>
      <c r="D11" s="45"/>
      <c r="E11" s="45">
        <v>5000</v>
      </c>
      <c r="F11" s="45">
        <v>5000</v>
      </c>
      <c r="G11" s="45">
        <v>5000</v>
      </c>
      <c r="H11" s="45">
        <v>5000</v>
      </c>
      <c r="I11" s="45"/>
      <c r="J11" s="45"/>
      <c r="K11" s="45"/>
      <c r="L11" s="45"/>
      <c r="M11" s="45"/>
      <c r="N11" s="45"/>
      <c r="O11" s="45"/>
      <c r="P11" s="45"/>
      <c r="Q11" s="26"/>
      <c r="R11" s="10">
        <f>SUM(현금_수입[[#This Row],[Period 0]:[Period 12]])</f>
        <v>20000</v>
      </c>
    </row>
    <row r="12" spans="2:19" ht="17.25" customHeight="1" thickBot="1">
      <c r="B12" s="48" t="s">
        <v>7</v>
      </c>
      <c r="C12" s="19"/>
      <c r="D12" s="10">
        <f>SUBTOTAL(109,현금_수입[Period 0])</f>
        <v>0</v>
      </c>
      <c r="E12" s="10">
        <f>SUBTOTAL(109,현금_수입[Period 1])</f>
        <v>17500</v>
      </c>
      <c r="F12" s="10">
        <f>SUBTOTAL(109,현금_수입[Period 2])</f>
        <v>17000</v>
      </c>
      <c r="G12" s="10">
        <f>SUBTOTAL(109,현금_수입[Period 3])</f>
        <v>18000</v>
      </c>
      <c r="H12" s="10">
        <f>SUBTOTAL(109,현금_수입[Period 4])</f>
        <v>22500</v>
      </c>
      <c r="I12" s="10">
        <f>SUBTOTAL(109,현금_수입[Period 5])</f>
        <v>4500</v>
      </c>
      <c r="J12" s="10">
        <f>SUBTOTAL(109,현금_수입[Period 6])</f>
        <v>0</v>
      </c>
      <c r="K12" s="10">
        <f>SUBTOTAL(109,현금_수입[Period 7])</f>
        <v>0</v>
      </c>
      <c r="L12" s="10">
        <f>SUBTOTAL(109,현금_수입[Period 8])</f>
        <v>0</v>
      </c>
      <c r="M12" s="10">
        <f>SUBTOTAL(109,현금_수입[Period 9])</f>
        <v>0</v>
      </c>
      <c r="N12" s="10">
        <f>SUBTOTAL(109,현금_수입[Period 10])</f>
        <v>0</v>
      </c>
      <c r="O12" s="10">
        <f>SUBTOTAL(109,현금_수입[Period 11])</f>
        <v>0</v>
      </c>
      <c r="P12" s="10">
        <f>SUBTOTAL(109,현금_수입[Period 12])</f>
        <v>0</v>
      </c>
      <c r="Q12" s="26"/>
      <c r="R12" s="10">
        <f>SUBTOTAL(109,현금_수입[Total])</f>
        <v>79500</v>
      </c>
    </row>
    <row r="13" spans="2:19" ht="17.25" customHeight="1" thickTop="1" thickBot="1">
      <c r="B13" s="43" t="s">
        <v>9</v>
      </c>
      <c r="C13" s="18"/>
      <c r="D13" s="35">
        <f>D6+SUM(현금_수입[Period 0])</f>
        <v>10000</v>
      </c>
      <c r="E13" s="35">
        <f>E6+SUM(현금_수입[Period 1])</f>
        <v>27500</v>
      </c>
      <c r="F13" s="35">
        <f>F6+SUM(현금_수입[Period 2])</f>
        <v>4500</v>
      </c>
      <c r="G13" s="35">
        <f>G6+SUM(현금_수입[Period 3])</f>
        <v>22500</v>
      </c>
      <c r="H13" s="35">
        <f>H6+SUM(현금_수입[Period 4])</f>
        <v>22400</v>
      </c>
      <c r="I13" s="35">
        <f>I6+SUM(현금_수입[Period 5])</f>
        <v>26900</v>
      </c>
      <c r="J13" s="35">
        <f>J6+SUM(현금_수입[Period 6])</f>
        <v>26900</v>
      </c>
      <c r="K13" s="35">
        <f>K6+SUM(현금_수입[Period 7])</f>
        <v>26900</v>
      </c>
      <c r="L13" s="35">
        <f>L6+SUM(현금_수입[Period 8])</f>
        <v>26900</v>
      </c>
      <c r="M13" s="35">
        <f>M6+SUM(현금_수입[Period 9])</f>
        <v>26900</v>
      </c>
      <c r="N13" s="35">
        <f>N6+SUM(현금_수입[Period 10])</f>
        <v>26900</v>
      </c>
      <c r="O13" s="35">
        <f>O6+SUM(현금_수입[Period 11])</f>
        <v>26900</v>
      </c>
      <c r="P13" s="35">
        <f>P6+SUM(현금_수입[Period 12])</f>
        <v>26900</v>
      </c>
      <c r="Q13" s="27"/>
      <c r="R13" s="35">
        <f>R6+SUM(현금_수입[Total])</f>
        <v>106400</v>
      </c>
      <c r="S13" s="36"/>
    </row>
    <row r="14" spans="2:19" ht="17.2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>
      <c r="B15" s="11" t="s">
        <v>10</v>
      </c>
      <c r="C15" s="20"/>
      <c r="Q15" s="20"/>
    </row>
    <row r="16" spans="2:19" ht="17.25" customHeight="1">
      <c r="B16" s="50" t="s">
        <v>11</v>
      </c>
      <c r="C16" s="20"/>
      <c r="D16" s="46"/>
      <c r="E16" s="46">
        <v>40000</v>
      </c>
      <c r="F16" s="46"/>
      <c r="G16" s="46">
        <v>22600</v>
      </c>
      <c r="H16" s="46"/>
      <c r="I16" s="46"/>
      <c r="J16" s="46"/>
      <c r="K16" s="46"/>
      <c r="L16" s="46"/>
      <c r="M16" s="46"/>
      <c r="N16" s="46"/>
      <c r="O16" s="46"/>
      <c r="P16" s="46"/>
      <c r="Q16" s="28"/>
      <c r="R16" s="12">
        <f>SUM(현금_지출[[#This Row],[Period 0]:[Period 12]])</f>
        <v>62600</v>
      </c>
      <c r="S16" s="1"/>
    </row>
    <row r="17" spans="2:19" ht="17.25" customHeight="1">
      <c r="B17" s="50" t="s">
        <v>12</v>
      </c>
      <c r="C17" s="20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28"/>
      <c r="R17" s="12">
        <f>SUM(현금_지출[[#This Row],[Period 0]:[Period 12]])</f>
        <v>0</v>
      </c>
      <c r="S17" s="1"/>
    </row>
    <row r="18" spans="2:19" ht="17.25" customHeight="1">
      <c r="B18" s="50" t="s">
        <v>12</v>
      </c>
      <c r="C18" s="20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28"/>
      <c r="R18" s="12">
        <f>SUM(현금_지출[[#This Row],[Period 0]:[Period 12]])</f>
        <v>0</v>
      </c>
      <c r="S18" s="1"/>
    </row>
    <row r="19" spans="2:19" ht="17.25" customHeight="1">
      <c r="B19" s="50" t="s">
        <v>13</v>
      </c>
      <c r="C19" s="20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28"/>
      <c r="R19" s="12">
        <f>SUM(현금_지출[[#This Row],[Period 0]:[Period 12]])</f>
        <v>0</v>
      </c>
      <c r="S19" s="1"/>
    </row>
    <row r="20" spans="2:19" ht="17.25" customHeight="1">
      <c r="B20" s="50" t="s">
        <v>14</v>
      </c>
      <c r="C20" s="2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8"/>
      <c r="R20" s="12">
        <f>SUM(현금_지출[[#This Row],[Period 0]:[Period 12]])</f>
        <v>0</v>
      </c>
      <c r="S20" s="1"/>
    </row>
    <row r="21" spans="2:19" ht="17.25" customHeight="1">
      <c r="B21" s="50" t="s">
        <v>15</v>
      </c>
      <c r="C21" s="2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8"/>
      <c r="R21" s="12">
        <f>SUM(현금_지출[[#This Row],[Period 0]:[Period 12]])</f>
        <v>0</v>
      </c>
      <c r="S21" s="1"/>
    </row>
    <row r="22" spans="2:19" ht="17.25" customHeight="1">
      <c r="B22" s="50" t="s">
        <v>16</v>
      </c>
      <c r="C22" s="2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8"/>
      <c r="R22" s="12">
        <f>SUM(현금_지출[[#This Row],[Period 0]:[Period 12]])</f>
        <v>0</v>
      </c>
      <c r="S22" s="1"/>
    </row>
    <row r="23" spans="2:19" ht="17.25" customHeight="1">
      <c r="B23" s="50" t="s">
        <v>17</v>
      </c>
      <c r="C23" s="2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8"/>
      <c r="R23" s="12">
        <f>SUM(현금_지출[[#This Row],[Period 0]:[Period 12]])</f>
        <v>0</v>
      </c>
      <c r="S23" s="1"/>
    </row>
    <row r="24" spans="2:19" ht="17.25" customHeight="1">
      <c r="B24" s="50" t="s">
        <v>18</v>
      </c>
      <c r="C24" s="20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28"/>
      <c r="R24" s="12">
        <f>SUM(현금_지출[[#This Row],[Period 0]:[Period 12]])</f>
        <v>0</v>
      </c>
      <c r="S24" s="1"/>
    </row>
    <row r="25" spans="2:19" ht="17.25" customHeight="1">
      <c r="B25" s="50" t="s">
        <v>19</v>
      </c>
      <c r="C25" s="20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28"/>
      <c r="R25" s="12">
        <f>SUM(현금_지출[[#This Row],[Period 0]:[Period 12]])</f>
        <v>0</v>
      </c>
      <c r="S25" s="1"/>
    </row>
    <row r="26" spans="2:19" ht="17.25" customHeight="1">
      <c r="B26" s="50" t="s">
        <v>20</v>
      </c>
      <c r="C26" s="2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28"/>
      <c r="R26" s="12">
        <f>SUM(현금_지출[[#This Row],[Period 0]:[Period 12]])</f>
        <v>0</v>
      </c>
      <c r="S26" s="1"/>
    </row>
    <row r="27" spans="2:19" ht="17.25" customHeight="1">
      <c r="B27" s="50" t="s">
        <v>21</v>
      </c>
      <c r="C27" s="2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8"/>
      <c r="R27" s="12">
        <f>SUM(현금_지출[[#This Row],[Period 0]:[Period 12]])</f>
        <v>0</v>
      </c>
      <c r="S27" s="1"/>
    </row>
    <row r="28" spans="2:19" ht="17.25" customHeight="1">
      <c r="B28" s="50" t="s">
        <v>22</v>
      </c>
      <c r="C28" s="20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8"/>
      <c r="R28" s="12">
        <f>SUM(현금_지출[[#This Row],[Period 0]:[Period 12]])</f>
        <v>0</v>
      </c>
      <c r="S28" s="1"/>
    </row>
    <row r="29" spans="2:19" ht="17.25" customHeight="1">
      <c r="B29" s="50" t="s">
        <v>23</v>
      </c>
      <c r="C29" s="20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28"/>
      <c r="R29" s="12">
        <f>SUM(현금_지출[[#This Row],[Period 0]:[Period 12]])</f>
        <v>0</v>
      </c>
      <c r="S29" s="1"/>
    </row>
    <row r="30" spans="2:19" ht="17.25" customHeight="1">
      <c r="B30" s="50" t="s">
        <v>24</v>
      </c>
      <c r="C30" s="20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8"/>
      <c r="R30" s="12">
        <f>SUM(현금_지출[[#This Row],[Period 0]:[Period 12]])</f>
        <v>0</v>
      </c>
      <c r="S30" s="1"/>
    </row>
    <row r="31" spans="2:19" ht="17.25" customHeight="1">
      <c r="B31" s="50" t="s">
        <v>25</v>
      </c>
      <c r="C31" s="20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8"/>
      <c r="R31" s="12">
        <f>SUM(현금_지출[[#This Row],[Period 0]:[Period 12]])</f>
        <v>0</v>
      </c>
      <c r="S31" s="1"/>
    </row>
    <row r="32" spans="2:19" ht="17.25" customHeight="1">
      <c r="B32" s="50" t="s">
        <v>26</v>
      </c>
      <c r="C32" s="2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28"/>
      <c r="R32" s="12">
        <f>SUM(현금_지출[[#This Row],[Period 0]:[Period 12]])</f>
        <v>0</v>
      </c>
      <c r="S32" s="1"/>
    </row>
    <row r="33" spans="2:19" ht="17.25" customHeight="1">
      <c r="B33" s="50" t="s">
        <v>27</v>
      </c>
      <c r="C33" s="2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28"/>
      <c r="R33" s="12">
        <f>SUM(현금_지출[[#This Row],[Period 0]:[Period 12]])</f>
        <v>0</v>
      </c>
      <c r="S33" s="1"/>
    </row>
    <row r="34" spans="2:19" ht="17.25" customHeight="1">
      <c r="B34" s="50" t="s">
        <v>28</v>
      </c>
      <c r="C34" s="2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8"/>
      <c r="R34" s="12">
        <f>SUM(현금_지출[[#This Row],[Period 0]:[Period 12]])</f>
        <v>0</v>
      </c>
      <c r="S34" s="1"/>
    </row>
    <row r="35" spans="2:19" ht="17.25" customHeight="1">
      <c r="B35" s="50" t="s">
        <v>28</v>
      </c>
      <c r="C35" s="2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28"/>
      <c r="R35" s="12">
        <f>SUM(현금_지출[[#This Row],[Period 0]:[Period 12]])</f>
        <v>0</v>
      </c>
      <c r="S35" s="1"/>
    </row>
    <row r="36" spans="2:19" ht="17.25" customHeight="1">
      <c r="B36" s="50" t="s">
        <v>29</v>
      </c>
      <c r="C36" s="2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28"/>
      <c r="R36" s="12">
        <f>SUM(현금_지출[[#This Row],[Period 0]:[Period 12]])</f>
        <v>0</v>
      </c>
      <c r="S36" s="1"/>
    </row>
    <row r="37" spans="2:19" ht="17.25" customHeight="1">
      <c r="B37" s="49" t="s">
        <v>7</v>
      </c>
      <c r="C37" s="20"/>
      <c r="D37" s="17">
        <f>SUBTOTAL(109,현금_지출[Period 0])</f>
        <v>0</v>
      </c>
      <c r="E37" s="17">
        <f>SUBTOTAL(109,현금_지출[Period 1])</f>
        <v>40000</v>
      </c>
      <c r="F37" s="17">
        <f>SUBTOTAL(109,현금_지출[Period 2])</f>
        <v>0</v>
      </c>
      <c r="G37" s="17">
        <f>SUBTOTAL(109,현금_지출[Period 3])</f>
        <v>22600</v>
      </c>
      <c r="H37" s="17">
        <f>SUBTOTAL(109,현금_지출[Period 4])</f>
        <v>0</v>
      </c>
      <c r="I37" s="17">
        <f>SUBTOTAL(109,현금_지출[Period 5])</f>
        <v>0</v>
      </c>
      <c r="J37" s="17">
        <f>SUBTOTAL(109,현금_지출[Period 6])</f>
        <v>0</v>
      </c>
      <c r="K37" s="17">
        <f>SUBTOTAL(109,현금_지출[Period 7])</f>
        <v>0</v>
      </c>
      <c r="L37" s="17">
        <f>SUBTOTAL(109,현금_지출[Period 8])</f>
        <v>0</v>
      </c>
      <c r="M37" s="17">
        <f>SUBTOTAL(109,현금_지출[Period 9])</f>
        <v>0</v>
      </c>
      <c r="N37" s="17">
        <f>SUBTOTAL(109,현금_지출[Period 10])</f>
        <v>0</v>
      </c>
      <c r="O37" s="17">
        <f>SUBTOTAL(109,현금_지출[Period 11])</f>
        <v>0</v>
      </c>
      <c r="P37" s="17">
        <f>SUBTOTAL(109,현금_지출[Period 12])</f>
        <v>0</v>
      </c>
      <c r="Q37" s="29"/>
      <c r="R37" s="17">
        <f>SUBTOTAL(109,현금_지출[Total])</f>
        <v>62600</v>
      </c>
      <c r="S37" s="15"/>
    </row>
    <row r="38" spans="2:19" ht="17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s="16" customFormat="1" ht="17.25" customHeight="1">
      <c r="B39" s="11" t="s">
        <v>30</v>
      </c>
      <c r="C39" s="18"/>
      <c r="D39"/>
      <c r="E39"/>
      <c r="F39"/>
      <c r="G39"/>
      <c r="H39"/>
      <c r="I39"/>
      <c r="J39"/>
      <c r="K39"/>
      <c r="L39"/>
      <c r="M39"/>
      <c r="N39"/>
      <c r="O39"/>
      <c r="P39"/>
      <c r="Q39" s="20"/>
      <c r="R39"/>
      <c r="S39"/>
    </row>
    <row r="40" spans="2:19" ht="17.25" customHeight="1">
      <c r="B40" s="50" t="s">
        <v>31</v>
      </c>
      <c r="C40" s="2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0"/>
      <c r="R40" s="12">
        <f>SUM(현금_지출2[[#This Row],[Period 0]:[Period 12]])</f>
        <v>0</v>
      </c>
      <c r="S40" s="1"/>
    </row>
    <row r="41" spans="2:19" ht="17.25" customHeight="1">
      <c r="B41" s="50" t="s">
        <v>32</v>
      </c>
      <c r="C41" s="2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0"/>
      <c r="R41" s="12">
        <f>SUM(현금_지출2[[#This Row],[Period 0]:[Period 12]])</f>
        <v>0</v>
      </c>
      <c r="S41" s="1"/>
    </row>
    <row r="42" spans="2:19" ht="17.25" customHeight="1">
      <c r="B42" s="50" t="s">
        <v>33</v>
      </c>
      <c r="C42" s="2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0"/>
      <c r="R42" s="12">
        <f>SUM(현금_지출2[[#This Row],[Period 0]:[Period 12]])</f>
        <v>0</v>
      </c>
      <c r="S42" s="1"/>
    </row>
    <row r="43" spans="2:19" ht="17.25" customHeight="1">
      <c r="B43" s="50" t="s">
        <v>34</v>
      </c>
      <c r="C43" s="2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30"/>
      <c r="R43" s="12">
        <f>SUM(현금_지출2[[#This Row],[Period 0]:[Period 12]])</f>
        <v>0</v>
      </c>
      <c r="S43" s="1"/>
    </row>
    <row r="44" spans="2:19" ht="17.25" customHeight="1">
      <c r="B44" s="50" t="s">
        <v>35</v>
      </c>
      <c r="C44" s="2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30"/>
      <c r="R44" s="12">
        <f>SUM(현금_지출2[[#This Row],[Period 0]:[Period 12]])</f>
        <v>0</v>
      </c>
      <c r="S44" s="1"/>
    </row>
    <row r="45" spans="2:19" ht="17.25" customHeight="1">
      <c r="B45" s="49" t="s">
        <v>8</v>
      </c>
      <c r="C45" s="20"/>
      <c r="D45" s="17">
        <f>SUBTOTAL(109,현금_지출2[Period 0])</f>
        <v>0</v>
      </c>
      <c r="E45" s="17">
        <f>SUBTOTAL(109,현금_지출2[Period 1])</f>
        <v>0</v>
      </c>
      <c r="F45" s="17">
        <f>SUBTOTAL(109,현금_지출2[Period 2])</f>
        <v>0</v>
      </c>
      <c r="G45" s="17">
        <f>SUBTOTAL(109,현금_지출2[Period 3])</f>
        <v>0</v>
      </c>
      <c r="H45" s="17">
        <f>SUBTOTAL(109,현금_지출2[Period 4])</f>
        <v>0</v>
      </c>
      <c r="I45" s="17">
        <f>SUBTOTAL(109,현금_지출2[Period 5])</f>
        <v>0</v>
      </c>
      <c r="J45" s="17">
        <f>SUBTOTAL(109,현금_지출2[Period 6])</f>
        <v>0</v>
      </c>
      <c r="K45" s="17">
        <f>SUBTOTAL(109,현금_지출2[Period 7])</f>
        <v>0</v>
      </c>
      <c r="L45" s="17">
        <f>SUBTOTAL(109,현금_지출2[Period 8])</f>
        <v>0</v>
      </c>
      <c r="M45" s="17">
        <f>SUBTOTAL(109,현금_지출2[Period 9])</f>
        <v>0</v>
      </c>
      <c r="N45" s="17">
        <f>SUBTOTAL(109,현금_지출2[Period 10])</f>
        <v>0</v>
      </c>
      <c r="O45" s="17">
        <f>SUBTOTAL(109,현금_지출2[Period 11])</f>
        <v>0</v>
      </c>
      <c r="P45" s="17">
        <f>SUBTOTAL(109,현금_지출2[Period 12])</f>
        <v>0</v>
      </c>
      <c r="Q45" s="31"/>
      <c r="R45" s="17">
        <f>SUBTOTAL(109,현금_지출2[Total])</f>
        <v>0</v>
      </c>
      <c r="S45" s="13"/>
    </row>
    <row r="46" spans="2:19" ht="17.25" customHeight="1" thickBot="1">
      <c r="B46" s="43" t="s">
        <v>36</v>
      </c>
      <c r="C46" s="18"/>
      <c r="D46" s="35">
        <f>SUM(현금_지출[Period 0],현금_지출2[Period 0])</f>
        <v>0</v>
      </c>
      <c r="E46" s="35">
        <f>SUM(현금_지출[Period 1],현금_지출2[Period 1])</f>
        <v>40000</v>
      </c>
      <c r="F46" s="35">
        <f>SUM(현금_지출[Period 2],현금_지출2[Period 2])</f>
        <v>0</v>
      </c>
      <c r="G46" s="35">
        <f>SUM(현금_지출[Period 3],현금_지출2[Period 3])</f>
        <v>22600</v>
      </c>
      <c r="H46" s="35">
        <f>SUM(현금_지출[Period 4],현금_지출2[Period 4])</f>
        <v>0</v>
      </c>
      <c r="I46" s="35">
        <f>SUM(현금_지출[Period 5],현금_지출2[Period 5])</f>
        <v>0</v>
      </c>
      <c r="J46" s="35">
        <f>SUM(현금_지출[Period 6],현금_지출2[Period 6])</f>
        <v>0</v>
      </c>
      <c r="K46" s="35">
        <f>SUM(현금_지출[Period 7],현금_지출2[Period 7])</f>
        <v>0</v>
      </c>
      <c r="L46" s="35">
        <f>SUM(현금_지출[Period 8],현금_지출2[Period 8])</f>
        <v>0</v>
      </c>
      <c r="M46" s="35">
        <f>SUM(현금_지출[Period 9],현금_지출2[Period 9])</f>
        <v>0</v>
      </c>
      <c r="N46" s="35">
        <f>SUM(현금_지출[Period 10],현금_지출2[Period 10])</f>
        <v>0</v>
      </c>
      <c r="O46" s="35">
        <f>SUM(현금_지출[Period 11],현금_지출2[Period 11])</f>
        <v>0</v>
      </c>
      <c r="P46" s="39">
        <f>SUM(현금_지출[Period 12],현금_지출2[Period 12])</f>
        <v>0</v>
      </c>
      <c r="Q46" s="18"/>
      <c r="R46" s="35">
        <f>SUM(현금_지출[Total],현금_지출2[Total])</f>
        <v>62600</v>
      </c>
      <c r="S46" s="34"/>
    </row>
    <row r="47" spans="2:19" s="14" customFormat="1" ht="17.2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>
      <c r="B48" s="43" t="s">
        <v>37</v>
      </c>
      <c r="C48" s="18"/>
      <c r="D48" s="35">
        <f t="shared" ref="D48:P48" si="12">D13-D46</f>
        <v>10000</v>
      </c>
      <c r="E48" s="35">
        <f t="shared" si="12"/>
        <v>-12500</v>
      </c>
      <c r="F48" s="35">
        <f t="shared" si="12"/>
        <v>4500</v>
      </c>
      <c r="G48" s="35">
        <f t="shared" si="12"/>
        <v>-100</v>
      </c>
      <c r="H48" s="35">
        <f t="shared" si="12"/>
        <v>22400</v>
      </c>
      <c r="I48" s="35">
        <f t="shared" si="12"/>
        <v>26900</v>
      </c>
      <c r="J48" s="35">
        <f t="shared" si="12"/>
        <v>26900</v>
      </c>
      <c r="K48" s="35">
        <f t="shared" si="12"/>
        <v>26900</v>
      </c>
      <c r="L48" s="35">
        <f t="shared" si="12"/>
        <v>26900</v>
      </c>
      <c r="M48" s="35">
        <f t="shared" si="12"/>
        <v>26900</v>
      </c>
      <c r="N48" s="35">
        <f t="shared" si="12"/>
        <v>26900</v>
      </c>
      <c r="O48" s="35">
        <f t="shared" si="12"/>
        <v>26900</v>
      </c>
      <c r="P48" s="39">
        <f t="shared" si="12"/>
        <v>26900</v>
      </c>
      <c r="Q48" s="18"/>
      <c r="R48" s="35">
        <f>R13-R46</f>
        <v>43800</v>
      </c>
      <c r="S48" s="34"/>
    </row>
  </sheetData>
  <mergeCells count="3">
    <mergeCell ref="B14:S14"/>
    <mergeCell ref="B38:S38"/>
    <mergeCell ref="B47:S47"/>
  </mergeCells>
  <phoneticPr fontId="12" type="noConversion"/>
  <conditionalFormatting sqref="E6:P6">
    <cfRule type="expression" dxfId="111" priority="3">
      <formula>E6&lt;0</formula>
    </cfRule>
  </conditionalFormatting>
  <conditionalFormatting sqref="E48:P48">
    <cfRule type="expression" dxfId="110" priority="2">
      <formula>E48&lt;0</formula>
    </cfRule>
  </conditionalFormatting>
  <conditionalFormatting sqref="E13:P13">
    <cfRule type="expression" dxfId="109" priority="1">
      <formula>E13&lt;0</formula>
    </cfRule>
  </conditionalFormatting>
  <printOptions horizontalCentered="1" verticalCentered="1"/>
  <pageMargins left="0.5" right="0.5" top="0.5" bottom="0.5" header="0.3" footer="0.3"/>
  <pageSetup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'현금 흐름표'!D48:P48</xm:f>
              <xm:sqref>S48</xm:sqref>
            </x14:sparkline>
            <x14:sparkline>
              <xm:f>'현금 흐름표'!D13:P13</xm:f>
              <xm:sqref>S13</xm:sqref>
            </x14:sparkline>
            <x14:sparkline>
              <xm:f>'현금 흐름표'!D45:P45</xm:f>
              <xm:sqref>S45</xm:sqref>
            </x14:sparkline>
            <x14:sparkline>
              <xm:f>'현금 흐름표'!D46:P46</xm:f>
              <xm:sqref>S46</xm:sqref>
            </x14:sparkline>
            <x14:sparkline>
              <xm:f>'현금 흐름표'!D37:P37</xm:f>
              <xm:sqref>S37</xm:sqref>
            </x14:sparkline>
            <x14:sparkline>
              <xm:f>'현금 흐름표'!D6:P6</xm:f>
              <xm:sqref>S6</xm:sqref>
            </x14:sparkline>
            <x14:sparkline>
              <xm:f>'현금 흐름표'!D12:P12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848662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2012-07-27T02:37:00+00:00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471268</Value>
    </PublishStatusLookup>
    <APAuthor xmlns="49c1fb53-399a-4d91-bfc2-0a118990ebe4">
      <UserInfo>
        <DisplayName>REDMOND\v-sa</DisplayName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true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TP103107636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65756D77-7029-4839-950D-A0424A4B9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1fb53-399a-4d91-bfc2-0a118990e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E0B03-3C0B-4CFD-B845-625A9F95FDA1}">
  <ds:schemaRefs>
    <ds:schemaRef ds:uri="http://schemas.microsoft.com/office/2006/metadata/properties"/>
    <ds:schemaRef ds:uri="http://schemas.microsoft.com/office/infopath/2007/PartnerControls"/>
    <ds:schemaRef ds:uri="49c1fb53-399a-4d91-bfc2-0a118990eb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현금 흐름표</vt:lpstr>
      <vt:lpstr>FiscalYearStartDate</vt:lpstr>
      <vt:lpstr>'현금 흐름표'!Print_Area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2012-07-26T18:07:35Z</dcterms:created>
  <dcterms:modified xsi:type="dcterms:W3CDTF">2012-12-14T00:46:30Z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