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/>
  <mc:AlternateContent xmlns:mc="http://schemas.openxmlformats.org/markup-compatibility/2006">
    <mc:Choice Requires="x15">
      <x15ac:absPath xmlns:x15ac="http://schemas.microsoft.com/office/spreadsheetml/2010/11/ac" url="https://bcsloctest5-my.sharepoint.com/personal/pubmed_templates_bcsloctest5_onmicrosoft_com/Documents/WordTech_20190719_Excel_Word_Win32_Q1_P2/04_PreDTP_Done/lv-LV/"/>
    </mc:Choice>
  </mc:AlternateContent>
  <xr:revisionPtr revIDLastSave="0" documentId="13_ncr:3_{66BB94B1-3AC7-4F1D-9718-5AFF63B588C2}" xr6:coauthVersionLast="43" xr6:coauthVersionMax="43" xr10:uidLastSave="{00000000-0000-0000-0000-000000000000}"/>
  <bookViews>
    <workbookView xWindow="-120" yWindow="-120" windowWidth="28470" windowHeight="14250" tabRatio="686" xr2:uid="{00000000-000D-0000-FFFF-FFFF00000000}"/>
  </bookViews>
  <sheets>
    <sheet name="Janvāris" sheetId="4" r:id="rId1"/>
    <sheet name="Februāris" sheetId="5" r:id="rId2"/>
    <sheet name="Marts" sheetId="17" r:id="rId3"/>
    <sheet name="Aprīlis" sheetId="18" r:id="rId4"/>
    <sheet name="Maijs" sheetId="19" r:id="rId5"/>
    <sheet name="Jūnijs" sheetId="20" r:id="rId6"/>
    <sheet name="Jūlijs" sheetId="21" r:id="rId7"/>
    <sheet name="Augusts" sheetId="22" r:id="rId8"/>
    <sheet name="Septembris" sheetId="23" r:id="rId9"/>
    <sheet name="Oktobris" sheetId="24" r:id="rId10"/>
    <sheet name="Novembris" sheetId="25" r:id="rId11"/>
    <sheet name="Decembris" sheetId="15" r:id="rId12"/>
    <sheet name="Darbinieku vārdi" sheetId="16" r:id="rId13"/>
  </sheets>
  <definedNames>
    <definedName name="AtslēgaAtvaļinājums">Janvāris!$C$2</definedName>
    <definedName name="AtslēgaAtvaļinājumsEtiķete">Janvāris!$D$2</definedName>
    <definedName name="AtslēgaPersonisks">Janvāris!$G$2</definedName>
    <definedName name="AtslēgaPersonisksEtiķete">Janvāris!$H$2</definedName>
    <definedName name="Atslēgas_nosaukums">Janvāris!$B$2</definedName>
    <definedName name="AtslēgaSlimība">Janvāris!$K$2</definedName>
    <definedName name="AtslēgaSlimībaEtiķete">Janvāris!$L$2</definedName>
    <definedName name="Darbinieka_prombūtnes_nosaukums">Janvāris!$B$1</definedName>
    <definedName name="_xlnm.Print_Titles" localSheetId="3">Aprīlis!$4:$6</definedName>
    <definedName name="_xlnm.Print_Titles" localSheetId="7">Augusts!$4:$6</definedName>
    <definedName name="_xlnm.Print_Titles" localSheetId="11">Decembris!$4:$6</definedName>
    <definedName name="_xlnm.Print_Titles" localSheetId="1">Februāris!$4:$6</definedName>
    <definedName name="_xlnm.Print_Titles" localSheetId="0">Janvāris!$4:$6</definedName>
    <definedName name="_xlnm.Print_Titles" localSheetId="6">Jūlijs!$4:$6</definedName>
    <definedName name="_xlnm.Print_Titles" localSheetId="5">Jūnijs!$4:$6</definedName>
    <definedName name="_xlnm.Print_Titles" localSheetId="4">Maijs!$4:$6</definedName>
    <definedName name="_xlnm.Print_Titles" localSheetId="2">Marts!$4:$6</definedName>
    <definedName name="_xlnm.Print_Titles" localSheetId="10">Novembris!$4:$6</definedName>
    <definedName name="_xlnm.Print_Titles" localSheetId="9">Oktobris!$4:$6</definedName>
    <definedName name="_xlnm.Print_Titles" localSheetId="8">Septembris!$4:$6</definedName>
    <definedName name="KalendāraGads">Janvāris!$AH$4</definedName>
    <definedName name="KolonnasNosaukums13">DarbiniekaVārds[[#Headers],[Darbinieku vārdi]]</definedName>
    <definedName name="MēnešaNosaukums" localSheetId="3">Aprīlis!$B$4</definedName>
    <definedName name="MēnešaNosaukums" localSheetId="7">Augusts!$B$4</definedName>
    <definedName name="MēnešaNosaukums" localSheetId="11">Decembris!$B$4</definedName>
    <definedName name="MēnešaNosaukums" localSheetId="1">Februāris!$B$4</definedName>
    <definedName name="MēnešaNosaukums" localSheetId="0">Janvāris!$B$4</definedName>
    <definedName name="MēnešaNosaukums" localSheetId="6">Jūlijs!$B$4</definedName>
    <definedName name="MēnešaNosaukums" localSheetId="5">Jūnijs!$B$4</definedName>
    <definedName name="MēnešaNosaukums" localSheetId="4">Maijs!$B$4</definedName>
    <definedName name="MēnešaNosaukums" localSheetId="2">Marts!$B$4</definedName>
    <definedName name="MēnešaNosaukums" localSheetId="10">Novembris!$B$4</definedName>
    <definedName name="MēnešaNosaukums" localSheetId="9">Oktobris!$B$4</definedName>
    <definedName name="MēnešaNosaukums" localSheetId="8">Septembris!$B$4</definedName>
    <definedName name="PielāgotaAtslēga1">Janvāris!$N$2</definedName>
    <definedName name="PielāgotaAtslēga1Etiķete">Janvāris!$O$2</definedName>
    <definedName name="PielāgotaAtslēga2">Janvāris!$R$2</definedName>
    <definedName name="PielāgotaAtslēga2Etiķete">Janvāris!$S$2</definedName>
    <definedName name="Virsraksts_1">Janvāris[[#Headers],[Darbinieka vārds, uzvārds]]</definedName>
    <definedName name="Virsraksts_10">Oktobris[[#Headers],[Darbinieka vārds, uzvārds]]</definedName>
    <definedName name="Virsraksts_11">Novembris[[#Headers],[Darbinieka vārds, uzvārds]]</definedName>
    <definedName name="Virsraksts_12">Decembris[[#Headers],[Darbinieka vārds, uzvārds]]</definedName>
    <definedName name="Virsraksts_2">Februāris[[#Headers],[Darbinieka vārds, uzvārds]]</definedName>
    <definedName name="Virsraksts_3">Marts[[#Headers],[Darbinieka vārds, uzvārds]]</definedName>
    <definedName name="Virsraksts_4">Aprīlis[[#Headers],[Darbinieka vārds, uzvārds]]</definedName>
    <definedName name="Virsraksts_5">Maijs[[#Headers],[Darbinieka vārds, uzvārds]]</definedName>
    <definedName name="Virsraksts_6">Jūnijs[[#Headers],[Darbinieka vārds, uzvārds]]</definedName>
    <definedName name="Virsraksts_7">Jūlijs[[#Headers],[Darbinieka vārds, uzvārds]]</definedName>
    <definedName name="Virsraksts_8">Augusts[[#Headers],[Darbinieka vārds, uzvārds]]</definedName>
    <definedName name="Virsraksts_9">Septembris[[#Headers],[Darbinieka vārds, uzvārds]]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B12" i="5"/>
  <c r="B12" i="4"/>
  <c r="AE5" i="5" l="1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D12" i="25" l="1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12" i="21" s="1"/>
  <c r="AH4" i="21"/>
  <c r="B1" i="21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12" i="17" s="1"/>
  <c r="AH4" i="17"/>
  <c r="B1" i="17"/>
  <c r="B1" i="15"/>
  <c r="B1" i="5"/>
  <c r="AH12" i="22" l="1"/>
  <c r="AH12" i="25"/>
  <c r="AH12" i="20"/>
  <c r="AH12" i="19"/>
  <c r="AH12" i="24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H11" i="5" l="1"/>
  <c r="AH10" i="5"/>
  <c r="AH9" i="5"/>
  <c r="AH11" i="4"/>
  <c r="AH8" i="5"/>
  <c r="AH7" i="5"/>
  <c r="AH12" i="5" s="1"/>
  <c r="AH7" i="4" l="1"/>
  <c r="AH8" i="4"/>
  <c r="AH12" i="4" l="1"/>
</calcChain>
</file>

<file path=xl/sharedStrings.xml><?xml version="1.0" encoding="utf-8"?>
<sst xmlns="http://schemas.openxmlformats.org/spreadsheetml/2006/main" count="643" uniqueCount="65">
  <si>
    <t>Darbinieka prombūtnes grafiks</t>
  </si>
  <si>
    <t>Atslēgas tipa atslēga</t>
  </si>
  <si>
    <t>Janvāris</t>
  </si>
  <si>
    <t>Darbinieka vārds, uzvārds</t>
  </si>
  <si>
    <t>1. darbinieks</t>
  </si>
  <si>
    <t>2. darbinieks</t>
  </si>
  <si>
    <t>3. darbinieks</t>
  </si>
  <si>
    <t>4. darbinieks</t>
  </si>
  <si>
    <t>5. darbinieks</t>
  </si>
  <si>
    <t>Prombūtnes datumi</t>
  </si>
  <si>
    <t>1</t>
  </si>
  <si>
    <t>Atvaļinājums</t>
  </si>
  <si>
    <t>2</t>
  </si>
  <si>
    <t>3</t>
  </si>
  <si>
    <t>P</t>
  </si>
  <si>
    <t>4</t>
  </si>
  <si>
    <t>S</t>
  </si>
  <si>
    <t>5</t>
  </si>
  <si>
    <t>Personisks</t>
  </si>
  <si>
    <t>6</t>
  </si>
  <si>
    <t>7</t>
  </si>
  <si>
    <t>8</t>
  </si>
  <si>
    <t>9</t>
  </si>
  <si>
    <t>Slimība</t>
  </si>
  <si>
    <t>10</t>
  </si>
  <si>
    <t>11</t>
  </si>
  <si>
    <t>12</t>
  </si>
  <si>
    <t>Pielāgots 1</t>
  </si>
  <si>
    <t>13</t>
  </si>
  <si>
    <t>14</t>
  </si>
  <si>
    <t>15</t>
  </si>
  <si>
    <t>16</t>
  </si>
  <si>
    <t>Pielāgots 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</si>
  <si>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</si>
  <si>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</si>
  <si>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</si>
  <si>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</si>
  <si>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</si>
  <si>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</si>
  <si>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</si>
  <si>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</si>
  <si>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</si>
  <si>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</si>
  <si>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</si>
  <si>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</si>
  <si>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</si>
  <si>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</si>
  <si>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</si>
  <si>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Ievadiet gadu:</t>
  </si>
  <si>
    <t>Dienu kopskaits</t>
  </si>
  <si>
    <t>Februāris</t>
  </si>
  <si>
    <t xml:space="preserve"> </t>
  </si>
  <si>
    <t xml:space="preserve">  </t>
  </si>
  <si>
    <t>Marts</t>
  </si>
  <si>
    <t>Aprīlis</t>
  </si>
  <si>
    <t>Jūnijs</t>
  </si>
  <si>
    <t>Jūlijs</t>
  </si>
  <si>
    <t>Augusts</t>
  </si>
  <si>
    <t>Septembris</t>
  </si>
  <si>
    <t>Oktobris</t>
  </si>
  <si>
    <t>Novembris</t>
  </si>
  <si>
    <t>Decembris</t>
  </si>
  <si>
    <t>Darbinieku vārdi</t>
  </si>
  <si>
    <t>Maijs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</si>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</sst>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0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 horizontal="left" vertical="center"/>
    </xf>
    <xf numFmtId="0" fontId="7" fillId="0" borderId="0" applyNumberFormat="0" applyFill="0" applyBorder="0" applyProtection="0">
      <alignment vertical="top"/>
    </xf>
    <xf numFmtId="0" fontId="5" fillId="0" borderId="0" applyNumberFormat="0" applyFill="0" applyBorder="0" applyProtection="0">
      <alignment vertical="top"/>
    </xf>
    <xf numFmtId="0" fontId="6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left" vertical="center" indent="2"/>
    </xf>
    <xf numFmtId="0" fontId="4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4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8" fillId="0" borderId="0">
      <alignment horizontal="center"/>
    </xf>
  </cellStyleXfs>
  <cellXfs count="27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4" fontId="2" fillId="9" borderId="0" xfId="8" applyNumberFormat="1" applyFont="1" applyAlignment="1" applyProtection="1">
      <alignment horizontal="center" vertical="center"/>
    </xf>
    <xf numFmtId="164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6" fillId="2" borderId="0" xfId="3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7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8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7" fillId="0" borderId="0" xfId="1">
      <alignment vertical="top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28">
    <cellStyle name="20% no 1. izcēluma" xfId="15" builtinId="30" customBuiltin="1"/>
    <cellStyle name="20% no 3. izcēluma" xfId="21" builtinId="38" customBuiltin="1"/>
    <cellStyle name="20% no 4. izcēluma" xfId="7" builtinId="42" customBuiltin="1"/>
    <cellStyle name="20% no 6. izcēluma" xfId="11" builtinId="50" customBuiltin="1"/>
    <cellStyle name="40% no 1. izcēluma" xfId="16" builtinId="31" customBuiltin="1"/>
    <cellStyle name="40% no 2. izcēluma" xfId="19" builtinId="35" customBuiltin="1"/>
    <cellStyle name="40% no 3. izcēluma" xfId="22" builtinId="39" customBuiltin="1"/>
    <cellStyle name="40% no 4. izcēluma" xfId="8" builtinId="43" customBuiltin="1"/>
    <cellStyle name="40% no 5. izcēluma" xfId="24" builtinId="47" customBuiltin="1"/>
    <cellStyle name="40% no 6. izcēluma" xfId="12" builtinId="51" customBuiltin="1"/>
    <cellStyle name="60% no 1. izcēluma" xfId="17" builtinId="32" customBuiltin="1"/>
    <cellStyle name="60% no 3. izcēluma" xfId="23" builtinId="40" customBuiltin="1"/>
    <cellStyle name="60% no 4. izcēluma" xfId="9" builtinId="44" customBuiltin="1"/>
    <cellStyle name="60% no 6. izcēluma" xfId="13" builtinId="52" customBuiltin="1"/>
    <cellStyle name="Darbinieks" xfId="26" xr:uid="{00000000-0005-0000-0000-000013000000}"/>
    <cellStyle name="Etiķete" xfId="27" xr:uid="{00000000-0005-0000-0000-000018000000}"/>
    <cellStyle name="Izcēlums (1. veids)" xfId="14" builtinId="29" customBuiltin="1"/>
    <cellStyle name="Izcēlums (2. veids)" xfId="18" builtinId="33" customBuiltin="1"/>
    <cellStyle name="Izcēlums (3. veids)" xfId="20" builtinId="37" customBuiltin="1"/>
    <cellStyle name="Izcēlums (4. veids)" xfId="6" builtinId="41" customBuiltin="1"/>
    <cellStyle name="Izcēlums (6. veids)" xfId="10" builtinId="49" customBuiltin="1"/>
    <cellStyle name="Kopsumma" xfId="25" builtinId="25" customBuiltin="1"/>
    <cellStyle name="Nosaukums" xfId="1" builtinId="15" customBuiltin="1"/>
    <cellStyle name="Parasts" xfId="0" builtinId="0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" formatCode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Darbinieka prombūtnes tabula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Janvāris" displayName="Janvāris" ref="B6:AH12" totalsRowCount="1" headerRowDxfId="883" dataDxfId="882" totalsRowDxfId="881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Darbinieka vārds, uzvārds" totalsRowFunction="custom" dataDxfId="880" totalsRowDxfId="879" dataCellStyle="Darbinieks">
      <totalsRowFormula>MēnešaNosaukums&amp;" Kopā"</totalsRowFormula>
    </tableColumn>
    <tableColumn id="2" xr3:uid="{00000000-0010-0000-0000-000002000000}" name="1" totalsRowFunction="custom" dataDxfId="878" totalsRowDxfId="877">
      <totalsRowFormula>SUBTOTAL(103,Janvāris!$C$7:$C$11)</totalsRowFormula>
    </tableColumn>
    <tableColumn id="3" xr3:uid="{00000000-0010-0000-0000-000003000000}" name="2" totalsRowFunction="custom" dataDxfId="876" totalsRowDxfId="875">
      <totalsRowFormula>SUBTOTAL(103,Janvāris!$D$7:$D$11)</totalsRowFormula>
    </tableColumn>
    <tableColumn id="4" xr3:uid="{00000000-0010-0000-0000-000004000000}" name="3" totalsRowFunction="custom" dataDxfId="874" totalsRowDxfId="873">
      <totalsRowFormula>SUBTOTAL(103,Janvāris!$E$7:$E$11)</totalsRowFormula>
    </tableColumn>
    <tableColumn id="5" xr3:uid="{00000000-0010-0000-0000-000005000000}" name="4" totalsRowFunction="custom" dataDxfId="872" totalsRowDxfId="871">
      <totalsRowFormula>SUBTOTAL(103,Janvāris!$F$7:$F$11)</totalsRowFormula>
    </tableColumn>
    <tableColumn id="6" xr3:uid="{00000000-0010-0000-0000-000006000000}" name="5" totalsRowFunction="custom" totalsRowDxfId="870">
      <totalsRowFormula>SUBTOTAL(103,Janvāris!$G$7:$G$11)</totalsRowFormula>
    </tableColumn>
    <tableColumn id="7" xr3:uid="{00000000-0010-0000-0000-000007000000}" name="6" totalsRowFunction="custom" dataDxfId="869" totalsRowDxfId="868">
      <totalsRowFormula>SUBTOTAL(103,Janvāris!$H$7:$H$11)</totalsRowFormula>
    </tableColumn>
    <tableColumn id="8" xr3:uid="{00000000-0010-0000-0000-000008000000}" name="7" totalsRowFunction="custom" dataDxfId="867" totalsRowDxfId="866">
      <totalsRowFormula>SUBTOTAL(103,Janvāris!$I$7:$I$11)</totalsRowFormula>
    </tableColumn>
    <tableColumn id="9" xr3:uid="{00000000-0010-0000-0000-000009000000}" name="8" totalsRowFunction="custom" dataDxfId="865" totalsRowDxfId="864">
      <totalsRowFormula>SUBTOTAL(103,Janvāris!$J$7:$J$11)</totalsRowFormula>
    </tableColumn>
    <tableColumn id="10" xr3:uid="{00000000-0010-0000-0000-00000A000000}" name="9" totalsRowFunction="custom" dataDxfId="863" totalsRowDxfId="862">
      <totalsRowFormula>SUBTOTAL(103,Janvāris!$K$7:$K$11)</totalsRowFormula>
    </tableColumn>
    <tableColumn id="11" xr3:uid="{00000000-0010-0000-0000-00000B000000}" name="10" totalsRowFunction="custom" dataDxfId="861" totalsRowDxfId="860">
      <totalsRowFormula>SUBTOTAL(103,Janvāris!$L$7:$L$11)</totalsRowFormula>
    </tableColumn>
    <tableColumn id="12" xr3:uid="{00000000-0010-0000-0000-00000C000000}" name="11" totalsRowFunction="custom" dataDxfId="859" totalsRowDxfId="858">
      <totalsRowFormula>SUBTOTAL(103,Janvāris!$M$7:$M$11)</totalsRowFormula>
    </tableColumn>
    <tableColumn id="13" xr3:uid="{00000000-0010-0000-0000-00000D000000}" name="12" totalsRowFunction="custom" dataDxfId="857" totalsRowDxfId="856">
      <totalsRowFormula>SUBTOTAL(103,Janvāris!$N$7:$N$11)</totalsRowFormula>
    </tableColumn>
    <tableColumn id="14" xr3:uid="{00000000-0010-0000-0000-00000E000000}" name="13" totalsRowFunction="custom" dataDxfId="855" totalsRowDxfId="854">
      <totalsRowFormula>SUBTOTAL(103,Janvāris!$O$7:$O$11)</totalsRowFormula>
    </tableColumn>
    <tableColumn id="15" xr3:uid="{00000000-0010-0000-0000-00000F000000}" name="14" totalsRowFunction="custom" dataDxfId="853" totalsRowDxfId="852">
      <totalsRowFormula>SUBTOTAL(103,Janvāris!$P$7:$P$11)</totalsRowFormula>
    </tableColumn>
    <tableColumn id="16" xr3:uid="{00000000-0010-0000-0000-000010000000}" name="15" totalsRowFunction="custom" dataDxfId="851" totalsRowDxfId="850">
      <totalsRowFormula>SUBTOTAL(103,Janvāris!$Q$7:$Q$11)</totalsRowFormula>
    </tableColumn>
    <tableColumn id="17" xr3:uid="{00000000-0010-0000-0000-000011000000}" name="16" totalsRowFunction="custom" dataDxfId="849" totalsRowDxfId="848">
      <totalsRowFormula>SUBTOTAL(103,Janvāris!$R$7:$R$11)</totalsRowFormula>
    </tableColumn>
    <tableColumn id="18" xr3:uid="{00000000-0010-0000-0000-000012000000}" name="17" totalsRowFunction="custom" dataDxfId="847" totalsRowDxfId="846">
      <totalsRowFormula>SUBTOTAL(103,Janvāris!$S$7:$S$11)</totalsRowFormula>
    </tableColumn>
    <tableColumn id="19" xr3:uid="{00000000-0010-0000-0000-000013000000}" name="18" totalsRowFunction="custom" dataDxfId="845" totalsRowDxfId="844">
      <totalsRowFormula>SUBTOTAL(103,Janvāris!$T$7:$T$11)</totalsRowFormula>
    </tableColumn>
    <tableColumn id="20" xr3:uid="{00000000-0010-0000-0000-000014000000}" name="19" totalsRowFunction="custom" dataDxfId="843" totalsRowDxfId="842">
      <totalsRowFormula>SUBTOTAL(103,Janvāris!$U$7:$U$11)</totalsRowFormula>
    </tableColumn>
    <tableColumn id="21" xr3:uid="{00000000-0010-0000-0000-000015000000}" name="20" totalsRowFunction="custom" dataDxfId="841" totalsRowDxfId="840">
      <totalsRowFormula>SUBTOTAL(103,Janvāris!$V$7:$V$11)</totalsRowFormula>
    </tableColumn>
    <tableColumn id="22" xr3:uid="{00000000-0010-0000-0000-000016000000}" name="21" totalsRowFunction="custom" dataDxfId="839" totalsRowDxfId="838">
      <totalsRowFormula>SUBTOTAL(103,Janvāris!$W$7:$W$11)</totalsRowFormula>
    </tableColumn>
    <tableColumn id="23" xr3:uid="{00000000-0010-0000-0000-000017000000}" name="22" totalsRowFunction="custom" dataDxfId="837" totalsRowDxfId="836">
      <totalsRowFormula>SUBTOTAL(103,Janvāris!$X$7:$X$11)</totalsRowFormula>
    </tableColumn>
    <tableColumn id="24" xr3:uid="{00000000-0010-0000-0000-000018000000}" name="23" totalsRowFunction="custom" dataDxfId="835" totalsRowDxfId="834">
      <totalsRowFormula>SUBTOTAL(103,Janvāris!$Y$7:$Y$11)</totalsRowFormula>
    </tableColumn>
    <tableColumn id="25" xr3:uid="{00000000-0010-0000-0000-000019000000}" name="24" totalsRowFunction="custom" dataDxfId="833" totalsRowDxfId="832">
      <totalsRowFormula>SUBTOTAL(103,Janvāris!$Z$7:$Z$11)</totalsRowFormula>
    </tableColumn>
    <tableColumn id="26" xr3:uid="{00000000-0010-0000-0000-00001A000000}" name="25" totalsRowFunction="custom" dataDxfId="831" totalsRowDxfId="830">
      <totalsRowFormula>SUBTOTAL(103,Janvāris!$AA$7:$AA$11)</totalsRowFormula>
    </tableColumn>
    <tableColumn id="27" xr3:uid="{00000000-0010-0000-0000-00001B000000}" name="26" totalsRowFunction="custom" dataDxfId="829" totalsRowDxfId="828">
      <totalsRowFormula>SUBTOTAL(103,Janvāris!$AB$7:$AB$11)</totalsRowFormula>
    </tableColumn>
    <tableColumn id="28" xr3:uid="{00000000-0010-0000-0000-00001C000000}" name="27" totalsRowFunction="custom" dataDxfId="827" totalsRowDxfId="826">
      <totalsRowFormula>SUBTOTAL(103,Janvāris!$AC$7:$AC$11)</totalsRowFormula>
    </tableColumn>
    <tableColumn id="29" xr3:uid="{00000000-0010-0000-0000-00001D000000}" name="28" totalsRowFunction="custom" dataDxfId="825" totalsRowDxfId="824">
      <totalsRowFormula>SUBTOTAL(103,Janvāris!$AD$7:$AD$11)</totalsRowFormula>
    </tableColumn>
    <tableColumn id="30" xr3:uid="{00000000-0010-0000-0000-00001E000000}" name="29" totalsRowFunction="custom" dataDxfId="823" totalsRowDxfId="822">
      <totalsRowFormula>SUBTOTAL(103,Janvāris!$AE$7:$AE$11)</totalsRowFormula>
    </tableColumn>
    <tableColumn id="31" xr3:uid="{00000000-0010-0000-0000-00001F000000}" name="30" totalsRowFunction="custom" dataDxfId="821" totalsRowDxfId="820">
      <totalsRowFormula>SUBTOTAL(103,Janvāris!$AF$7:$AF$11)</totalsRowFormula>
    </tableColumn>
    <tableColumn id="32" xr3:uid="{00000000-0010-0000-0000-000020000000}" name="31" totalsRowFunction="custom" dataDxfId="819" totalsRowDxfId="818">
      <totalsRowFormula>SUBTOTAL(103,Janvāris!$AG$7:$AG$11)</totalsRowFormula>
    </tableColumn>
    <tableColumn id="33" xr3:uid="{00000000-0010-0000-0000-000021000000}" name="Dienu kopskaits" totalsRowFunction="sum" dataDxfId="817" totalsRowDxfId="816">
      <calculatedColumnFormula>COUNTA(Janvāris!$C7:$AG7)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Oktobris" displayName="Oktobris" ref="B6:AH12" totalsRowCount="1" headerRowDxfId="216" dataDxfId="215" totalsRowDxfId="214">
  <tableColumns count="33">
    <tableColumn id="1" xr3:uid="{00000000-0010-0000-0900-000001000000}" name="Darbinieka vārds, uzvārds" totalsRowFunction="custom" dataDxfId="213" totalsRowDxfId="212" dataCellStyle="Darbinieks">
      <totalsRowFormula>MēnešaNosaukums&amp;" Kopā"</totalsRowFormula>
    </tableColumn>
    <tableColumn id="2" xr3:uid="{00000000-0010-0000-0900-000002000000}" name="1" totalsRowFunction="count" dataDxfId="211" totalsRowDxfId="210"/>
    <tableColumn id="3" xr3:uid="{00000000-0010-0000-0900-000003000000}" name="2" totalsRowFunction="count" dataDxfId="209" totalsRowDxfId="208"/>
    <tableColumn id="4" xr3:uid="{00000000-0010-0000-0900-000004000000}" name="3" totalsRowFunction="count" dataDxfId="207" totalsRowDxfId="206"/>
    <tableColumn id="5" xr3:uid="{00000000-0010-0000-0900-000005000000}" name="4" totalsRowFunction="count" dataDxfId="205" totalsRowDxfId="204"/>
    <tableColumn id="6" xr3:uid="{00000000-0010-0000-0900-000006000000}" name="5" totalsRowFunction="count" dataDxfId="203" totalsRowDxfId="202"/>
    <tableColumn id="7" xr3:uid="{00000000-0010-0000-0900-000007000000}" name="6" totalsRowFunction="count" dataDxfId="201" totalsRowDxfId="200"/>
    <tableColumn id="8" xr3:uid="{00000000-0010-0000-0900-000008000000}" name="7" totalsRowFunction="count" dataDxfId="199" totalsRowDxfId="198"/>
    <tableColumn id="9" xr3:uid="{00000000-0010-0000-0900-000009000000}" name="8" totalsRowFunction="count" dataDxfId="197" totalsRowDxfId="196"/>
    <tableColumn id="10" xr3:uid="{00000000-0010-0000-0900-00000A000000}" name="9" totalsRowFunction="count" dataDxfId="195" totalsRowDxfId="194"/>
    <tableColumn id="11" xr3:uid="{00000000-0010-0000-0900-00000B000000}" name="10" totalsRowFunction="count" dataDxfId="193" totalsRowDxfId="192"/>
    <tableColumn id="12" xr3:uid="{00000000-0010-0000-0900-00000C000000}" name="11" totalsRowFunction="count" dataDxfId="191" totalsRowDxfId="190"/>
    <tableColumn id="13" xr3:uid="{00000000-0010-0000-0900-00000D000000}" name="12" totalsRowFunction="count" dataDxfId="189" totalsRowDxfId="188"/>
    <tableColumn id="14" xr3:uid="{00000000-0010-0000-0900-00000E000000}" name="13" totalsRowFunction="count" dataDxfId="187" totalsRowDxfId="186"/>
    <tableColumn id="15" xr3:uid="{00000000-0010-0000-0900-00000F000000}" name="14" totalsRowFunction="count" dataDxfId="185" totalsRowDxfId="184"/>
    <tableColumn id="16" xr3:uid="{00000000-0010-0000-0900-000010000000}" name="15" totalsRowFunction="count" dataDxfId="183" totalsRowDxfId="182"/>
    <tableColumn id="17" xr3:uid="{00000000-0010-0000-0900-000011000000}" name="16" totalsRowFunction="count" dataDxfId="181" totalsRowDxfId="180"/>
    <tableColumn id="18" xr3:uid="{00000000-0010-0000-0900-000012000000}" name="17" totalsRowFunction="count" dataDxfId="179" totalsRowDxfId="178"/>
    <tableColumn id="19" xr3:uid="{00000000-0010-0000-0900-000013000000}" name="18" totalsRowFunction="count" dataDxfId="177" totalsRowDxfId="176"/>
    <tableColumn id="20" xr3:uid="{00000000-0010-0000-0900-000014000000}" name="19" totalsRowFunction="count" dataDxfId="175" totalsRowDxfId="174"/>
    <tableColumn id="21" xr3:uid="{00000000-0010-0000-0900-000015000000}" name="20" totalsRowFunction="count" dataDxfId="173" totalsRowDxfId="172"/>
    <tableColumn id="22" xr3:uid="{00000000-0010-0000-0900-000016000000}" name="21" totalsRowFunction="count" dataDxfId="171" totalsRowDxfId="170"/>
    <tableColumn id="23" xr3:uid="{00000000-0010-0000-0900-000017000000}" name="22" totalsRowFunction="count" dataDxfId="169" totalsRowDxfId="168"/>
    <tableColumn id="24" xr3:uid="{00000000-0010-0000-0900-000018000000}" name="23" totalsRowFunction="count" dataDxfId="167" totalsRowDxfId="166"/>
    <tableColumn id="25" xr3:uid="{00000000-0010-0000-0900-000019000000}" name="24" totalsRowFunction="count" dataDxfId="165" totalsRowDxfId="164"/>
    <tableColumn id="26" xr3:uid="{00000000-0010-0000-0900-00001A000000}" name="25" totalsRowFunction="count" dataDxfId="163" totalsRowDxfId="162"/>
    <tableColumn id="27" xr3:uid="{00000000-0010-0000-0900-00001B000000}" name="26" totalsRowFunction="count" dataDxfId="161" totalsRowDxfId="160"/>
    <tableColumn id="28" xr3:uid="{00000000-0010-0000-0900-00001C000000}" name="27" totalsRowFunction="count" dataDxfId="159" totalsRowDxfId="158"/>
    <tableColumn id="29" xr3:uid="{00000000-0010-0000-0900-00001D000000}" name="28" totalsRowFunction="count" dataDxfId="157" totalsRowDxfId="156"/>
    <tableColumn id="30" xr3:uid="{00000000-0010-0000-0900-00001E000000}" name="29" totalsRowFunction="count" dataDxfId="155" totalsRowDxfId="154"/>
    <tableColumn id="31" xr3:uid="{00000000-0010-0000-0900-00001F000000}" name="30" totalsRowFunction="count" dataDxfId="153" totalsRowDxfId="152"/>
    <tableColumn id="32" xr3:uid="{00000000-0010-0000-0900-000020000000}" name="31" totalsRowFunction="count" dataDxfId="151" totalsRowDxfId="150"/>
    <tableColumn id="33" xr3:uid="{00000000-0010-0000-0900-000021000000}" name="Dienu kopskaits" totalsRowFunction="sum" dataDxfId="149" totalsRowDxfId="148">
      <calculatedColumnFormula>COUNTA(Oktobris[[#This Row],[1]:[31]])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Novembris" displayName="Novembris" ref="B6:AH12" totalsRowCount="1" headerRowDxfId="142" dataDxfId="141" totalsRowDxfId="140">
  <tableColumns count="33">
    <tableColumn id="1" xr3:uid="{00000000-0010-0000-0A00-000001000000}" name="Darbinieka vārds, uzvārds" totalsRowFunction="custom" dataDxfId="139" totalsRowDxfId="138" dataCellStyle="Darbinieks">
      <totalsRowFormula>MēnešaNosaukums&amp;" Kopā"</totalsRowFormula>
    </tableColumn>
    <tableColumn id="2" xr3:uid="{00000000-0010-0000-0A00-000002000000}" name="1" totalsRowFunction="count" dataDxfId="137" totalsRowDxfId="136"/>
    <tableColumn id="3" xr3:uid="{00000000-0010-0000-0A00-000003000000}" name="2" totalsRowFunction="count" dataDxfId="135" totalsRowDxfId="134"/>
    <tableColumn id="4" xr3:uid="{00000000-0010-0000-0A00-000004000000}" name="3" totalsRowFunction="count" dataDxfId="133" totalsRowDxfId="132"/>
    <tableColumn id="5" xr3:uid="{00000000-0010-0000-0A00-000005000000}" name="4" totalsRowFunction="count" dataDxfId="131" totalsRowDxfId="130"/>
    <tableColumn id="6" xr3:uid="{00000000-0010-0000-0A00-000006000000}" name="5" totalsRowFunction="count" dataDxfId="129" totalsRowDxfId="128"/>
    <tableColumn id="7" xr3:uid="{00000000-0010-0000-0A00-000007000000}" name="6" totalsRowFunction="count" dataDxfId="127" totalsRowDxfId="126"/>
    <tableColumn id="8" xr3:uid="{00000000-0010-0000-0A00-000008000000}" name="7" totalsRowFunction="count" dataDxfId="125" totalsRowDxfId="124"/>
    <tableColumn id="9" xr3:uid="{00000000-0010-0000-0A00-000009000000}" name="8" totalsRowFunction="count" dataDxfId="123" totalsRowDxfId="122"/>
    <tableColumn id="10" xr3:uid="{00000000-0010-0000-0A00-00000A000000}" name="9" totalsRowFunction="count" dataDxfId="121" totalsRowDxfId="120"/>
    <tableColumn id="11" xr3:uid="{00000000-0010-0000-0A00-00000B000000}" name="10" totalsRowFunction="count" dataDxfId="119" totalsRowDxfId="118"/>
    <tableColumn id="12" xr3:uid="{00000000-0010-0000-0A00-00000C000000}" name="11" totalsRowFunction="count" dataDxfId="117" totalsRowDxfId="116"/>
    <tableColumn id="13" xr3:uid="{00000000-0010-0000-0A00-00000D000000}" name="12" totalsRowFunction="count" dataDxfId="115" totalsRowDxfId="114"/>
    <tableColumn id="14" xr3:uid="{00000000-0010-0000-0A00-00000E000000}" name="13" totalsRowFunction="count" dataDxfId="113" totalsRowDxfId="112"/>
    <tableColumn id="15" xr3:uid="{00000000-0010-0000-0A00-00000F000000}" name="14" totalsRowFunction="count" dataDxfId="111" totalsRowDxfId="110"/>
    <tableColumn id="16" xr3:uid="{00000000-0010-0000-0A00-000010000000}" name="15" totalsRowFunction="count" dataDxfId="109" totalsRowDxfId="108"/>
    <tableColumn id="17" xr3:uid="{00000000-0010-0000-0A00-000011000000}" name="16" totalsRowFunction="count" dataDxfId="107" totalsRowDxfId="106"/>
    <tableColumn id="18" xr3:uid="{00000000-0010-0000-0A00-000012000000}" name="17" totalsRowFunction="count" dataDxfId="105" totalsRowDxfId="104"/>
    <tableColumn id="19" xr3:uid="{00000000-0010-0000-0A00-000013000000}" name="18" totalsRowFunction="count" dataDxfId="103" totalsRowDxfId="102"/>
    <tableColumn id="20" xr3:uid="{00000000-0010-0000-0A00-000014000000}" name="19" totalsRowFunction="count" dataDxfId="101" totalsRowDxfId="100"/>
    <tableColumn id="21" xr3:uid="{00000000-0010-0000-0A00-000015000000}" name="20" totalsRowFunction="count" dataDxfId="99" totalsRowDxfId="98"/>
    <tableColumn id="22" xr3:uid="{00000000-0010-0000-0A00-000016000000}" name="21" totalsRowFunction="count" dataDxfId="97" totalsRowDxfId="96"/>
    <tableColumn id="23" xr3:uid="{00000000-0010-0000-0A00-000017000000}" name="22" totalsRowFunction="count" dataDxfId="95" totalsRowDxfId="94"/>
    <tableColumn id="24" xr3:uid="{00000000-0010-0000-0A00-000018000000}" name="23" totalsRowFunction="count" dataDxfId="93" totalsRowDxfId="92"/>
    <tableColumn id="25" xr3:uid="{00000000-0010-0000-0A00-000019000000}" name="24" totalsRowFunction="count" dataDxfId="91" totalsRowDxfId="90"/>
    <tableColumn id="26" xr3:uid="{00000000-0010-0000-0A00-00001A000000}" name="25" totalsRowFunction="count" dataDxfId="89" totalsRowDxfId="88"/>
    <tableColumn id="27" xr3:uid="{00000000-0010-0000-0A00-00001B000000}" name="26" totalsRowFunction="count" dataDxfId="87" totalsRowDxfId="86"/>
    <tableColumn id="28" xr3:uid="{00000000-0010-0000-0A00-00001C000000}" name="27" totalsRowFunction="count" dataDxfId="85" totalsRowDxfId="84"/>
    <tableColumn id="29" xr3:uid="{00000000-0010-0000-0A00-00001D000000}" name="28" totalsRowFunction="count" dataDxfId="83" totalsRowDxfId="82"/>
    <tableColumn id="30" xr3:uid="{00000000-0010-0000-0A00-00001E000000}" name="29" totalsRowFunction="count" dataDxfId="81" totalsRowDxfId="80"/>
    <tableColumn id="31" xr3:uid="{00000000-0010-0000-0A00-00001F000000}" name="30" totalsRowFunction="count" dataDxfId="79" totalsRowDxfId="78"/>
    <tableColumn id="32" xr3:uid="{00000000-0010-0000-0A00-000020000000}" name=" " totalsRowFunction="count" dataDxfId="77" totalsRowDxfId="76"/>
    <tableColumn id="33" xr3:uid="{00000000-0010-0000-0A00-000021000000}" name="Dienu kopskaits" totalsRowFunction="sum" dataDxfId="75" totalsRowDxfId="74">
      <calculatedColumnFormula>COUNTA(Novembris[[#This Row],[1]:[30]])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ecembris" displayName="Decembris" ref="B6:AH12" totalsRowCount="1" headerRowDxfId="68" dataDxfId="67" totalsRowDxfId="66">
  <tableColumns count="33">
    <tableColumn id="1" xr3:uid="{00000000-0010-0000-0B00-000001000000}" name="Darbinieka vārds, uzvārds" totalsRowFunction="custom" dataDxfId="65" totalsRowDxfId="64" dataCellStyle="Darbinieks">
      <totalsRowFormula>MēnešaNosaukums&amp;" Kopā"</totalsRowFormula>
    </tableColumn>
    <tableColumn id="2" xr3:uid="{00000000-0010-0000-0B00-000002000000}" name="1" totalsRowFunction="count" dataDxfId="63" totalsRowDxfId="62"/>
    <tableColumn id="3" xr3:uid="{00000000-0010-0000-0B00-000003000000}" name="2" totalsRowFunction="count" dataDxfId="61" totalsRowDxfId="60"/>
    <tableColumn id="4" xr3:uid="{00000000-0010-0000-0B00-000004000000}" name="3" totalsRowFunction="count" dataDxfId="59" totalsRowDxfId="58"/>
    <tableColumn id="5" xr3:uid="{00000000-0010-0000-0B00-000005000000}" name="4" totalsRowFunction="count" dataDxfId="57" totalsRowDxfId="56"/>
    <tableColumn id="6" xr3:uid="{00000000-0010-0000-0B00-000006000000}" name="5" totalsRowFunction="count" dataDxfId="55" totalsRowDxfId="54"/>
    <tableColumn id="7" xr3:uid="{00000000-0010-0000-0B00-000007000000}" name="6" totalsRowFunction="count" dataDxfId="53" totalsRowDxfId="52"/>
    <tableColumn id="8" xr3:uid="{00000000-0010-0000-0B00-000008000000}" name="7" totalsRowFunction="count" dataDxfId="51" totalsRowDxfId="50"/>
    <tableColumn id="9" xr3:uid="{00000000-0010-0000-0B00-000009000000}" name="8" totalsRowFunction="count" dataDxfId="49" totalsRowDxfId="48"/>
    <tableColumn id="10" xr3:uid="{00000000-0010-0000-0B00-00000A000000}" name="9" totalsRowFunction="count" dataDxfId="47" totalsRowDxfId="46"/>
    <tableColumn id="11" xr3:uid="{00000000-0010-0000-0B00-00000B000000}" name="10" totalsRowFunction="count" dataDxfId="45" totalsRowDxfId="44"/>
    <tableColumn id="12" xr3:uid="{00000000-0010-0000-0B00-00000C000000}" name="11" totalsRowFunction="count" dataDxfId="43" totalsRowDxfId="42"/>
    <tableColumn id="13" xr3:uid="{00000000-0010-0000-0B00-00000D000000}" name="12" totalsRowFunction="count" dataDxfId="41" totalsRowDxfId="40"/>
    <tableColumn id="14" xr3:uid="{00000000-0010-0000-0B00-00000E000000}" name="13" totalsRowFunction="count" dataDxfId="39" totalsRowDxfId="38"/>
    <tableColumn id="15" xr3:uid="{00000000-0010-0000-0B00-00000F000000}" name="14" totalsRowFunction="count" dataDxfId="37" totalsRowDxfId="36"/>
    <tableColumn id="16" xr3:uid="{00000000-0010-0000-0B00-000010000000}" name="15" totalsRowFunction="count" dataDxfId="35" totalsRowDxfId="34"/>
    <tableColumn id="17" xr3:uid="{00000000-0010-0000-0B00-000011000000}" name="16" totalsRowFunction="count" dataDxfId="33" totalsRowDxfId="32"/>
    <tableColumn id="18" xr3:uid="{00000000-0010-0000-0B00-000012000000}" name="17" totalsRowFunction="count" dataDxfId="31" totalsRowDxfId="30"/>
    <tableColumn id="19" xr3:uid="{00000000-0010-0000-0B00-000013000000}" name="18" totalsRowFunction="count" dataDxfId="29" totalsRowDxfId="28"/>
    <tableColumn id="20" xr3:uid="{00000000-0010-0000-0B00-000014000000}" name="19" totalsRowFunction="count" dataDxfId="27" totalsRowDxfId="26"/>
    <tableColumn id="21" xr3:uid="{00000000-0010-0000-0B00-000015000000}" name="20" totalsRowFunction="count" dataDxfId="25" totalsRowDxfId="24"/>
    <tableColumn id="22" xr3:uid="{00000000-0010-0000-0B00-000016000000}" name="21" totalsRowFunction="count" dataDxfId="23" totalsRowDxfId="22"/>
    <tableColumn id="23" xr3:uid="{00000000-0010-0000-0B00-000017000000}" name="22" totalsRowFunction="count" dataDxfId="21" totalsRowDxfId="20"/>
    <tableColumn id="24" xr3:uid="{00000000-0010-0000-0B00-000018000000}" name="23" totalsRowFunction="count" dataDxfId="19" totalsRowDxfId="18"/>
    <tableColumn id="25" xr3:uid="{00000000-0010-0000-0B00-000019000000}" name="24" totalsRowFunction="count" dataDxfId="17" totalsRowDxfId="16"/>
    <tableColumn id="26" xr3:uid="{00000000-0010-0000-0B00-00001A000000}" name="25" totalsRowFunction="count" dataDxfId="15" totalsRowDxfId="14"/>
    <tableColumn id="27" xr3:uid="{00000000-0010-0000-0B00-00001B000000}" name="26" totalsRowFunction="count" dataDxfId="13" totalsRowDxfId="12"/>
    <tableColumn id="28" xr3:uid="{00000000-0010-0000-0B00-00001C000000}" name="27" totalsRowFunction="count" dataDxfId="11" totalsRowDxfId="10"/>
    <tableColumn id="29" xr3:uid="{00000000-0010-0000-0B00-00001D000000}" name="28" totalsRowFunction="count" dataDxfId="9" totalsRowDxfId="8"/>
    <tableColumn id="30" xr3:uid="{00000000-0010-0000-0B00-00001E000000}" name="29" totalsRowFunction="count" dataDxfId="7" totalsRowDxfId="6"/>
    <tableColumn id="31" xr3:uid="{00000000-0010-0000-0B00-00001F000000}" name="30" totalsRowFunction="count" dataDxfId="5" totalsRowDxfId="4"/>
    <tableColumn id="32" xr3:uid="{00000000-0010-0000-0B00-000020000000}" name="31" totalsRowFunction="count" dataDxfId="3" totalsRowDxfId="2"/>
    <tableColumn id="33" xr3:uid="{00000000-0010-0000-0B00-000021000000}" name="Dienu kopskaits" totalsRowFunction="sum" dataDxfId="1" totalsRowDxfId="0">
      <calculatedColumnFormula>COUNTA(Decembris[[#This Row],[1]:[31]])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drošina vārdu un kalendāru datumu sarakstu, lai reģistrētu darbinieku prombūtni un konkrētu prombūtnes tipu, piemēram, V=Atvaļinājums, S=Slimība, P=Personisks un divi vietturi pielāgotiem ierakstiem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DarbiniekaVārds" displayName="DarbiniekaVārds" ref="B3:B8" totalsRowShown="0">
  <autoFilter ref="B3:B8" xr:uid="{00000000-0009-0000-0100-00000D000000}"/>
  <tableColumns count="1">
    <tableColumn id="1" xr3:uid="{00000000-0010-0000-0C00-000001000000}" name="Darbinieku vārdi" dataCellStyle="Darbinieks"/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Ievadiet darbinieku vārdus tabulas šajā tabulā. Šie vārdi tiek izmantoti kā opcijas katra mēneša prombūtnes grafika kolonnā B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āris" displayName="Februāris" ref="B6:AH12" totalsRowCount="1" headerRowDxfId="808" dataDxfId="807" totalsRowDxfId="806">
  <tableColumns count="33">
    <tableColumn id="1" xr3:uid="{00000000-0010-0000-0100-000001000000}" name="Darbinieka vārds, uzvārds" totalsRowFunction="custom" dataDxfId="805" totalsRowDxfId="804" dataCellStyle="Darbinieks">
      <totalsRowFormula>MēnešaNosaukums&amp;" Kopā"</totalsRowFormula>
    </tableColumn>
    <tableColumn id="2" xr3:uid="{00000000-0010-0000-0100-000002000000}" name="1" totalsRowFunction="count" dataDxfId="803" totalsRowDxfId="802"/>
    <tableColumn id="3" xr3:uid="{00000000-0010-0000-0100-000003000000}" name="2" totalsRowFunction="count" dataDxfId="801" totalsRowDxfId="800"/>
    <tableColumn id="4" xr3:uid="{00000000-0010-0000-0100-000004000000}" name="3" totalsRowFunction="count" dataDxfId="799" totalsRowDxfId="798"/>
    <tableColumn id="5" xr3:uid="{00000000-0010-0000-0100-000005000000}" name="4" totalsRowFunction="count" dataDxfId="797" totalsRowDxfId="796"/>
    <tableColumn id="6" xr3:uid="{00000000-0010-0000-0100-000006000000}" name="5" totalsRowFunction="count" dataDxfId="795" totalsRowDxfId="794"/>
    <tableColumn id="7" xr3:uid="{00000000-0010-0000-0100-000007000000}" name="6" totalsRowFunction="count" dataDxfId="793" totalsRowDxfId="792"/>
    <tableColumn id="8" xr3:uid="{00000000-0010-0000-0100-000008000000}" name="7" totalsRowFunction="count" dataDxfId="791" totalsRowDxfId="790"/>
    <tableColumn id="9" xr3:uid="{00000000-0010-0000-0100-000009000000}" name="8" totalsRowFunction="count" dataDxfId="789" totalsRowDxfId="788"/>
    <tableColumn id="10" xr3:uid="{00000000-0010-0000-0100-00000A000000}" name="9" totalsRowFunction="count" dataDxfId="787" totalsRowDxfId="786"/>
    <tableColumn id="11" xr3:uid="{00000000-0010-0000-0100-00000B000000}" name="10" totalsRowFunction="count" dataDxfId="785" totalsRowDxfId="784"/>
    <tableColumn id="12" xr3:uid="{00000000-0010-0000-0100-00000C000000}" name="11" totalsRowFunction="count" dataDxfId="783" totalsRowDxfId="782"/>
    <tableColumn id="13" xr3:uid="{00000000-0010-0000-0100-00000D000000}" name="12" totalsRowFunction="count" dataDxfId="781" totalsRowDxfId="780"/>
    <tableColumn id="14" xr3:uid="{00000000-0010-0000-0100-00000E000000}" name="13" totalsRowFunction="count" dataDxfId="779" totalsRowDxfId="778"/>
    <tableColumn id="15" xr3:uid="{00000000-0010-0000-0100-00000F000000}" name="14" totalsRowFunction="count" dataDxfId="777" totalsRowDxfId="776"/>
    <tableColumn id="16" xr3:uid="{00000000-0010-0000-0100-000010000000}" name="15" totalsRowFunction="count" dataDxfId="775" totalsRowDxfId="774"/>
    <tableColumn id="17" xr3:uid="{00000000-0010-0000-0100-000011000000}" name="16" totalsRowFunction="count" dataDxfId="773" totalsRowDxfId="772"/>
    <tableColumn id="18" xr3:uid="{00000000-0010-0000-0100-000012000000}" name="17" totalsRowFunction="count" dataDxfId="771" totalsRowDxfId="770"/>
    <tableColumn id="19" xr3:uid="{00000000-0010-0000-0100-000013000000}" name="18" totalsRowFunction="count" dataDxfId="769" totalsRowDxfId="768"/>
    <tableColumn id="20" xr3:uid="{00000000-0010-0000-0100-000014000000}" name="19" totalsRowFunction="count" dataDxfId="767" totalsRowDxfId="766"/>
    <tableColumn id="21" xr3:uid="{00000000-0010-0000-0100-000015000000}" name="20" totalsRowFunction="count" dataDxfId="765" totalsRowDxfId="764"/>
    <tableColumn id="22" xr3:uid="{00000000-0010-0000-0100-000016000000}" name="21" totalsRowFunction="count" dataDxfId="763" totalsRowDxfId="762"/>
    <tableColumn id="23" xr3:uid="{00000000-0010-0000-0100-000017000000}" name="22" totalsRowFunction="count" dataDxfId="761" totalsRowDxfId="760"/>
    <tableColumn id="24" xr3:uid="{00000000-0010-0000-0100-000018000000}" name="23" totalsRowFunction="count" dataDxfId="759" totalsRowDxfId="758"/>
    <tableColumn id="25" xr3:uid="{00000000-0010-0000-0100-000019000000}" name="24" totalsRowFunction="count" dataDxfId="757" totalsRowDxfId="756"/>
    <tableColumn id="26" xr3:uid="{00000000-0010-0000-0100-00001A000000}" name="25" totalsRowFunction="count" dataDxfId="755" totalsRowDxfId="754"/>
    <tableColumn id="27" xr3:uid="{00000000-0010-0000-0100-00001B000000}" name="26" totalsRowFunction="count" dataDxfId="753" totalsRowDxfId="752"/>
    <tableColumn id="28" xr3:uid="{00000000-0010-0000-0100-00001C000000}" name="27" totalsRowFunction="count" dataDxfId="751" totalsRowDxfId="750"/>
    <tableColumn id="29" xr3:uid="{00000000-0010-0000-0100-00001D000000}" name="28" totalsRowFunction="count" dataDxfId="749" totalsRowDxfId="748"/>
    <tableColumn id="30" xr3:uid="{00000000-0010-0000-0100-00001E000000}" name="29" totalsRowFunction="count" dataDxfId="747" totalsRowDxfId="746"/>
    <tableColumn id="31" xr3:uid="{00000000-0010-0000-0100-00001F000000}" name=" " dataDxfId="745" totalsRowDxfId="744"/>
    <tableColumn id="32" xr3:uid="{00000000-0010-0000-0100-000020000000}" name="  " dataDxfId="743" totalsRowDxfId="742"/>
    <tableColumn id="33" xr3:uid="{00000000-0010-0000-0100-000021000000}" name="Dienu kopskaits" totalsRowFunction="sum" dataDxfId="741" totalsRowDxfId="740">
      <calculatedColumnFormula>COUNTA(Februāris[[#This Row],[1]:[29]])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Marts" displayName="Marts" ref="B6:AH12" totalsRowCount="1" headerRowDxfId="734" dataDxfId="733" totalsRowDxfId="732">
  <tableColumns count="33">
    <tableColumn id="1" xr3:uid="{00000000-0010-0000-0200-000001000000}" name="Darbinieka vārds, uzvārds" totalsRowFunction="custom" dataDxfId="731" totalsRowDxfId="730" dataCellStyle="Darbinieks">
      <totalsRowFormula>MēnešaNosaukums&amp;" Kopā"</totalsRowFormula>
    </tableColumn>
    <tableColumn id="2" xr3:uid="{00000000-0010-0000-0200-000002000000}" name="1" totalsRowFunction="count" dataDxfId="729" totalsRowDxfId="728"/>
    <tableColumn id="3" xr3:uid="{00000000-0010-0000-0200-000003000000}" name="2" totalsRowFunction="count" dataDxfId="727" totalsRowDxfId="726"/>
    <tableColumn id="4" xr3:uid="{00000000-0010-0000-0200-000004000000}" name="3" totalsRowFunction="count" dataDxfId="725" totalsRowDxfId="724"/>
    <tableColumn id="5" xr3:uid="{00000000-0010-0000-0200-000005000000}" name="4" totalsRowFunction="count" dataDxfId="723" totalsRowDxfId="722"/>
    <tableColumn id="6" xr3:uid="{00000000-0010-0000-0200-000006000000}" name="5" totalsRowFunction="count" dataDxfId="721" totalsRowDxfId="720"/>
    <tableColumn id="7" xr3:uid="{00000000-0010-0000-0200-000007000000}" name="6" totalsRowFunction="count" dataDxfId="719" totalsRowDxfId="718"/>
    <tableColumn id="8" xr3:uid="{00000000-0010-0000-0200-000008000000}" name="7" totalsRowFunction="count" dataDxfId="717" totalsRowDxfId="716"/>
    <tableColumn id="9" xr3:uid="{00000000-0010-0000-0200-000009000000}" name="8" totalsRowFunction="count" dataDxfId="715" totalsRowDxfId="714"/>
    <tableColumn id="10" xr3:uid="{00000000-0010-0000-0200-00000A000000}" name="9" totalsRowFunction="count" dataDxfId="713" totalsRowDxfId="712"/>
    <tableColumn id="11" xr3:uid="{00000000-0010-0000-0200-00000B000000}" name="10" totalsRowFunction="count" dataDxfId="711" totalsRowDxfId="710"/>
    <tableColumn id="12" xr3:uid="{00000000-0010-0000-0200-00000C000000}" name="11" totalsRowFunction="count" dataDxfId="709" totalsRowDxfId="708"/>
    <tableColumn id="13" xr3:uid="{00000000-0010-0000-0200-00000D000000}" name="12" totalsRowFunction="count" dataDxfId="707" totalsRowDxfId="706"/>
    <tableColumn id="14" xr3:uid="{00000000-0010-0000-0200-00000E000000}" name="13" totalsRowFunction="count" dataDxfId="705" totalsRowDxfId="704"/>
    <tableColumn id="15" xr3:uid="{00000000-0010-0000-0200-00000F000000}" name="14" totalsRowFunction="count" dataDxfId="703" totalsRowDxfId="702"/>
    <tableColumn id="16" xr3:uid="{00000000-0010-0000-0200-000010000000}" name="15" totalsRowFunction="count" dataDxfId="701" totalsRowDxfId="700"/>
    <tableColumn id="17" xr3:uid="{00000000-0010-0000-0200-000011000000}" name="16" totalsRowFunction="count" dataDxfId="699" totalsRowDxfId="698"/>
    <tableColumn id="18" xr3:uid="{00000000-0010-0000-0200-000012000000}" name="17" totalsRowFunction="count" dataDxfId="697" totalsRowDxfId="696"/>
    <tableColumn id="19" xr3:uid="{00000000-0010-0000-0200-000013000000}" name="18" totalsRowFunction="count" dataDxfId="695" totalsRowDxfId="694"/>
    <tableColumn id="20" xr3:uid="{00000000-0010-0000-0200-000014000000}" name="19" totalsRowFunction="count" dataDxfId="693" totalsRowDxfId="692"/>
    <tableColumn id="21" xr3:uid="{00000000-0010-0000-0200-000015000000}" name="20" totalsRowFunction="count" dataDxfId="691" totalsRowDxfId="690"/>
    <tableColumn id="22" xr3:uid="{00000000-0010-0000-0200-000016000000}" name="21" totalsRowFunction="count" dataDxfId="689" totalsRowDxfId="688"/>
    <tableColumn id="23" xr3:uid="{00000000-0010-0000-0200-000017000000}" name="22" totalsRowFunction="count" dataDxfId="687" totalsRowDxfId="686"/>
    <tableColumn id="24" xr3:uid="{00000000-0010-0000-0200-000018000000}" name="23" totalsRowFunction="count" dataDxfId="685" totalsRowDxfId="684"/>
    <tableColumn id="25" xr3:uid="{00000000-0010-0000-0200-000019000000}" name="24" totalsRowFunction="count" dataDxfId="683" totalsRowDxfId="682"/>
    <tableColumn id="26" xr3:uid="{00000000-0010-0000-0200-00001A000000}" name="25" totalsRowFunction="count" dataDxfId="681" totalsRowDxfId="680"/>
    <tableColumn id="27" xr3:uid="{00000000-0010-0000-0200-00001B000000}" name="26" totalsRowFunction="count" dataDxfId="679" totalsRowDxfId="678"/>
    <tableColumn id="28" xr3:uid="{00000000-0010-0000-0200-00001C000000}" name="27" totalsRowFunction="count" dataDxfId="677" totalsRowDxfId="676"/>
    <tableColumn id="29" xr3:uid="{00000000-0010-0000-0200-00001D000000}" name="28" totalsRowFunction="count" dataDxfId="675" totalsRowDxfId="674"/>
    <tableColumn id="30" xr3:uid="{00000000-0010-0000-0200-00001E000000}" name="29" totalsRowFunction="count" dataDxfId="673" totalsRowDxfId="672"/>
    <tableColumn id="31" xr3:uid="{00000000-0010-0000-0200-00001F000000}" name="30" totalsRowFunction="count" dataDxfId="671" totalsRowDxfId="670"/>
    <tableColumn id="32" xr3:uid="{00000000-0010-0000-0200-000020000000}" name="31" totalsRowFunction="count" dataDxfId="669" totalsRowDxfId="668"/>
    <tableColumn id="33" xr3:uid="{00000000-0010-0000-0200-000021000000}" name="Dienu kopskaits" totalsRowFunction="sum" dataDxfId="667" totalsRowDxfId="666">
      <calculatedColumnFormula>COUNTA(Marts[[#This Row],[1]:[31]])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Aprīlis" displayName="Aprīlis" ref="B6:AH12" totalsRowCount="1" headerRowDxfId="660" dataDxfId="659" totalsRowDxfId="658">
  <tableColumns count="33">
    <tableColumn id="1" xr3:uid="{00000000-0010-0000-0300-000001000000}" name="Darbinieka vārds, uzvārds" totalsRowFunction="custom" dataDxfId="657" totalsRowDxfId="656" dataCellStyle="Darbinieks">
      <totalsRowFormula>MēnešaNosaukums&amp;" Kopā"</totalsRowFormula>
    </tableColumn>
    <tableColumn id="2" xr3:uid="{00000000-0010-0000-0300-000002000000}" name="1" totalsRowFunction="count" dataDxfId="655" totalsRowDxfId="654"/>
    <tableColumn id="3" xr3:uid="{00000000-0010-0000-0300-000003000000}" name="2" totalsRowFunction="count" dataDxfId="653" totalsRowDxfId="652"/>
    <tableColumn id="4" xr3:uid="{00000000-0010-0000-0300-000004000000}" name="3" totalsRowFunction="count" dataDxfId="651" totalsRowDxfId="650"/>
    <tableColumn id="5" xr3:uid="{00000000-0010-0000-0300-000005000000}" name="4" totalsRowFunction="count" dataDxfId="649" totalsRowDxfId="648"/>
    <tableColumn id="6" xr3:uid="{00000000-0010-0000-0300-000006000000}" name="5" totalsRowFunction="count" dataDxfId="647" totalsRowDxfId="646"/>
    <tableColumn id="7" xr3:uid="{00000000-0010-0000-0300-000007000000}" name="6" totalsRowFunction="count" dataDxfId="645" totalsRowDxfId="644"/>
    <tableColumn id="8" xr3:uid="{00000000-0010-0000-0300-000008000000}" name="7" totalsRowFunction="count" dataDxfId="643" totalsRowDxfId="642"/>
    <tableColumn id="9" xr3:uid="{00000000-0010-0000-0300-000009000000}" name="8" totalsRowFunction="count" dataDxfId="641" totalsRowDxfId="640"/>
    <tableColumn id="10" xr3:uid="{00000000-0010-0000-0300-00000A000000}" name="9" totalsRowFunction="count" dataDxfId="639" totalsRowDxfId="638"/>
    <tableColumn id="11" xr3:uid="{00000000-0010-0000-0300-00000B000000}" name="10" totalsRowFunction="count" dataDxfId="637" totalsRowDxfId="636"/>
    <tableColumn id="12" xr3:uid="{00000000-0010-0000-0300-00000C000000}" name="11" totalsRowFunction="count" dataDxfId="635" totalsRowDxfId="634"/>
    <tableColumn id="13" xr3:uid="{00000000-0010-0000-0300-00000D000000}" name="12" totalsRowFunction="count" dataDxfId="633" totalsRowDxfId="632"/>
    <tableColumn id="14" xr3:uid="{00000000-0010-0000-0300-00000E000000}" name="13" totalsRowFunction="count" dataDxfId="631" totalsRowDxfId="630"/>
    <tableColumn id="15" xr3:uid="{00000000-0010-0000-0300-00000F000000}" name="14" totalsRowFunction="count" dataDxfId="629" totalsRowDxfId="628"/>
    <tableColumn id="16" xr3:uid="{00000000-0010-0000-0300-000010000000}" name="15" totalsRowFunction="count" dataDxfId="627" totalsRowDxfId="626"/>
    <tableColumn id="17" xr3:uid="{00000000-0010-0000-0300-000011000000}" name="16" totalsRowFunction="count" dataDxfId="625" totalsRowDxfId="624"/>
    <tableColumn id="18" xr3:uid="{00000000-0010-0000-0300-000012000000}" name="17" totalsRowFunction="count" dataDxfId="623" totalsRowDxfId="622"/>
    <tableColumn id="19" xr3:uid="{00000000-0010-0000-0300-000013000000}" name="18" totalsRowFunction="count" dataDxfId="621" totalsRowDxfId="620"/>
    <tableColumn id="20" xr3:uid="{00000000-0010-0000-0300-000014000000}" name="19" totalsRowFunction="count" dataDxfId="619" totalsRowDxfId="618"/>
    <tableColumn id="21" xr3:uid="{00000000-0010-0000-0300-000015000000}" name="20" totalsRowFunction="count" dataDxfId="617" totalsRowDxfId="616"/>
    <tableColumn id="22" xr3:uid="{00000000-0010-0000-0300-000016000000}" name="21" totalsRowFunction="count" dataDxfId="615" totalsRowDxfId="614"/>
    <tableColumn id="23" xr3:uid="{00000000-0010-0000-0300-000017000000}" name="22" totalsRowFunction="count" dataDxfId="613" totalsRowDxfId="612"/>
    <tableColumn id="24" xr3:uid="{00000000-0010-0000-0300-000018000000}" name="23" totalsRowFunction="count" dataDxfId="611" totalsRowDxfId="610"/>
    <tableColumn id="25" xr3:uid="{00000000-0010-0000-0300-000019000000}" name="24" totalsRowFunction="count" dataDxfId="609" totalsRowDxfId="608"/>
    <tableColumn id="26" xr3:uid="{00000000-0010-0000-0300-00001A000000}" name="25" totalsRowFunction="count" dataDxfId="607" totalsRowDxfId="606"/>
    <tableColumn id="27" xr3:uid="{00000000-0010-0000-0300-00001B000000}" name="26" totalsRowFunction="count" dataDxfId="605" totalsRowDxfId="604"/>
    <tableColumn id="28" xr3:uid="{00000000-0010-0000-0300-00001C000000}" name="27" totalsRowFunction="count" dataDxfId="603" totalsRowDxfId="602"/>
    <tableColumn id="29" xr3:uid="{00000000-0010-0000-0300-00001D000000}" name="28" totalsRowFunction="count" dataDxfId="601" totalsRowDxfId="600"/>
    <tableColumn id="30" xr3:uid="{00000000-0010-0000-0300-00001E000000}" name="29" totalsRowFunction="count" dataDxfId="599" totalsRowDxfId="598"/>
    <tableColumn id="31" xr3:uid="{00000000-0010-0000-0300-00001F000000}" name="30" totalsRowFunction="count" dataDxfId="597" totalsRowDxfId="596"/>
    <tableColumn id="32" xr3:uid="{00000000-0010-0000-0300-000020000000}" name=" " totalsRowFunction="custom" dataDxfId="595" totalsRowDxfId="594">
      <totalsRowFormula>SUBTOTAL(103,Aprīlis[30])</totalsRowFormula>
    </tableColumn>
    <tableColumn id="33" xr3:uid="{00000000-0010-0000-0300-000021000000}" name="Dienu kopskaits" totalsRowFunction="sum" dataDxfId="593" totalsRowDxfId="592">
      <calculatedColumnFormula>COUNTA(Aprīlis[[#This Row],[1]:[30]])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Maijs" displayName="Maijs" ref="B6:AH12" totalsRowCount="1" headerRowDxfId="586" dataDxfId="585" totalsRowDxfId="584">
  <tableColumns count="33">
    <tableColumn id="1" xr3:uid="{00000000-0010-0000-0400-000001000000}" name="Darbinieka vārds, uzvārds" totalsRowFunction="custom" dataDxfId="583" totalsRowDxfId="582" dataCellStyle="Darbinieks">
      <totalsRowFormula>MēnešaNosaukums&amp;" Kopā"</totalsRowFormula>
    </tableColumn>
    <tableColumn id="2" xr3:uid="{00000000-0010-0000-0400-000002000000}" name="1" totalsRowFunction="count" dataDxfId="581" totalsRowDxfId="580"/>
    <tableColumn id="3" xr3:uid="{00000000-0010-0000-0400-000003000000}" name="2" totalsRowFunction="count" dataDxfId="579" totalsRowDxfId="578"/>
    <tableColumn id="4" xr3:uid="{00000000-0010-0000-0400-000004000000}" name="3" totalsRowFunction="count" dataDxfId="577" totalsRowDxfId="576"/>
    <tableColumn id="5" xr3:uid="{00000000-0010-0000-0400-000005000000}" name="4" totalsRowFunction="count" dataDxfId="575" totalsRowDxfId="574"/>
    <tableColumn id="6" xr3:uid="{00000000-0010-0000-0400-000006000000}" name="5" totalsRowFunction="count" dataDxfId="573" totalsRowDxfId="572"/>
    <tableColumn id="7" xr3:uid="{00000000-0010-0000-0400-000007000000}" name="6" totalsRowFunction="count" dataDxfId="571" totalsRowDxfId="570"/>
    <tableColumn id="8" xr3:uid="{00000000-0010-0000-0400-000008000000}" name="7" totalsRowFunction="count" dataDxfId="569" totalsRowDxfId="568"/>
    <tableColumn id="9" xr3:uid="{00000000-0010-0000-0400-000009000000}" name="8" totalsRowFunction="count" dataDxfId="567" totalsRowDxfId="566"/>
    <tableColumn id="10" xr3:uid="{00000000-0010-0000-0400-00000A000000}" name="9" totalsRowFunction="count" dataDxfId="565" totalsRowDxfId="564"/>
    <tableColumn id="11" xr3:uid="{00000000-0010-0000-0400-00000B000000}" name="10" totalsRowFunction="count" dataDxfId="563" totalsRowDxfId="562"/>
    <tableColumn id="12" xr3:uid="{00000000-0010-0000-0400-00000C000000}" name="11" totalsRowFunction="count" dataDxfId="561" totalsRowDxfId="560"/>
    <tableColumn id="13" xr3:uid="{00000000-0010-0000-0400-00000D000000}" name="12" totalsRowFunction="count" dataDxfId="559" totalsRowDxfId="558"/>
    <tableColumn id="14" xr3:uid="{00000000-0010-0000-0400-00000E000000}" name="13" totalsRowFunction="count" dataDxfId="557" totalsRowDxfId="556"/>
    <tableColumn id="15" xr3:uid="{00000000-0010-0000-0400-00000F000000}" name="14" totalsRowFunction="count" dataDxfId="555" totalsRowDxfId="554"/>
    <tableColumn id="16" xr3:uid="{00000000-0010-0000-0400-000010000000}" name="15" totalsRowFunction="count" dataDxfId="553" totalsRowDxfId="552"/>
    <tableColumn id="17" xr3:uid="{00000000-0010-0000-0400-000011000000}" name="16" totalsRowFunction="count" dataDxfId="551" totalsRowDxfId="550"/>
    <tableColumn id="18" xr3:uid="{00000000-0010-0000-0400-000012000000}" name="17" totalsRowFunction="count" dataDxfId="549" totalsRowDxfId="548"/>
    <tableColumn id="19" xr3:uid="{00000000-0010-0000-0400-000013000000}" name="18" totalsRowFunction="count" dataDxfId="547" totalsRowDxfId="546"/>
    <tableColumn id="20" xr3:uid="{00000000-0010-0000-0400-000014000000}" name="19" totalsRowFunction="count" dataDxfId="545" totalsRowDxfId="544"/>
    <tableColumn id="21" xr3:uid="{00000000-0010-0000-0400-000015000000}" name="20" totalsRowFunction="count" dataDxfId="543" totalsRowDxfId="542"/>
    <tableColumn id="22" xr3:uid="{00000000-0010-0000-0400-000016000000}" name="21" totalsRowFunction="count" dataDxfId="541" totalsRowDxfId="540"/>
    <tableColumn id="23" xr3:uid="{00000000-0010-0000-0400-000017000000}" name="22" totalsRowFunction="count" dataDxfId="539" totalsRowDxfId="538"/>
    <tableColumn id="24" xr3:uid="{00000000-0010-0000-0400-000018000000}" name="23" totalsRowFunction="count" dataDxfId="537" totalsRowDxfId="536"/>
    <tableColumn id="25" xr3:uid="{00000000-0010-0000-0400-000019000000}" name="24" totalsRowFunction="count" dataDxfId="535" totalsRowDxfId="534"/>
    <tableColumn id="26" xr3:uid="{00000000-0010-0000-0400-00001A000000}" name="25" totalsRowFunction="count" dataDxfId="533" totalsRowDxfId="532"/>
    <tableColumn id="27" xr3:uid="{00000000-0010-0000-0400-00001B000000}" name="26" totalsRowFunction="count" dataDxfId="531" totalsRowDxfId="530"/>
    <tableColumn id="28" xr3:uid="{00000000-0010-0000-0400-00001C000000}" name="27" totalsRowFunction="count" dataDxfId="529" totalsRowDxfId="528"/>
    <tableColumn id="29" xr3:uid="{00000000-0010-0000-0400-00001D000000}" name="28" totalsRowFunction="count" dataDxfId="527" totalsRowDxfId="526"/>
    <tableColumn id="30" xr3:uid="{00000000-0010-0000-0400-00001E000000}" name="29" totalsRowFunction="count" dataDxfId="525" totalsRowDxfId="524"/>
    <tableColumn id="31" xr3:uid="{00000000-0010-0000-0400-00001F000000}" name="30" totalsRowFunction="count" dataDxfId="523" totalsRowDxfId="522"/>
    <tableColumn id="32" xr3:uid="{00000000-0010-0000-0400-000020000000}" name="31" totalsRowFunction="count" dataDxfId="521" totalsRowDxfId="520"/>
    <tableColumn id="33" xr3:uid="{00000000-0010-0000-0400-000021000000}" name="Dienu kopskaits" totalsRowFunction="sum" dataDxfId="519" totalsRowDxfId="518">
      <calculatedColumnFormula>COUNTA(Maijs[[#This Row],[1]:[31]])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Jūnijs" displayName="Jūnijs" ref="B6:AH12" totalsRowCount="1" headerRowDxfId="512" dataDxfId="511" totalsRowDxfId="510">
  <tableColumns count="33">
    <tableColumn id="1" xr3:uid="{00000000-0010-0000-0500-000001000000}" name="Darbinieka vārds, uzvārds" totalsRowFunction="custom" dataDxfId="509" totalsRowDxfId="508" dataCellStyle="Darbinieks">
      <totalsRowFormula>MēnešaNosaukums&amp;" Kopā"</totalsRowFormula>
    </tableColumn>
    <tableColumn id="2" xr3:uid="{00000000-0010-0000-0500-000002000000}" name="1" totalsRowFunction="count" dataDxfId="507" totalsRowDxfId="506"/>
    <tableColumn id="3" xr3:uid="{00000000-0010-0000-0500-000003000000}" name="2" totalsRowFunction="count" dataDxfId="505" totalsRowDxfId="504"/>
    <tableColumn id="4" xr3:uid="{00000000-0010-0000-0500-000004000000}" name="3" totalsRowFunction="count" dataDxfId="503" totalsRowDxfId="502"/>
    <tableColumn id="5" xr3:uid="{00000000-0010-0000-0500-000005000000}" name="4" totalsRowFunction="count" dataDxfId="501" totalsRowDxfId="500"/>
    <tableColumn id="6" xr3:uid="{00000000-0010-0000-0500-000006000000}" name="5" totalsRowFunction="count" dataDxfId="499" totalsRowDxfId="498"/>
    <tableColumn id="7" xr3:uid="{00000000-0010-0000-0500-000007000000}" name="6" totalsRowFunction="count" dataDxfId="497" totalsRowDxfId="496"/>
    <tableColumn id="8" xr3:uid="{00000000-0010-0000-0500-000008000000}" name="7" totalsRowFunction="count" dataDxfId="495" totalsRowDxfId="494"/>
    <tableColumn id="9" xr3:uid="{00000000-0010-0000-0500-000009000000}" name="8" totalsRowFunction="count" dataDxfId="493" totalsRowDxfId="492"/>
    <tableColumn id="10" xr3:uid="{00000000-0010-0000-0500-00000A000000}" name="9" totalsRowFunction="count" dataDxfId="491" totalsRowDxfId="490"/>
    <tableColumn id="11" xr3:uid="{00000000-0010-0000-0500-00000B000000}" name="10" totalsRowFunction="count" dataDxfId="489" totalsRowDxfId="488"/>
    <tableColumn id="12" xr3:uid="{00000000-0010-0000-0500-00000C000000}" name="11" totalsRowFunction="count" dataDxfId="487" totalsRowDxfId="486"/>
    <tableColumn id="13" xr3:uid="{00000000-0010-0000-0500-00000D000000}" name="12" totalsRowFunction="count" dataDxfId="485" totalsRowDxfId="484"/>
    <tableColumn id="14" xr3:uid="{00000000-0010-0000-0500-00000E000000}" name="13" totalsRowFunction="count" dataDxfId="483" totalsRowDxfId="482"/>
    <tableColumn id="15" xr3:uid="{00000000-0010-0000-0500-00000F000000}" name="14" totalsRowFunction="count" dataDxfId="481" totalsRowDxfId="480"/>
    <tableColumn id="16" xr3:uid="{00000000-0010-0000-0500-000010000000}" name="15" totalsRowFunction="count" dataDxfId="479" totalsRowDxfId="478"/>
    <tableColumn id="17" xr3:uid="{00000000-0010-0000-0500-000011000000}" name="16" totalsRowFunction="count" dataDxfId="477" totalsRowDxfId="476"/>
    <tableColumn id="18" xr3:uid="{00000000-0010-0000-0500-000012000000}" name="17" totalsRowFunction="count" dataDxfId="475" totalsRowDxfId="474"/>
    <tableColumn id="19" xr3:uid="{00000000-0010-0000-0500-000013000000}" name="18" totalsRowFunction="count" dataDxfId="473" totalsRowDxfId="472"/>
    <tableColumn id="20" xr3:uid="{00000000-0010-0000-0500-000014000000}" name="19" totalsRowFunction="count" dataDxfId="471" totalsRowDxfId="470"/>
    <tableColumn id="21" xr3:uid="{00000000-0010-0000-0500-000015000000}" name="20" totalsRowFunction="count" dataDxfId="469" totalsRowDxfId="468"/>
    <tableColumn id="22" xr3:uid="{00000000-0010-0000-0500-000016000000}" name="21" totalsRowFunction="count" dataDxfId="467" totalsRowDxfId="466"/>
    <tableColumn id="23" xr3:uid="{00000000-0010-0000-0500-000017000000}" name="22" totalsRowFunction="count" dataDxfId="465" totalsRowDxfId="464"/>
    <tableColumn id="24" xr3:uid="{00000000-0010-0000-0500-000018000000}" name="23" totalsRowFunction="count" dataDxfId="463" totalsRowDxfId="462"/>
    <tableColumn id="25" xr3:uid="{00000000-0010-0000-0500-000019000000}" name="24" totalsRowFunction="count" dataDxfId="461" totalsRowDxfId="460"/>
    <tableColumn id="26" xr3:uid="{00000000-0010-0000-0500-00001A000000}" name="25" totalsRowFunction="count" dataDxfId="459" totalsRowDxfId="458"/>
    <tableColumn id="27" xr3:uid="{00000000-0010-0000-0500-00001B000000}" name="26" totalsRowFunction="count" dataDxfId="457" totalsRowDxfId="456"/>
    <tableColumn id="28" xr3:uid="{00000000-0010-0000-0500-00001C000000}" name="27" totalsRowFunction="count" dataDxfId="455" totalsRowDxfId="454"/>
    <tableColumn id="29" xr3:uid="{00000000-0010-0000-0500-00001D000000}" name="28" totalsRowFunction="count" dataDxfId="453" totalsRowDxfId="452"/>
    <tableColumn id="30" xr3:uid="{00000000-0010-0000-0500-00001E000000}" name="29" totalsRowFunction="count" dataDxfId="451" totalsRowDxfId="450"/>
    <tableColumn id="31" xr3:uid="{00000000-0010-0000-0500-00001F000000}" name="30" totalsRowFunction="count" dataDxfId="449" totalsRowDxfId="448"/>
    <tableColumn id="32" xr3:uid="{00000000-0010-0000-0500-000020000000}" name=" " totalsRowFunction="count" dataDxfId="447" totalsRowDxfId="446"/>
    <tableColumn id="33" xr3:uid="{00000000-0010-0000-0500-000021000000}" name="Dienu kopskaits" totalsRowFunction="sum" dataDxfId="445" totalsRowDxfId="444">
      <calculatedColumnFormula>COUNTA(Jūnijs[[#This Row],[1]:[30]])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Jūlijs" displayName="Jūlijs" ref="B6:AH12" totalsRowCount="1" headerRowDxfId="438" dataDxfId="437" totalsRowDxfId="436">
  <tableColumns count="33">
    <tableColumn id="1" xr3:uid="{00000000-0010-0000-0600-000001000000}" name="Darbinieka vārds, uzvārds" totalsRowFunction="custom" dataDxfId="435" totalsRowDxfId="434" dataCellStyle="Darbinieks">
      <totalsRowFormula>MēnešaNosaukums&amp;" Kopā"</totalsRowFormula>
    </tableColumn>
    <tableColumn id="2" xr3:uid="{00000000-0010-0000-0600-000002000000}" name="1" totalsRowFunction="count" dataDxfId="433" totalsRowDxfId="432"/>
    <tableColumn id="3" xr3:uid="{00000000-0010-0000-0600-000003000000}" name="2" totalsRowFunction="count" dataDxfId="431" totalsRowDxfId="430"/>
    <tableColumn id="4" xr3:uid="{00000000-0010-0000-0600-000004000000}" name="3" totalsRowFunction="count" dataDxfId="429" totalsRowDxfId="428"/>
    <tableColumn id="5" xr3:uid="{00000000-0010-0000-0600-000005000000}" name="4" totalsRowFunction="count" dataDxfId="427" totalsRowDxfId="426"/>
    <tableColumn id="6" xr3:uid="{00000000-0010-0000-0600-000006000000}" name="5" totalsRowFunction="count" dataDxfId="425" totalsRowDxfId="424"/>
    <tableColumn id="7" xr3:uid="{00000000-0010-0000-0600-000007000000}" name="6" totalsRowFunction="count" dataDxfId="423" totalsRowDxfId="422"/>
    <tableColumn id="8" xr3:uid="{00000000-0010-0000-0600-000008000000}" name="7" totalsRowFunction="count" dataDxfId="421" totalsRowDxfId="420"/>
    <tableColumn id="9" xr3:uid="{00000000-0010-0000-0600-000009000000}" name="8" totalsRowFunction="count" dataDxfId="419" totalsRowDxfId="418"/>
    <tableColumn id="10" xr3:uid="{00000000-0010-0000-0600-00000A000000}" name="9" totalsRowFunction="count" dataDxfId="417" totalsRowDxfId="416"/>
    <tableColumn id="11" xr3:uid="{00000000-0010-0000-0600-00000B000000}" name="10" totalsRowFunction="count" dataDxfId="415" totalsRowDxfId="414"/>
    <tableColumn id="12" xr3:uid="{00000000-0010-0000-0600-00000C000000}" name="11" totalsRowFunction="count" dataDxfId="413" totalsRowDxfId="412"/>
    <tableColumn id="13" xr3:uid="{00000000-0010-0000-0600-00000D000000}" name="12" totalsRowFunction="count" dataDxfId="411" totalsRowDxfId="410"/>
    <tableColumn id="14" xr3:uid="{00000000-0010-0000-0600-00000E000000}" name="13" totalsRowFunction="count" dataDxfId="409" totalsRowDxfId="408"/>
    <tableColumn id="15" xr3:uid="{00000000-0010-0000-0600-00000F000000}" name="14" totalsRowFunction="count" dataDxfId="407" totalsRowDxfId="406"/>
    <tableColumn id="16" xr3:uid="{00000000-0010-0000-0600-000010000000}" name="15" totalsRowFunction="count" dataDxfId="405" totalsRowDxfId="404"/>
    <tableColumn id="17" xr3:uid="{00000000-0010-0000-0600-000011000000}" name="16" totalsRowFunction="count" dataDxfId="403" totalsRowDxfId="402"/>
    <tableColumn id="18" xr3:uid="{00000000-0010-0000-0600-000012000000}" name="17" totalsRowFunction="count" dataDxfId="401" totalsRowDxfId="400"/>
    <tableColumn id="19" xr3:uid="{00000000-0010-0000-0600-000013000000}" name="18" totalsRowFunction="count" dataDxfId="399" totalsRowDxfId="398"/>
    <tableColumn id="20" xr3:uid="{00000000-0010-0000-0600-000014000000}" name="19" totalsRowFunction="count" dataDxfId="397" totalsRowDxfId="396"/>
    <tableColumn id="21" xr3:uid="{00000000-0010-0000-0600-000015000000}" name="20" totalsRowFunction="count" dataDxfId="395" totalsRowDxfId="394"/>
    <tableColumn id="22" xr3:uid="{00000000-0010-0000-0600-000016000000}" name="21" totalsRowFunction="count" dataDxfId="393" totalsRowDxfId="392"/>
    <tableColumn id="23" xr3:uid="{00000000-0010-0000-0600-000017000000}" name="22" totalsRowFunction="count" dataDxfId="391" totalsRowDxfId="390"/>
    <tableColumn id="24" xr3:uid="{00000000-0010-0000-0600-000018000000}" name="23" totalsRowFunction="count" dataDxfId="389" totalsRowDxfId="388"/>
    <tableColumn id="25" xr3:uid="{00000000-0010-0000-0600-000019000000}" name="24" totalsRowFunction="count" dataDxfId="387" totalsRowDxfId="386"/>
    <tableColumn id="26" xr3:uid="{00000000-0010-0000-0600-00001A000000}" name="25" totalsRowFunction="count" dataDxfId="385" totalsRowDxfId="384"/>
    <tableColumn id="27" xr3:uid="{00000000-0010-0000-0600-00001B000000}" name="26" totalsRowFunction="count" dataDxfId="383" totalsRowDxfId="382"/>
    <tableColumn id="28" xr3:uid="{00000000-0010-0000-0600-00001C000000}" name="27" totalsRowFunction="count" dataDxfId="381" totalsRowDxfId="380"/>
    <tableColumn id="29" xr3:uid="{00000000-0010-0000-0600-00001D000000}" name="28" totalsRowFunction="count" dataDxfId="379" totalsRowDxfId="378"/>
    <tableColumn id="30" xr3:uid="{00000000-0010-0000-0600-00001E000000}" name="29" totalsRowFunction="count" dataDxfId="377" totalsRowDxfId="376"/>
    <tableColumn id="31" xr3:uid="{00000000-0010-0000-0600-00001F000000}" name="30" totalsRowFunction="count" dataDxfId="375" totalsRowDxfId="374"/>
    <tableColumn id="32" xr3:uid="{00000000-0010-0000-0600-000020000000}" name="31" totalsRowFunction="count" dataDxfId="373" totalsRowDxfId="372"/>
    <tableColumn id="33" xr3:uid="{00000000-0010-0000-0600-000021000000}" name="Dienu kopskaits" totalsRowFunction="sum" dataDxfId="371" totalsRowDxfId="370">
      <calculatedColumnFormula>COUNTA(Jūlijs[[#This Row],[1]:[31]])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Augusts" displayName="Augusts" ref="B6:AH12" totalsRowCount="1" headerRowDxfId="364" dataDxfId="363" totalsRowDxfId="362">
  <tableColumns count="33">
    <tableColumn id="1" xr3:uid="{00000000-0010-0000-0700-000001000000}" name="Darbinieka vārds, uzvārds" totalsRowFunction="custom" dataDxfId="361" totalsRowDxfId="360" dataCellStyle="Darbinieks">
      <totalsRowFormula>MēnešaNosaukums&amp;" Kopā"</totalsRowFormula>
    </tableColumn>
    <tableColumn id="2" xr3:uid="{00000000-0010-0000-0700-000002000000}" name="1" totalsRowFunction="count" dataDxfId="359" totalsRowDxfId="358"/>
    <tableColumn id="3" xr3:uid="{00000000-0010-0000-0700-000003000000}" name="2" totalsRowFunction="count" dataDxfId="357" totalsRowDxfId="356"/>
    <tableColumn id="4" xr3:uid="{00000000-0010-0000-0700-000004000000}" name="3" totalsRowFunction="count" dataDxfId="355" totalsRowDxfId="354"/>
    <tableColumn id="5" xr3:uid="{00000000-0010-0000-0700-000005000000}" name="4" totalsRowFunction="count" dataDxfId="353" totalsRowDxfId="352"/>
    <tableColumn id="6" xr3:uid="{00000000-0010-0000-0700-000006000000}" name="5" totalsRowFunction="count" dataDxfId="351" totalsRowDxfId="350"/>
    <tableColumn id="7" xr3:uid="{00000000-0010-0000-0700-000007000000}" name="6" totalsRowFunction="count" dataDxfId="349" totalsRowDxfId="348"/>
    <tableColumn id="8" xr3:uid="{00000000-0010-0000-0700-000008000000}" name="7" totalsRowFunction="count" dataDxfId="347" totalsRowDxfId="346"/>
    <tableColumn id="9" xr3:uid="{00000000-0010-0000-0700-000009000000}" name="8" totalsRowFunction="count" dataDxfId="345" totalsRowDxfId="344"/>
    <tableColumn id="10" xr3:uid="{00000000-0010-0000-0700-00000A000000}" name="9" totalsRowFunction="count" dataDxfId="343" totalsRowDxfId="342"/>
    <tableColumn id="11" xr3:uid="{00000000-0010-0000-0700-00000B000000}" name="10" totalsRowFunction="count" dataDxfId="341" totalsRowDxfId="340"/>
    <tableColumn id="12" xr3:uid="{00000000-0010-0000-0700-00000C000000}" name="11" totalsRowFunction="count" dataDxfId="339" totalsRowDxfId="338"/>
    <tableColumn id="13" xr3:uid="{00000000-0010-0000-0700-00000D000000}" name="12" totalsRowFunction="count" dataDxfId="337" totalsRowDxfId="336"/>
    <tableColumn id="14" xr3:uid="{00000000-0010-0000-0700-00000E000000}" name="13" totalsRowFunction="count" dataDxfId="335" totalsRowDxfId="334"/>
    <tableColumn id="15" xr3:uid="{00000000-0010-0000-0700-00000F000000}" name="14" totalsRowFunction="count" dataDxfId="333" totalsRowDxfId="332"/>
    <tableColumn id="16" xr3:uid="{00000000-0010-0000-0700-000010000000}" name="15" totalsRowFunction="count" dataDxfId="331" totalsRowDxfId="330"/>
    <tableColumn id="17" xr3:uid="{00000000-0010-0000-0700-000011000000}" name="16" totalsRowFunction="count" dataDxfId="329" totalsRowDxfId="328"/>
    <tableColumn id="18" xr3:uid="{00000000-0010-0000-0700-000012000000}" name="17" totalsRowFunction="count" dataDxfId="327" totalsRowDxfId="326"/>
    <tableColumn id="19" xr3:uid="{00000000-0010-0000-0700-000013000000}" name="18" totalsRowFunction="count" dataDxfId="325" totalsRowDxfId="324"/>
    <tableColumn id="20" xr3:uid="{00000000-0010-0000-0700-000014000000}" name="19" totalsRowFunction="count" dataDxfId="323" totalsRowDxfId="322"/>
    <tableColumn id="21" xr3:uid="{00000000-0010-0000-0700-000015000000}" name="20" totalsRowFunction="count" dataDxfId="321" totalsRowDxfId="320"/>
    <tableColumn id="22" xr3:uid="{00000000-0010-0000-0700-000016000000}" name="21" totalsRowFunction="count" dataDxfId="319" totalsRowDxfId="318"/>
    <tableColumn id="23" xr3:uid="{00000000-0010-0000-0700-000017000000}" name="22" totalsRowFunction="count" dataDxfId="317" totalsRowDxfId="316"/>
    <tableColumn id="24" xr3:uid="{00000000-0010-0000-0700-000018000000}" name="23" totalsRowFunction="count" dataDxfId="315" totalsRowDxfId="314"/>
    <tableColumn id="25" xr3:uid="{00000000-0010-0000-0700-000019000000}" name="24" totalsRowFunction="count" dataDxfId="313" totalsRowDxfId="312"/>
    <tableColumn id="26" xr3:uid="{00000000-0010-0000-0700-00001A000000}" name="25" totalsRowFunction="count" dataDxfId="311" totalsRowDxfId="310"/>
    <tableColumn id="27" xr3:uid="{00000000-0010-0000-0700-00001B000000}" name="26" totalsRowFunction="count" dataDxfId="309" totalsRowDxfId="308"/>
    <tableColumn id="28" xr3:uid="{00000000-0010-0000-0700-00001C000000}" name="27" totalsRowFunction="count" dataDxfId="307" totalsRowDxfId="306"/>
    <tableColumn id="29" xr3:uid="{00000000-0010-0000-0700-00001D000000}" name="28" totalsRowFunction="count" dataDxfId="305" totalsRowDxfId="304"/>
    <tableColumn id="30" xr3:uid="{00000000-0010-0000-0700-00001E000000}" name="29" totalsRowFunction="count" dataDxfId="303" totalsRowDxfId="302"/>
    <tableColumn id="31" xr3:uid="{00000000-0010-0000-0700-00001F000000}" name="30" totalsRowFunction="count" dataDxfId="301" totalsRowDxfId="300"/>
    <tableColumn id="32" xr3:uid="{00000000-0010-0000-0700-000020000000}" name="31" totalsRowFunction="count" dataDxfId="299" totalsRowDxfId="298"/>
    <tableColumn id="33" xr3:uid="{00000000-0010-0000-0700-000021000000}" name="Dienu kopskaits" totalsRowFunction="sum" dataDxfId="297" totalsRowDxfId="296">
      <calculatedColumnFormula>COUNTA(Augusts[[#This Row],[1]:[31]])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Septembris" displayName="Septembris" ref="B6:AH12" totalsRowCount="1" headerRowDxfId="290" dataDxfId="289" totalsRowDxfId="288">
  <tableColumns count="33">
    <tableColumn id="1" xr3:uid="{00000000-0010-0000-0800-000001000000}" name="Darbinieka vārds, uzvārds" totalsRowFunction="custom" dataDxfId="287" totalsRowDxfId="286" dataCellStyle="Darbinieks">
      <totalsRowFormula>MēnešaNosaukums&amp;" Kopā"</totalsRowFormula>
    </tableColumn>
    <tableColumn id="2" xr3:uid="{00000000-0010-0000-0800-000002000000}" name="1" totalsRowFunction="count" dataDxfId="285" totalsRowDxfId="284"/>
    <tableColumn id="3" xr3:uid="{00000000-0010-0000-0800-000003000000}" name="2" totalsRowFunction="count" dataDxfId="283" totalsRowDxfId="282"/>
    <tableColumn id="4" xr3:uid="{00000000-0010-0000-0800-000004000000}" name="3" totalsRowFunction="count" dataDxfId="281" totalsRowDxfId="280"/>
    <tableColumn id="5" xr3:uid="{00000000-0010-0000-0800-000005000000}" name="4" totalsRowFunction="count" dataDxfId="279" totalsRowDxfId="278"/>
    <tableColumn id="6" xr3:uid="{00000000-0010-0000-0800-000006000000}" name="5" totalsRowFunction="count" dataDxfId="277" totalsRowDxfId="276"/>
    <tableColumn id="7" xr3:uid="{00000000-0010-0000-0800-000007000000}" name="6" totalsRowFunction="count" dataDxfId="275" totalsRowDxfId="274"/>
    <tableColumn id="8" xr3:uid="{00000000-0010-0000-0800-000008000000}" name="7" totalsRowFunction="count" dataDxfId="273" totalsRowDxfId="272"/>
    <tableColumn id="9" xr3:uid="{00000000-0010-0000-0800-000009000000}" name="8" totalsRowFunction="count" dataDxfId="271" totalsRowDxfId="270"/>
    <tableColumn id="10" xr3:uid="{00000000-0010-0000-0800-00000A000000}" name="9" totalsRowFunction="count" dataDxfId="269" totalsRowDxfId="268"/>
    <tableColumn id="11" xr3:uid="{00000000-0010-0000-0800-00000B000000}" name="10" totalsRowFunction="count" dataDxfId="267" totalsRowDxfId="266"/>
    <tableColumn id="12" xr3:uid="{00000000-0010-0000-0800-00000C000000}" name="11" totalsRowFunction="count" dataDxfId="265" totalsRowDxfId="264"/>
    <tableColumn id="13" xr3:uid="{00000000-0010-0000-0800-00000D000000}" name="12" totalsRowFunction="count" dataDxfId="263" totalsRowDxfId="262"/>
    <tableColumn id="14" xr3:uid="{00000000-0010-0000-0800-00000E000000}" name="13" totalsRowFunction="count" dataDxfId="261" totalsRowDxfId="260"/>
    <tableColumn id="15" xr3:uid="{00000000-0010-0000-0800-00000F000000}" name="14" totalsRowFunction="count" dataDxfId="259" totalsRowDxfId="258"/>
    <tableColumn id="16" xr3:uid="{00000000-0010-0000-0800-000010000000}" name="15" totalsRowFunction="count" dataDxfId="257" totalsRowDxfId="256"/>
    <tableColumn id="17" xr3:uid="{00000000-0010-0000-0800-000011000000}" name="16" totalsRowFunction="count" dataDxfId="255" totalsRowDxfId="254"/>
    <tableColumn id="18" xr3:uid="{00000000-0010-0000-0800-000012000000}" name="17" totalsRowFunction="count" dataDxfId="253" totalsRowDxfId="252"/>
    <tableColumn id="19" xr3:uid="{00000000-0010-0000-0800-000013000000}" name="18" totalsRowFunction="count" dataDxfId="251" totalsRowDxfId="250"/>
    <tableColumn id="20" xr3:uid="{00000000-0010-0000-0800-000014000000}" name="19" totalsRowFunction="count" dataDxfId="249" totalsRowDxfId="248"/>
    <tableColumn id="21" xr3:uid="{00000000-0010-0000-0800-000015000000}" name="20" totalsRowFunction="count" dataDxfId="247" totalsRowDxfId="246"/>
    <tableColumn id="22" xr3:uid="{00000000-0010-0000-0800-000016000000}" name="21" totalsRowFunction="count" dataDxfId="245" totalsRowDxfId="244"/>
    <tableColumn id="23" xr3:uid="{00000000-0010-0000-0800-000017000000}" name="22" totalsRowFunction="count" dataDxfId="243" totalsRowDxfId="242"/>
    <tableColumn id="24" xr3:uid="{00000000-0010-0000-0800-000018000000}" name="23" totalsRowFunction="count" dataDxfId="241" totalsRowDxfId="240"/>
    <tableColumn id="25" xr3:uid="{00000000-0010-0000-0800-000019000000}" name="24" totalsRowFunction="count" dataDxfId="239" totalsRowDxfId="238"/>
    <tableColumn id="26" xr3:uid="{00000000-0010-0000-0800-00001A000000}" name="25" totalsRowFunction="count" dataDxfId="237" totalsRowDxfId="236"/>
    <tableColumn id="27" xr3:uid="{00000000-0010-0000-0800-00001B000000}" name="26" totalsRowFunction="count" dataDxfId="235" totalsRowDxfId="234"/>
    <tableColumn id="28" xr3:uid="{00000000-0010-0000-0800-00001C000000}" name="27" totalsRowFunction="count" dataDxfId="233" totalsRowDxfId="232"/>
    <tableColumn id="29" xr3:uid="{00000000-0010-0000-0800-00001D000000}" name="28" totalsRowFunction="count" dataDxfId="231" totalsRowDxfId="230"/>
    <tableColumn id="30" xr3:uid="{00000000-0010-0000-0800-00001E000000}" name="29" totalsRowFunction="count" dataDxfId="229" totalsRowDxfId="228"/>
    <tableColumn id="31" xr3:uid="{00000000-0010-0000-0800-00001F000000}" name="30" totalsRowFunction="count" dataDxfId="227" totalsRowDxfId="226"/>
    <tableColumn id="32" xr3:uid="{00000000-0010-0000-0800-000020000000}" name=" " totalsRowFunction="count" dataDxfId="225" totalsRowDxfId="224"/>
    <tableColumn id="33" xr3:uid="{00000000-0010-0000-0800-000021000000}" name="Dienu kopskaits" totalsRowFunction="sum" dataDxfId="223" totalsRowDxfId="222">
      <calculatedColumnFormula>COUNTA(Septembris[[#This Row],[1]:[30]])</calculatedColumnFormula>
    </tableColumn>
  </tableColumns>
  <tableStyleInfo name="Darbinieka prombūtnes tabula" showFirstColumn="1" showLastColumn="1" showRowStripes="1" showColumnStripes="0"/>
  <extLst>
    <ext xmlns:x14="http://schemas.microsoft.com/office/spreadsheetml/2009/9/main" uri="{504A1905-F514-4f6f-8877-14C23A59335A}">
      <x14:table altTextSummary="Norādiet darbinieku vārdus un prombūtnes datumus. Reģistrējiet prombūtnes tipu atbilstoši atslēgai 12. rindā: V=Atvaļinājums, S=Slimība, P=Personisks un divi vietturi pielāgotiem ierakstiem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1:34" ht="15" customHeight="1" x14ac:dyDescent="0.25">
      <c r="AH3" s="20" t="s">
        <v>48</v>
      </c>
    </row>
    <row r="4" spans="1:34" ht="30" customHeight="1" x14ac:dyDescent="0.25">
      <c r="B4" s="12" t="s">
        <v>2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v>2019</v>
      </c>
    </row>
    <row r="5" spans="1:34" ht="15" customHeight="1" x14ac:dyDescent="0.25">
      <c r="B5" s="12"/>
      <c r="C5" s="2" t="str">
        <f>TEXT(WEEKDAY(DATE(KalendāraGads,1,1),1),"ddd")</f>
        <v>otrd</v>
      </c>
      <c r="D5" s="2" t="str">
        <f>TEXT(WEEKDAY(DATE(KalendāraGads,1,2),1),"ddd")</f>
        <v>trešd</v>
      </c>
      <c r="E5" s="2" t="str">
        <f>TEXT(WEEKDAY(DATE(KalendāraGads,1,3),1),"ddd")</f>
        <v>ceturtd</v>
      </c>
      <c r="F5" s="2" t="str">
        <f>TEXT(WEEKDAY(DATE(KalendāraGads,1,4),1),"ddd")</f>
        <v>piektd</v>
      </c>
      <c r="G5" s="2" t="str">
        <f>TEXT(WEEKDAY(DATE(KalendāraGads,1,5),1),"ddd")</f>
        <v>sestd</v>
      </c>
      <c r="H5" s="2" t="str">
        <f>TEXT(WEEKDAY(DATE(KalendāraGads,1,6),1),"ddd")</f>
        <v>svētd</v>
      </c>
      <c r="I5" s="2" t="str">
        <f>TEXT(WEEKDAY(DATE(KalendāraGads,1,7),1),"ddd")</f>
        <v>pirmd</v>
      </c>
      <c r="J5" s="2" t="str">
        <f>TEXT(WEEKDAY(DATE(KalendāraGads,1,8),1),"ddd")</f>
        <v>otrd</v>
      </c>
      <c r="K5" s="2" t="str">
        <f>TEXT(WEEKDAY(DATE(KalendāraGads,1,9),1),"ddd")</f>
        <v>trešd</v>
      </c>
      <c r="L5" s="2" t="str">
        <f>TEXT(WEEKDAY(DATE(KalendāraGads,1,10),1),"ddd")</f>
        <v>ceturtd</v>
      </c>
      <c r="M5" s="2" t="str">
        <f>TEXT(WEEKDAY(DATE(KalendāraGads,1,11),1),"ddd")</f>
        <v>piektd</v>
      </c>
      <c r="N5" s="2" t="str">
        <f>TEXT(WEEKDAY(DATE(KalendāraGads,1,12),1),"ddd")</f>
        <v>sestd</v>
      </c>
      <c r="O5" s="2" t="str">
        <f>TEXT(WEEKDAY(DATE(KalendāraGads,1,13),1),"ddd")</f>
        <v>svētd</v>
      </c>
      <c r="P5" s="2" t="str">
        <f>TEXT(WEEKDAY(DATE(KalendāraGads,1,14),1),"ddd")</f>
        <v>pirmd</v>
      </c>
      <c r="Q5" s="2" t="str">
        <f>TEXT(WEEKDAY(DATE(KalendāraGads,1,15),1),"ddd")</f>
        <v>otrd</v>
      </c>
      <c r="R5" s="2" t="str">
        <f>TEXT(WEEKDAY(DATE(KalendāraGads,1,16),1),"ddd")</f>
        <v>trešd</v>
      </c>
      <c r="S5" s="2" t="str">
        <f>TEXT(WEEKDAY(DATE(KalendāraGads,1,17),1),"ddd")</f>
        <v>ceturtd</v>
      </c>
      <c r="T5" s="2" t="str">
        <f>TEXT(WEEKDAY(DATE(KalendāraGads,1,18),1),"ddd")</f>
        <v>piektd</v>
      </c>
      <c r="U5" s="2" t="str">
        <f>TEXT(WEEKDAY(DATE(KalendāraGads,1,19),1),"ddd")</f>
        <v>sestd</v>
      </c>
      <c r="V5" s="2" t="str">
        <f>TEXT(WEEKDAY(DATE(KalendāraGads,1,20),1),"ddd")</f>
        <v>svētd</v>
      </c>
      <c r="W5" s="2" t="str">
        <f>TEXT(WEEKDAY(DATE(KalendāraGads,1,21),1),"ddd")</f>
        <v>pirmd</v>
      </c>
      <c r="X5" s="2" t="str">
        <f>TEXT(WEEKDAY(DATE(KalendāraGads,1,22),1),"ddd")</f>
        <v>otrd</v>
      </c>
      <c r="Y5" s="2" t="str">
        <f>TEXT(WEEKDAY(DATE(KalendāraGads,1,23),1),"ddd")</f>
        <v>trešd</v>
      </c>
      <c r="Z5" s="2" t="str">
        <f>TEXT(WEEKDAY(DATE(KalendāraGads,1,24),1),"ddd")</f>
        <v>ceturtd</v>
      </c>
      <c r="AA5" s="2" t="str">
        <f>TEXT(WEEKDAY(DATE(KalendāraGads,1,25),1),"ddd")</f>
        <v>piektd</v>
      </c>
      <c r="AB5" s="2" t="str">
        <f>TEXT(WEEKDAY(DATE(KalendāraGads,1,26),1),"ddd")</f>
        <v>sestd</v>
      </c>
      <c r="AC5" s="2" t="str">
        <f>TEXT(WEEKDAY(DATE(KalendāraGads,1,27),1),"ddd")</f>
        <v>svētd</v>
      </c>
      <c r="AD5" s="2" t="str">
        <f>TEXT(WEEKDAY(DATE(KalendāraGads,1,28),1),"ddd")</f>
        <v>pirmd</v>
      </c>
      <c r="AE5" s="2" t="str">
        <f>TEXT(WEEKDAY(DATE(KalendāraGads,1,29),1),"ddd")</f>
        <v>otrd</v>
      </c>
      <c r="AF5" s="2" t="str">
        <f>TEXT(WEEKDAY(DATE(KalendāraGads,1,30),1),"ddd")</f>
        <v>trešd</v>
      </c>
      <c r="AG5" s="2" t="str">
        <f>TEXT(WEEKDAY(DATE(KalendāraGads,1,31),1),"ddd")</f>
        <v>ceturtd</v>
      </c>
      <c r="AH5" s="12"/>
    </row>
    <row r="6" spans="1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1:34" ht="30" customHeight="1" x14ac:dyDescent="0.25">
      <c r="B7" s="9" t="s">
        <v>4</v>
      </c>
      <c r="C7" s="3"/>
      <c r="D7" s="3"/>
      <c r="E7" s="3" t="s">
        <v>64</v>
      </c>
      <c r="F7" s="3" t="s">
        <v>64</v>
      </c>
      <c r="G7" s="3" t="s">
        <v>64</v>
      </c>
      <c r="H7" s="3" t="s">
        <v>64</v>
      </c>
      <c r="I7" s="3"/>
      <c r="J7" s="3"/>
      <c r="K7" s="3"/>
      <c r="L7" s="3"/>
      <c r="M7" s="3"/>
      <c r="N7" s="3"/>
      <c r="O7" s="3" t="s">
        <v>64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COUNTA(Janvāris!$C7:$AG7)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64</v>
      </c>
      <c r="AB8" s="3" t="s">
        <v>64</v>
      </c>
      <c r="AC8" s="3" t="s">
        <v>64</v>
      </c>
      <c r="AD8" s="3"/>
      <c r="AE8" s="3"/>
      <c r="AF8" s="3"/>
      <c r="AG8" s="3"/>
      <c r="AH8" s="10">
        <f>COUNTA(Janvāris!$C8:$AG8)</f>
        <v>7</v>
      </c>
    </row>
    <row r="9" spans="1:34" ht="30" customHeight="1" x14ac:dyDescent="0.25">
      <c r="B9" s="9" t="s">
        <v>6</v>
      </c>
      <c r="C9" s="3"/>
      <c r="D9" s="3"/>
      <c r="E9" s="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16</v>
      </c>
      <c r="AF9" s="3"/>
      <c r="AG9" s="3"/>
      <c r="AH9" s="10">
        <f>COUNTA(Janvāris!$C9:$AG9)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64</v>
      </c>
      <c r="V10" s="3" t="s">
        <v>64</v>
      </c>
      <c r="W10" s="3" t="s">
        <v>64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COUNTA(Janvāris!$C10:$AG10)</f>
        <v>4</v>
      </c>
    </row>
    <row r="11" spans="1:34" ht="30" customHeight="1" x14ac:dyDescent="0.25">
      <c r="B11" s="9" t="s">
        <v>8</v>
      </c>
      <c r="C11" s="3"/>
      <c r="D11" s="3"/>
      <c r="E11" s="3"/>
      <c r="F11" s="3" t="s">
        <v>16</v>
      </c>
      <c r="G11" s="3" t="s">
        <v>64</v>
      </c>
      <c r="H11" s="3" t="s">
        <v>64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16</v>
      </c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 t="s">
        <v>64</v>
      </c>
      <c r="AH11" s="10">
        <f>COUNTA(Janvāris!$C11:$AG11)</f>
        <v>6</v>
      </c>
    </row>
    <row r="12" spans="1:34" ht="30" customHeight="1" x14ac:dyDescent="0.25">
      <c r="B12" s="21" t="str">
        <f>MēnešaNosaukums&amp;" Kopā"</f>
        <v>Janvāris Kopā</v>
      </c>
      <c r="C12" s="13">
        <f>SUBTOTAL(103,Janvāris!$C$7:$C$11)</f>
        <v>0</v>
      </c>
      <c r="D12" s="13">
        <f>SUBTOTAL(103,Janvāris!$D$7:$D$11)</f>
        <v>0</v>
      </c>
      <c r="E12" s="13">
        <f>SUBTOTAL(103,Janvāris!$E$7:$E$11)</f>
        <v>2</v>
      </c>
      <c r="F12" s="13">
        <f>SUBTOTAL(103,Janvāris!$F$7:$F$11)</f>
        <v>2</v>
      </c>
      <c r="G12" s="13">
        <f>SUBTOTAL(103,Janvāris!$G$7:$G$11)</f>
        <v>3</v>
      </c>
      <c r="H12" s="13">
        <f>SUBTOTAL(103,Janvāris!$H$7:$H$11)</f>
        <v>3</v>
      </c>
      <c r="I12" s="13">
        <f>SUBTOTAL(103,Janvāris!$I$7:$I$11)</f>
        <v>1</v>
      </c>
      <c r="J12" s="13">
        <f>SUBTOTAL(103,Janvāris!$J$7:$J$11)</f>
        <v>0</v>
      </c>
      <c r="K12" s="13">
        <f>SUBTOTAL(103,Janvāris!$K$7:$K$11)</f>
        <v>0</v>
      </c>
      <c r="L12" s="13">
        <f>SUBTOTAL(103,Janvāris!$L$7:$L$11)</f>
        <v>0</v>
      </c>
      <c r="M12" s="13">
        <f>SUBTOTAL(103,Janvāris!$M$7:$M$11)</f>
        <v>1</v>
      </c>
      <c r="N12" s="13">
        <f>SUBTOTAL(103,Janvāris!$N$7:$N$11)</f>
        <v>0</v>
      </c>
      <c r="O12" s="13">
        <f>SUBTOTAL(103,Janvāris!$O$7:$O$11)</f>
        <v>1</v>
      </c>
      <c r="P12" s="13">
        <f>SUBTOTAL(103,Janvāris!$P$7:$P$11)</f>
        <v>1</v>
      </c>
      <c r="Q12" s="13">
        <f>SUBTOTAL(103,Janvāris!$Q$7:$Q$11)</f>
        <v>0</v>
      </c>
      <c r="R12" s="13">
        <f>SUBTOTAL(103,Janvāris!$R$7:$R$11)</f>
        <v>0</v>
      </c>
      <c r="S12" s="13">
        <f>SUBTOTAL(103,Janvāris!$S$7:$S$11)</f>
        <v>1</v>
      </c>
      <c r="T12" s="13">
        <f>SUBTOTAL(103,Janvāris!$T$7:$T$11)</f>
        <v>0</v>
      </c>
      <c r="U12" s="13">
        <f>SUBTOTAL(103,Janvāris!$U$7:$U$11)</f>
        <v>1</v>
      </c>
      <c r="V12" s="13">
        <f>SUBTOTAL(103,Janvāris!$V$7:$V$11)</f>
        <v>2</v>
      </c>
      <c r="W12" s="13">
        <f>SUBTOTAL(103,Janvāris!$W$7:$W$11)</f>
        <v>1</v>
      </c>
      <c r="X12" s="13">
        <f>SUBTOTAL(103,Janvāris!$X$7:$X$11)</f>
        <v>0</v>
      </c>
      <c r="Y12" s="13">
        <f>SUBTOTAL(103,Janvāris!$Y$7:$Y$11)</f>
        <v>0</v>
      </c>
      <c r="Z12" s="13">
        <f>SUBTOTAL(103,Janvāris!$Z$7:$Z$11)</f>
        <v>1</v>
      </c>
      <c r="AA12" s="13">
        <f>SUBTOTAL(103,Janvāris!$AA$7:$AA$11)</f>
        <v>1</v>
      </c>
      <c r="AB12" s="13">
        <f>SUBTOTAL(103,Janvāris!$AB$7:$AB$11)</f>
        <v>1</v>
      </c>
      <c r="AC12" s="13">
        <f>SUBTOTAL(103,Janvāris!$AC$7:$AC$11)</f>
        <v>1</v>
      </c>
      <c r="AD12" s="13">
        <f>SUBTOTAL(103,Janvāris!$AD$7:$AD$11)</f>
        <v>0</v>
      </c>
      <c r="AE12" s="13">
        <f>SUBTOTAL(103,Janvāris!$AE$7:$AE$11)</f>
        <v>1</v>
      </c>
      <c r="AF12" s="13">
        <f>SUBTOTAL(103,Janvāris!$AF$7:$AF$11)</f>
        <v>0</v>
      </c>
      <c r="AG12" s="13">
        <f>SUBTOTAL(103,Janvāris!$AG$7:$AG$11)</f>
        <v>1</v>
      </c>
      <c r="AH12" s="13">
        <f>SUBTOTAL(109,Janvāris[Dienu kopskaits])</f>
        <v>25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  <cfRule type="expression" dxfId="888" priority="6" stopIfTrue="1">
      <formula>C7=PielāgotaAtslēga2</formula>
    </cfRule>
    <cfRule type="expression" dxfId="887" priority="7" stopIfTrue="1">
      <formula>C7=PielāgotaAtslēga1</formula>
    </cfRule>
    <cfRule type="expression" dxfId="886" priority="8" stopIfTrue="1">
      <formula>C7=AtslēgaSlimība</formula>
    </cfRule>
    <cfRule type="expression" dxfId="885" priority="9" stopIfTrue="1">
      <formula>C7=AtslēgaPersonisks</formula>
    </cfRule>
    <cfRule type="expression" dxfId="884" priority="10" stopIfTrue="1">
      <formula>C7=AtslēgaAtvaļinājums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Šajā šūnā ievadiet gadu" sqref="AH4" xr:uid="{00000000-0002-0000-0000-000000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000-000001000000}"/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000-000002000000}"/>
    <dataValidation allowBlank="1" showInputMessage="1" showErrorMessage="1" prompt="Nedēļas dienas šajā rindā tiek automātiski atjauninātas mēnesim atbilstoši šūnā AH4 ievadītajam gadam. Katra mēneša diena ir kolonna, kur atzīmēt darbinieka prombūtni un prombūtnes tipu" sqref="C5" xr:uid="{00000000-0002-0000-0000-000003000000}"/>
    <dataValidation allowBlank="1" showInputMessage="1" showErrorMessage="1" prompt="Automātiski aprēķina kopējo dienu skaitu, kad darbinieks ir bijis prombūtnē šajā mēnesī" sqref="AH6" xr:uid="{00000000-0002-0000-0000-000004000000}"/>
    <dataValidation allowBlank="1" showInputMessage="1" showErrorMessage="1" prompt="Šajā šūnā ir darblapas virsraksts. Atjauniniet virsrakstu, un katrā darblapa automātiski pārmantos izmaiņas" sqref="B1" xr:uid="{00000000-0002-0000-0000-000005000000}"/>
    <dataValidation allowBlank="1" showInputMessage="1" showErrorMessage="1" prompt="Šī kavējuma grafika mēnesis. Atjauniniet gadu šūnā AH4. Sekojiet kopsummām pēc mēneša tabulas pēdējā šūnā. Ievadiet darbinieku vārdus tabulas kolonnā B" sqref="B4" xr:uid="{00000000-0002-0000-0000-000006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000-000007000000}"/>
    <dataValidation allowBlank="1" showInputMessage="1" showErrorMessage="1" prompt="Burts “A” norāda prombūtni atvaļinājuma dēļ" sqref="C2" xr:uid="{00000000-0002-0000-0000-000008000000}"/>
    <dataValidation allowBlank="1" showInputMessage="1" showErrorMessage="1" prompt="Burts “P” norāda prombūtni personisku iemeslu dēļ" sqref="G2" xr:uid="{00000000-0002-0000-0000-000009000000}"/>
    <dataValidation allowBlank="1" showInputMessage="1" showErrorMessage="1" prompt="Burts “S” norāda prombūtni slimības dēļ" sqref="K2" xr:uid="{00000000-0002-0000-0000-00000A000000}"/>
    <dataValidation allowBlank="1" showInputMessage="1" showErrorMessage="1" prompt="Ievadiet burtu un pielāgojiet etiķeti pa labi, lai pievienotu citu atslēgas vienumu" sqref="N2 R2" xr:uid="{00000000-0002-0000-0000-00000B000000}"/>
    <dataValidation allowBlank="1" showInputMessage="1" showErrorMessage="1" prompt="Ievadiet etiķeti, lai aprakstītu pielāgoto atslēgu pa kreisi" sqref="O2:Q2 S2:U2" xr:uid="{00000000-0002-0000-0000-00000C000000}"/>
    <dataValidation allowBlank="1" showInputMessage="1" showErrorMessage="1" prompt="Darbinieku prombūtnes grafikā tiek uzskaitīta darbinieku prombūtne pa dienām katram mēnesim. Tajā ir 13 darblapas, 12 mēnešu un pēdējā darbinieku vārdiem. Sekojiet janvāra prombūtnei šajā darblapā" sqref="A1" xr:uid="{00000000-0002-0000-0000-00000D000000}"/>
    <dataValidation allowBlank="1" showInputMessage="1" showErrorMessage="1" prompt="Ievadiet gadu tālāk esošajā šūnā" sqref="AH3" xr:uid="{00000000-0002-0000-0000-00000E000000}"/>
  </dataValidations>
  <printOptions horizontalCentered="1"/>
  <pageMargins left="0.25" right="0.25" top="0.75" bottom="0.75" header="0.3" footer="0.3"/>
  <pageSetup paperSize="9" scale="52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TEXT(WEEKDAY(DATE(KalendāraGads,10,1),1),"ddd")</f>
        <v>otrd</v>
      </c>
      <c r="D5" s="2" t="str">
        <f>TEXT(WEEKDAY(DATE(KalendāraGads,10,2),1),"ddd")</f>
        <v>trešd</v>
      </c>
      <c r="E5" s="2" t="str">
        <f>TEXT(WEEKDAY(DATE(KalendāraGads,10,3),1),"ddd")</f>
        <v>ceturtd</v>
      </c>
      <c r="F5" s="2" t="str">
        <f>TEXT(WEEKDAY(DATE(KalendāraGads,10,4),1),"ddd")</f>
        <v>piektd</v>
      </c>
      <c r="G5" s="2" t="str">
        <f>TEXT(WEEKDAY(DATE(KalendāraGads,10,5),1),"ddd")</f>
        <v>sestd</v>
      </c>
      <c r="H5" s="2" t="str">
        <f>TEXT(WEEKDAY(DATE(KalendāraGads,10,6),1),"ddd")</f>
        <v>svētd</v>
      </c>
      <c r="I5" s="2" t="str">
        <f>TEXT(WEEKDAY(DATE(KalendāraGads,10,7),1),"ddd")</f>
        <v>pirmd</v>
      </c>
      <c r="J5" s="2" t="str">
        <f>TEXT(WEEKDAY(DATE(KalendāraGads,10,8),1),"ddd")</f>
        <v>otrd</v>
      </c>
      <c r="K5" s="2" t="str">
        <f>TEXT(WEEKDAY(DATE(KalendāraGads,10,9),1),"ddd")</f>
        <v>trešd</v>
      </c>
      <c r="L5" s="2" t="str">
        <f>TEXT(WEEKDAY(DATE(KalendāraGads,10,10),1),"ddd")</f>
        <v>ceturtd</v>
      </c>
      <c r="M5" s="2" t="str">
        <f>TEXT(WEEKDAY(DATE(KalendāraGads,10,11),1),"ddd")</f>
        <v>piektd</v>
      </c>
      <c r="N5" s="2" t="str">
        <f>TEXT(WEEKDAY(DATE(KalendāraGads,10,12),1),"ddd")</f>
        <v>sestd</v>
      </c>
      <c r="O5" s="2" t="str">
        <f>TEXT(WEEKDAY(DATE(KalendāraGads,10,13),1),"ddd")</f>
        <v>svētd</v>
      </c>
      <c r="P5" s="2" t="str">
        <f>TEXT(WEEKDAY(DATE(KalendāraGads,10,14),1),"ddd")</f>
        <v>pirmd</v>
      </c>
      <c r="Q5" s="2" t="str">
        <f>TEXT(WEEKDAY(DATE(KalendāraGads,10,15),1),"ddd")</f>
        <v>otrd</v>
      </c>
      <c r="R5" s="2" t="str">
        <f>TEXT(WEEKDAY(DATE(KalendāraGads,10,16),1),"ddd")</f>
        <v>trešd</v>
      </c>
      <c r="S5" s="2" t="str">
        <f>TEXT(WEEKDAY(DATE(KalendāraGads,10,17),1),"ddd")</f>
        <v>ceturtd</v>
      </c>
      <c r="T5" s="2" t="str">
        <f>TEXT(WEEKDAY(DATE(KalendāraGads,10,18),1),"ddd")</f>
        <v>piektd</v>
      </c>
      <c r="U5" s="2" t="str">
        <f>TEXT(WEEKDAY(DATE(KalendāraGads,10,19),1),"ddd")</f>
        <v>sestd</v>
      </c>
      <c r="V5" s="2" t="str">
        <f>TEXT(WEEKDAY(DATE(KalendāraGads,10,20),1),"ddd")</f>
        <v>svētd</v>
      </c>
      <c r="W5" s="2" t="str">
        <f>TEXT(WEEKDAY(DATE(KalendāraGads,10,21),1),"ddd")</f>
        <v>pirmd</v>
      </c>
      <c r="X5" s="2" t="str">
        <f>TEXT(WEEKDAY(DATE(KalendāraGads,10,22),1),"ddd")</f>
        <v>otrd</v>
      </c>
      <c r="Y5" s="2" t="str">
        <f>TEXT(WEEKDAY(DATE(KalendāraGads,10,23),1),"ddd")</f>
        <v>trešd</v>
      </c>
      <c r="Z5" s="2" t="str">
        <f>TEXT(WEEKDAY(DATE(KalendāraGads,10,24),1),"ddd")</f>
        <v>ceturtd</v>
      </c>
      <c r="AA5" s="2" t="str">
        <f>TEXT(WEEKDAY(DATE(KalendāraGads,10,25),1),"ddd")</f>
        <v>piektd</v>
      </c>
      <c r="AB5" s="2" t="str">
        <f>TEXT(WEEKDAY(DATE(KalendāraGads,10,26),1),"ddd")</f>
        <v>sestd</v>
      </c>
      <c r="AC5" s="2" t="str">
        <f>TEXT(WEEKDAY(DATE(KalendāraGads,10,27),1),"ddd")</f>
        <v>svētd</v>
      </c>
      <c r="AD5" s="2" t="str">
        <f>TEXT(WEEKDAY(DATE(KalendāraGads,10,28),1),"ddd")</f>
        <v>pirmd</v>
      </c>
      <c r="AE5" s="2" t="str">
        <f>TEXT(WEEKDAY(DATE(KalendāraGads,10,29),1),"ddd")</f>
        <v>otrd</v>
      </c>
      <c r="AF5" s="2" t="str">
        <f>TEXT(WEEKDAY(DATE(KalendāraGads,10,30),1),"ddd")</f>
        <v>trešd</v>
      </c>
      <c r="AG5" s="2" t="str">
        <f>TEXT(WEEKDAY(DATE(KalendāraGads,10,31),1),"ddd")</f>
        <v>ceturtd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COUNTA(Oktobris[[#This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COUNTA(Oktobris[[#This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COUNTA(Oktobris[[#This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COUNTA(Oktobris[[#This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COUNTA(Oktobris[[#This Row],[1]:[31]])</f>
        <v>0</v>
      </c>
    </row>
    <row r="12" spans="2:34" ht="30" customHeight="1" x14ac:dyDescent="0.25">
      <c r="B12" s="21" t="str">
        <f>MēnešaNosaukums&amp;" Kopā"</f>
        <v>Oktobris Kopā</v>
      </c>
      <c r="C12" s="13">
        <f>SUBTOTAL(103,Oktobris[1])</f>
        <v>0</v>
      </c>
      <c r="D12" s="13">
        <f>SUBTOTAL(103,Oktobris[2])</f>
        <v>0</v>
      </c>
      <c r="E12" s="13">
        <f>SUBTOTAL(103,Oktobris[3])</f>
        <v>0</v>
      </c>
      <c r="F12" s="13">
        <f>SUBTOTAL(103,Oktobris[4])</f>
        <v>0</v>
      </c>
      <c r="G12" s="13">
        <f>SUBTOTAL(103,Oktobris[5])</f>
        <v>0</v>
      </c>
      <c r="H12" s="13">
        <f>SUBTOTAL(103,Oktobris[6])</f>
        <v>0</v>
      </c>
      <c r="I12" s="13">
        <f>SUBTOTAL(103,Oktobris[7])</f>
        <v>0</v>
      </c>
      <c r="J12" s="13">
        <f>SUBTOTAL(103,Oktobris[8])</f>
        <v>0</v>
      </c>
      <c r="K12" s="13">
        <f>SUBTOTAL(103,Oktobris[9])</f>
        <v>0</v>
      </c>
      <c r="L12" s="13">
        <f>SUBTOTAL(103,Oktobris[10])</f>
        <v>0</v>
      </c>
      <c r="M12" s="13">
        <f>SUBTOTAL(103,Oktobris[11])</f>
        <v>0</v>
      </c>
      <c r="N12" s="13">
        <f>SUBTOTAL(103,Oktobris[12])</f>
        <v>0</v>
      </c>
      <c r="O12" s="13">
        <f>SUBTOTAL(103,Oktobris[13])</f>
        <v>0</v>
      </c>
      <c r="P12" s="13">
        <f>SUBTOTAL(103,Oktobris[14])</f>
        <v>0</v>
      </c>
      <c r="Q12" s="13">
        <f>SUBTOTAL(103,Oktobris[15])</f>
        <v>0</v>
      </c>
      <c r="R12" s="13">
        <f>SUBTOTAL(103,Oktobris[16])</f>
        <v>0</v>
      </c>
      <c r="S12" s="13">
        <f>SUBTOTAL(103,Oktobris[17])</f>
        <v>0</v>
      </c>
      <c r="T12" s="13">
        <f>SUBTOTAL(103,Oktobris[18])</f>
        <v>0</v>
      </c>
      <c r="U12" s="13">
        <f>SUBTOTAL(103,Oktobris[19])</f>
        <v>0</v>
      </c>
      <c r="V12" s="13">
        <f>SUBTOTAL(103,Oktobris[20])</f>
        <v>0</v>
      </c>
      <c r="W12" s="13">
        <f>SUBTOTAL(103,Oktobris[21])</f>
        <v>0</v>
      </c>
      <c r="X12" s="13">
        <f>SUBTOTAL(103,Oktobris[22])</f>
        <v>0</v>
      </c>
      <c r="Y12" s="13">
        <f>SUBTOTAL(103,Oktobris[23])</f>
        <v>0</v>
      </c>
      <c r="Z12" s="13">
        <f>SUBTOTAL(103,Oktobris[24])</f>
        <v>0</v>
      </c>
      <c r="AA12" s="13">
        <f>SUBTOTAL(103,Oktobris[25])</f>
        <v>0</v>
      </c>
      <c r="AB12" s="13">
        <f>SUBTOTAL(103,Oktobris[26])</f>
        <v>0</v>
      </c>
      <c r="AC12" s="13">
        <f>SUBTOTAL(103,Oktobris[27])</f>
        <v>0</v>
      </c>
      <c r="AD12" s="13">
        <f>SUBTOTAL(103,Oktobris[28])</f>
        <v>0</v>
      </c>
      <c r="AE12" s="13">
        <f>SUBTOTAL(103,Oktobris[29])</f>
        <v>0</v>
      </c>
      <c r="AF12" s="13">
        <f>SUBTOTAL(103,Oktobris[30])</f>
        <v>0</v>
      </c>
      <c r="AG12" s="13">
        <f>SUBTOTAL(103,Oktobris[31])</f>
        <v>0</v>
      </c>
      <c r="AH12" s="13">
        <f>SUBTOTAL(109,Oktobris[Dienu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21" priority="2" stopIfTrue="1">
      <formula>C7=PielāgotaAtslēga2</formula>
    </cfRule>
    <cfRule type="expression" dxfId="220" priority="3" stopIfTrue="1">
      <formula>C7=PielāgotaAtslēga1</formula>
    </cfRule>
    <cfRule type="expression" dxfId="219" priority="4" stopIfTrue="1">
      <formula>C7=AtslēgaSlimība</formula>
    </cfRule>
    <cfRule type="expression" dxfId="218" priority="5" stopIfTrue="1">
      <formula>C7=AtslēgaPersonisks</formula>
    </cfRule>
    <cfRule type="expression" dxfId="217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900-000000000000}"/>
    <dataValidation allowBlank="1" showInputMessage="1" showErrorMessage="1" prompt="Automātiski atjaunināts gads, ņemot vērā gadu, kas ievadīts janvāra darblapā" sqref="AH4" xr:uid="{00000000-0002-0000-0900-000001000000}"/>
    <dataValidation allowBlank="1" showInputMessage="1" showErrorMessage="1" prompt="Automātiski aprēķina kopējo dienu skaitu, kad darbinieks ir bijis prombūtnē šajā mēnesī, šajā kolonnā" sqref="AH6" xr:uid="{00000000-0002-0000-0900-000002000000}"/>
    <dataValidation allowBlank="1" showInputMessage="1" showErrorMessage="1" prompt="Sekojiet oktobra prombūtnei šajā darblapā" sqref="A1" xr:uid="{00000000-0002-0000-0900-000003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900-000004000000}"/>
    <dataValidation allowBlank="1" showInputMessage="1" showErrorMessage="1" prompt="Automātiski atjauninātais nosaukums ir šajā šūnā. Lai modificētu nosaukumu, atjauniniet šūnu B1 janvāra darblapā" sqref="B1" xr:uid="{00000000-0002-0000-0900-000005000000}"/>
    <dataValidation allowBlank="1" showInputMessage="1" showErrorMessage="1" prompt="Burts “A” norāda prombūtni atvaļinājuma dēļ" sqref="C2" xr:uid="{00000000-0002-0000-0900-000006000000}"/>
    <dataValidation allowBlank="1" showInputMessage="1" showErrorMessage="1" prompt="Burts “P” norāda prombūtni personisku iemeslu dēļ" sqref="G2" xr:uid="{00000000-0002-0000-0900-000007000000}"/>
    <dataValidation allowBlank="1" showInputMessage="1" showErrorMessage="1" prompt="Burts “S” norāda prombūtni slimības dēļ" sqref="K2" xr:uid="{00000000-0002-0000-0900-000008000000}"/>
    <dataValidation allowBlank="1" showInputMessage="1" showErrorMessage="1" prompt="Ievadiet burtu un pielāgojiet etiķeti pa labi, lai pievienotu citu atslēgas vienumu" sqref="N2 R2" xr:uid="{00000000-0002-0000-0900-000009000000}"/>
    <dataValidation allowBlank="1" showInputMessage="1" showErrorMessage="1" prompt="Ievadiet etiķeti, lai aprakstītu pielāgoto atslēgu pa kreisi" sqref="O2:Q2 S2:U2" xr:uid="{00000000-0002-0000-0900-00000A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900-00000B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900-00000C000000}"/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9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TEXT(WEEKDAY(DATE(KalendāraGads,11,1),1),"ddd")</f>
        <v>piektd</v>
      </c>
      <c r="D5" s="2" t="str">
        <f>TEXT(WEEKDAY(DATE(KalendāraGads,11,2),1),"ddd")</f>
        <v>sestd</v>
      </c>
      <c r="E5" s="2" t="str">
        <f>TEXT(WEEKDAY(DATE(KalendāraGads,11,3),1),"ddd")</f>
        <v>svētd</v>
      </c>
      <c r="F5" s="2" t="str">
        <f>TEXT(WEEKDAY(DATE(KalendāraGads,11,4),1),"ddd")</f>
        <v>pirmd</v>
      </c>
      <c r="G5" s="2" t="str">
        <f>TEXT(WEEKDAY(DATE(KalendāraGads,11,5),1),"ddd")</f>
        <v>otrd</v>
      </c>
      <c r="H5" s="2" t="str">
        <f>TEXT(WEEKDAY(DATE(KalendāraGads,11,6),1),"ddd")</f>
        <v>trešd</v>
      </c>
      <c r="I5" s="2" t="str">
        <f>TEXT(WEEKDAY(DATE(KalendāraGads,11,7),1),"ddd")</f>
        <v>ceturtd</v>
      </c>
      <c r="J5" s="2" t="str">
        <f>TEXT(WEEKDAY(DATE(KalendāraGads,11,8),1),"ddd")</f>
        <v>piektd</v>
      </c>
      <c r="K5" s="2" t="str">
        <f>TEXT(WEEKDAY(DATE(KalendāraGads,11,9),1),"ddd")</f>
        <v>sestd</v>
      </c>
      <c r="L5" s="2" t="str">
        <f>TEXT(WEEKDAY(DATE(KalendāraGads,11,10),1),"ddd")</f>
        <v>svētd</v>
      </c>
      <c r="M5" s="2" t="str">
        <f>TEXT(WEEKDAY(DATE(KalendāraGads,11,11),1),"ddd")</f>
        <v>pirmd</v>
      </c>
      <c r="N5" s="2" t="str">
        <f>TEXT(WEEKDAY(DATE(KalendāraGads,11,12),1),"ddd")</f>
        <v>otrd</v>
      </c>
      <c r="O5" s="2" t="str">
        <f>TEXT(WEEKDAY(DATE(KalendāraGads,11,13),1),"ddd")</f>
        <v>trešd</v>
      </c>
      <c r="P5" s="2" t="str">
        <f>TEXT(WEEKDAY(DATE(KalendāraGads,11,14),1),"ddd")</f>
        <v>ceturtd</v>
      </c>
      <c r="Q5" s="2" t="str">
        <f>TEXT(WEEKDAY(DATE(KalendāraGads,11,15),1),"ddd")</f>
        <v>piektd</v>
      </c>
      <c r="R5" s="2" t="str">
        <f>TEXT(WEEKDAY(DATE(KalendāraGads,11,16),1),"ddd")</f>
        <v>sestd</v>
      </c>
      <c r="S5" s="2" t="str">
        <f>TEXT(WEEKDAY(DATE(KalendāraGads,11,17),1),"ddd")</f>
        <v>svētd</v>
      </c>
      <c r="T5" s="2" t="str">
        <f>TEXT(WEEKDAY(DATE(KalendāraGads,11,18),1),"ddd")</f>
        <v>pirmd</v>
      </c>
      <c r="U5" s="2" t="str">
        <f>TEXT(WEEKDAY(DATE(KalendāraGads,11,19),1),"ddd")</f>
        <v>otrd</v>
      </c>
      <c r="V5" s="2" t="str">
        <f>TEXT(WEEKDAY(DATE(KalendāraGads,11,20),1),"ddd")</f>
        <v>trešd</v>
      </c>
      <c r="W5" s="2" t="str">
        <f>TEXT(WEEKDAY(DATE(KalendāraGads,11,21),1),"ddd")</f>
        <v>ceturtd</v>
      </c>
      <c r="X5" s="2" t="str">
        <f>TEXT(WEEKDAY(DATE(KalendāraGads,11,22),1),"ddd")</f>
        <v>piektd</v>
      </c>
      <c r="Y5" s="2" t="str">
        <f>TEXT(WEEKDAY(DATE(KalendāraGads,11,23),1),"ddd")</f>
        <v>sestd</v>
      </c>
      <c r="Z5" s="2" t="str">
        <f>TEXT(WEEKDAY(DATE(KalendāraGads,11,24),1),"ddd")</f>
        <v>svētd</v>
      </c>
      <c r="AA5" s="2" t="str">
        <f>TEXT(WEEKDAY(DATE(KalendāraGads,11,25),1),"ddd")</f>
        <v>pirmd</v>
      </c>
      <c r="AB5" s="2" t="str">
        <f>TEXT(WEEKDAY(DATE(KalendāraGads,11,26),1),"ddd")</f>
        <v>otrd</v>
      </c>
      <c r="AC5" s="2" t="str">
        <f>TEXT(WEEKDAY(DATE(KalendāraGads,11,27),1),"ddd")</f>
        <v>trešd</v>
      </c>
      <c r="AD5" s="2" t="str">
        <f>TEXT(WEEKDAY(DATE(KalendāraGads,11,28),1),"ddd")</f>
        <v>ceturtd</v>
      </c>
      <c r="AE5" s="2" t="str">
        <f>TEXT(WEEKDAY(DATE(KalendāraGads,11,29),1),"ddd")</f>
        <v>piektd</v>
      </c>
      <c r="AF5" s="2" t="str">
        <f>TEXT(WEEKDAY(DATE(KalendāraGads,11,30),1),"ddd")</f>
        <v>sestd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COUNTA(Novembris[[#This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COUNTA(Novembris[[#This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COUNTA(Novembris[[#This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COUNTA(Novembris[[#This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COUNTA(Novembris[[#This Row],[1]:[30]])</f>
        <v>0</v>
      </c>
    </row>
    <row r="12" spans="2:34" ht="30" customHeight="1" x14ac:dyDescent="0.25">
      <c r="B12" s="21" t="str">
        <f>MēnešaNosaukums&amp;" Kopā"</f>
        <v>Novembris Kopā</v>
      </c>
      <c r="C12" s="13">
        <f>SUBTOTAL(103,Novembris[1])</f>
        <v>0</v>
      </c>
      <c r="D12" s="13">
        <f>SUBTOTAL(103,Novembris[2])</f>
        <v>0</v>
      </c>
      <c r="E12" s="13">
        <f>SUBTOTAL(103,Novembris[3])</f>
        <v>0</v>
      </c>
      <c r="F12" s="13">
        <f>SUBTOTAL(103,Novembris[4])</f>
        <v>0</v>
      </c>
      <c r="G12" s="13">
        <f>SUBTOTAL(103,Novembris[5])</f>
        <v>0</v>
      </c>
      <c r="H12" s="13">
        <f>SUBTOTAL(103,Novembris[6])</f>
        <v>0</v>
      </c>
      <c r="I12" s="13">
        <f>SUBTOTAL(103,Novembris[7])</f>
        <v>0</v>
      </c>
      <c r="J12" s="13">
        <f>SUBTOTAL(103,Novembris[8])</f>
        <v>0</v>
      </c>
      <c r="K12" s="13">
        <f>SUBTOTAL(103,Novembris[9])</f>
        <v>0</v>
      </c>
      <c r="L12" s="13">
        <f>SUBTOTAL(103,Novembris[10])</f>
        <v>0</v>
      </c>
      <c r="M12" s="13">
        <f>SUBTOTAL(103,Novembris[11])</f>
        <v>0</v>
      </c>
      <c r="N12" s="13">
        <f>SUBTOTAL(103,Novembris[12])</f>
        <v>0</v>
      </c>
      <c r="O12" s="13">
        <f>SUBTOTAL(103,Novembris[13])</f>
        <v>0</v>
      </c>
      <c r="P12" s="13">
        <f>SUBTOTAL(103,Novembris[14])</f>
        <v>0</v>
      </c>
      <c r="Q12" s="13">
        <f>SUBTOTAL(103,Novembris[15])</f>
        <v>0</v>
      </c>
      <c r="R12" s="13">
        <f>SUBTOTAL(103,Novembris[16])</f>
        <v>0</v>
      </c>
      <c r="S12" s="13">
        <f>SUBTOTAL(103,Novembris[17])</f>
        <v>0</v>
      </c>
      <c r="T12" s="13">
        <f>SUBTOTAL(103,Novembris[18])</f>
        <v>0</v>
      </c>
      <c r="U12" s="13">
        <f>SUBTOTAL(103,Novembris[19])</f>
        <v>0</v>
      </c>
      <c r="V12" s="13">
        <f>SUBTOTAL(103,Novembris[20])</f>
        <v>0</v>
      </c>
      <c r="W12" s="13">
        <f>SUBTOTAL(103,Novembris[21])</f>
        <v>0</v>
      </c>
      <c r="X12" s="13">
        <f>SUBTOTAL(103,Novembris[22])</f>
        <v>0</v>
      </c>
      <c r="Y12" s="13">
        <f>SUBTOTAL(103,Novembris[23])</f>
        <v>0</v>
      </c>
      <c r="Z12" s="13">
        <f>SUBTOTAL(103,Novembris[24])</f>
        <v>0</v>
      </c>
      <c r="AA12" s="13">
        <f>SUBTOTAL(103,Novembris[25])</f>
        <v>0</v>
      </c>
      <c r="AB12" s="13">
        <f>SUBTOTAL(103,Novembris[26])</f>
        <v>0</v>
      </c>
      <c r="AC12" s="13">
        <f>SUBTOTAL(103,Novembris[27])</f>
        <v>0</v>
      </c>
      <c r="AD12" s="13">
        <f>SUBTOTAL(103,Novembris[28])</f>
        <v>0</v>
      </c>
      <c r="AE12" s="13">
        <f>SUBTOTAL(103,Novembris[29])</f>
        <v>0</v>
      </c>
      <c r="AF12" s="13">
        <f>SUBTOTAL(103,Novembris[30])</f>
        <v>0</v>
      </c>
      <c r="AG12" s="13">
        <f>SUBTOTAL(103,Novembris[[ ]])</f>
        <v>0</v>
      </c>
      <c r="AH12" s="13">
        <f>SUBTOTAL(109,Novembris[Dienu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147" priority="2" stopIfTrue="1">
      <formula>C7=PielāgotaAtslēga2</formula>
    </cfRule>
    <cfRule type="expression" dxfId="146" priority="3" stopIfTrue="1">
      <formula>C7=PielāgotaAtslēga1</formula>
    </cfRule>
    <cfRule type="expression" dxfId="145" priority="4" stopIfTrue="1">
      <formula>C7=AtslēgaSlimība</formula>
    </cfRule>
    <cfRule type="expression" dxfId="144" priority="5" stopIfTrue="1">
      <formula>C7=AtslēgaPersonisks</formula>
    </cfRule>
    <cfRule type="expression" dxfId="143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A00-000000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A00-000001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A00-000002000000}"/>
    <dataValidation allowBlank="1" showInputMessage="1" showErrorMessage="1" prompt="Ievadiet etiķeti, lai aprakstītu pielāgoto atslēgu pa kreisi" sqref="O2:Q2 S2:U2" xr:uid="{00000000-0002-0000-0A00-000003000000}"/>
    <dataValidation allowBlank="1" showInputMessage="1" showErrorMessage="1" prompt="Ievadiet burtu un pielāgojiet etiķeti pa labi, lai pievienotu citu atslēgas vienumu" sqref="N2 R2" xr:uid="{00000000-0002-0000-0A00-000004000000}"/>
    <dataValidation allowBlank="1" showInputMessage="1" showErrorMessage="1" prompt="Burts “S” norāda prombūtni slimības dēļ" sqref="K2" xr:uid="{00000000-0002-0000-0A00-000005000000}"/>
    <dataValidation allowBlank="1" showInputMessage="1" showErrorMessage="1" prompt="Burts “P” norāda prombūtni personisku iemeslu dēļ" sqref="G2" xr:uid="{00000000-0002-0000-0A00-000006000000}"/>
    <dataValidation allowBlank="1" showInputMessage="1" showErrorMessage="1" prompt="Burts “A” norāda prombūtni atvaļinājuma dēļ" sqref="C2" xr:uid="{00000000-0002-0000-0A00-000007000000}"/>
    <dataValidation allowBlank="1" showInputMessage="1" showErrorMessage="1" prompt="Automātiski atjauninātais nosaukums ir šajā šūnā. Lai modificētu nosaukumu, atjauniniet šūnu B1 janvāra darblapā" sqref="B1" xr:uid="{00000000-0002-0000-0A00-000008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A00-000009000000}"/>
    <dataValidation allowBlank="1" showInputMessage="1" showErrorMessage="1" prompt="Sekojiet novembra prombūtnei šajā darblapā" sqref="A1" xr:uid="{00000000-0002-0000-0A00-00000A000000}"/>
    <dataValidation allowBlank="1" showInputMessage="1" showErrorMessage="1" prompt="Automātiski aprēķina kopējo dienu skaitu, kad darbinieks ir bijis prombūtnē šajā mēnesī, šajā kolonnā" sqref="AH6" xr:uid="{00000000-0002-0000-0A00-00000B000000}"/>
    <dataValidation allowBlank="1" showInputMessage="1" showErrorMessage="1" prompt="Automātiski atjaunināts gads, ņemot vērā gadu, kas ievadīts janvāra darblapā" sqref="AH4" xr:uid="{00000000-0002-0000-0A00-00000C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A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61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TEXT(WEEKDAY(DATE(KalendāraGads,12,1),1),"ddd")</f>
        <v>svētd</v>
      </c>
      <c r="D5" s="2" t="str">
        <f>TEXT(WEEKDAY(DATE(KalendāraGads,12,2),1),"ddd")</f>
        <v>pirmd</v>
      </c>
      <c r="E5" s="2" t="str">
        <f>TEXT(WEEKDAY(DATE(KalendāraGads,12,3),1),"ddd")</f>
        <v>otrd</v>
      </c>
      <c r="F5" s="2" t="str">
        <f>TEXT(WEEKDAY(DATE(KalendāraGads,12,4),1),"ddd")</f>
        <v>trešd</v>
      </c>
      <c r="G5" s="2" t="str">
        <f>TEXT(WEEKDAY(DATE(KalendāraGads,12,5),1),"ddd")</f>
        <v>ceturtd</v>
      </c>
      <c r="H5" s="2" t="str">
        <f>TEXT(WEEKDAY(DATE(KalendāraGads,12,6),1),"ddd")</f>
        <v>piektd</v>
      </c>
      <c r="I5" s="2" t="str">
        <f>TEXT(WEEKDAY(DATE(KalendāraGads,12,7),1),"ddd")</f>
        <v>sestd</v>
      </c>
      <c r="J5" s="2" t="str">
        <f>TEXT(WEEKDAY(DATE(KalendāraGads,12,8),1),"ddd")</f>
        <v>svētd</v>
      </c>
      <c r="K5" s="2" t="str">
        <f>TEXT(WEEKDAY(DATE(KalendāraGads,12,9),1),"ddd")</f>
        <v>pirmd</v>
      </c>
      <c r="L5" s="2" t="str">
        <f>TEXT(WEEKDAY(DATE(KalendāraGads,12,10),1),"ddd")</f>
        <v>otrd</v>
      </c>
      <c r="M5" s="2" t="str">
        <f>TEXT(WEEKDAY(DATE(KalendāraGads,12,11),1),"ddd")</f>
        <v>trešd</v>
      </c>
      <c r="N5" s="2" t="str">
        <f>TEXT(WEEKDAY(DATE(KalendāraGads,12,12),1),"ddd")</f>
        <v>ceturtd</v>
      </c>
      <c r="O5" s="2" t="str">
        <f>TEXT(WEEKDAY(DATE(KalendāraGads,12,13),1),"ddd")</f>
        <v>piektd</v>
      </c>
      <c r="P5" s="2" t="str">
        <f>TEXT(WEEKDAY(DATE(KalendāraGads,12,14),1),"ddd")</f>
        <v>sestd</v>
      </c>
      <c r="Q5" s="2" t="str">
        <f>TEXT(WEEKDAY(DATE(KalendāraGads,12,15),1),"ddd")</f>
        <v>svētd</v>
      </c>
      <c r="R5" s="2" t="str">
        <f>TEXT(WEEKDAY(DATE(KalendāraGads,12,16),1),"ddd")</f>
        <v>pirmd</v>
      </c>
      <c r="S5" s="2" t="str">
        <f>TEXT(WEEKDAY(DATE(KalendāraGads,12,17),1),"ddd")</f>
        <v>otrd</v>
      </c>
      <c r="T5" s="2" t="str">
        <f>TEXT(WEEKDAY(DATE(KalendāraGads,12,18),1),"ddd")</f>
        <v>trešd</v>
      </c>
      <c r="U5" s="2" t="str">
        <f>TEXT(WEEKDAY(DATE(KalendāraGads,12,19),1),"ddd")</f>
        <v>ceturtd</v>
      </c>
      <c r="V5" s="2" t="str">
        <f>TEXT(WEEKDAY(DATE(KalendāraGads,12,20),1),"ddd")</f>
        <v>piektd</v>
      </c>
      <c r="W5" s="2" t="str">
        <f>TEXT(WEEKDAY(DATE(KalendāraGads,12,21),1),"ddd")</f>
        <v>sestd</v>
      </c>
      <c r="X5" s="2" t="str">
        <f>TEXT(WEEKDAY(DATE(KalendāraGads,12,22),1),"ddd")</f>
        <v>svētd</v>
      </c>
      <c r="Y5" s="2" t="str">
        <f>TEXT(WEEKDAY(DATE(KalendāraGads,12,23),1),"ddd")</f>
        <v>pirmd</v>
      </c>
      <c r="Z5" s="2" t="str">
        <f>TEXT(WEEKDAY(DATE(KalendāraGads,12,24),1),"ddd")</f>
        <v>otrd</v>
      </c>
      <c r="AA5" s="2" t="str">
        <f>TEXT(WEEKDAY(DATE(KalendāraGads,12,25),1),"ddd")</f>
        <v>trešd</v>
      </c>
      <c r="AB5" s="2" t="str">
        <f>TEXT(WEEKDAY(DATE(KalendāraGads,12,26),1),"ddd")</f>
        <v>ceturtd</v>
      </c>
      <c r="AC5" s="2" t="str">
        <f>TEXT(WEEKDAY(DATE(KalendāraGads,12,27),1),"ddd")</f>
        <v>piektd</v>
      </c>
      <c r="AD5" s="2" t="str">
        <f>TEXT(WEEKDAY(DATE(KalendāraGads,12,28),1),"ddd")</f>
        <v>sestd</v>
      </c>
      <c r="AE5" s="2" t="str">
        <f>TEXT(WEEKDAY(DATE(KalendāraGads,12,29),1),"ddd")</f>
        <v>svētd</v>
      </c>
      <c r="AF5" s="2" t="str">
        <f>TEXT(WEEKDAY(DATE(KalendāraGads,12,30),1),"ddd")</f>
        <v>pirmd</v>
      </c>
      <c r="AG5" s="2" t="str">
        <f>TEXT(WEEKDAY(DATE(KalendāraGads,12,31),1),"ddd")</f>
        <v>otrd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COUNTA(Decembris[[#This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COUNTA(Decembris[[#This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COUNTA(Decembris[[#This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COUNTA(Decembris[[#This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COUNTA(Decembris[[#This Row],[1]:[31]])</f>
        <v>0</v>
      </c>
    </row>
    <row r="12" spans="2:34" ht="30" customHeight="1" x14ac:dyDescent="0.25">
      <c r="B12" s="21" t="str">
        <f>MēnešaNosaukums&amp;" Kopā"</f>
        <v>Decembris Kopā</v>
      </c>
      <c r="C12" s="13">
        <f>SUBTOTAL(103,Decembris[1])</f>
        <v>0</v>
      </c>
      <c r="D12" s="13">
        <f>SUBTOTAL(103,Decembris[2])</f>
        <v>0</v>
      </c>
      <c r="E12" s="13">
        <f>SUBTOTAL(103,Decembris[3])</f>
        <v>0</v>
      </c>
      <c r="F12" s="13">
        <f>SUBTOTAL(103,Decembris[4])</f>
        <v>0</v>
      </c>
      <c r="G12" s="13">
        <f>SUBTOTAL(103,Decembris[5])</f>
        <v>0</v>
      </c>
      <c r="H12" s="13">
        <f>SUBTOTAL(103,Decembris[6])</f>
        <v>0</v>
      </c>
      <c r="I12" s="13">
        <f>SUBTOTAL(103,Decembris[7])</f>
        <v>0</v>
      </c>
      <c r="J12" s="13">
        <f>SUBTOTAL(103,Decembris[8])</f>
        <v>0</v>
      </c>
      <c r="K12" s="13">
        <f>SUBTOTAL(103,Decembris[9])</f>
        <v>0</v>
      </c>
      <c r="L12" s="13">
        <f>SUBTOTAL(103,Decembris[10])</f>
        <v>0</v>
      </c>
      <c r="M12" s="13">
        <f>SUBTOTAL(103,Decembris[11])</f>
        <v>0</v>
      </c>
      <c r="N12" s="13">
        <f>SUBTOTAL(103,Decembris[12])</f>
        <v>0</v>
      </c>
      <c r="O12" s="13">
        <f>SUBTOTAL(103,Decembris[13])</f>
        <v>0</v>
      </c>
      <c r="P12" s="13">
        <f>SUBTOTAL(103,Decembris[14])</f>
        <v>0</v>
      </c>
      <c r="Q12" s="13">
        <f>SUBTOTAL(103,Decembris[15])</f>
        <v>0</v>
      </c>
      <c r="R12" s="13">
        <f>SUBTOTAL(103,Decembris[16])</f>
        <v>0</v>
      </c>
      <c r="S12" s="13">
        <f>SUBTOTAL(103,Decembris[17])</f>
        <v>0</v>
      </c>
      <c r="T12" s="13">
        <f>SUBTOTAL(103,Decembris[18])</f>
        <v>0</v>
      </c>
      <c r="U12" s="13">
        <f>SUBTOTAL(103,Decembris[19])</f>
        <v>0</v>
      </c>
      <c r="V12" s="13">
        <f>SUBTOTAL(103,Decembris[20])</f>
        <v>0</v>
      </c>
      <c r="W12" s="13">
        <f>SUBTOTAL(103,Decembris[21])</f>
        <v>0</v>
      </c>
      <c r="X12" s="13">
        <f>SUBTOTAL(103,Decembris[22])</f>
        <v>0</v>
      </c>
      <c r="Y12" s="13">
        <f>SUBTOTAL(103,Decembris[23])</f>
        <v>0</v>
      </c>
      <c r="Z12" s="13">
        <f>SUBTOTAL(103,Decembris[24])</f>
        <v>0</v>
      </c>
      <c r="AA12" s="13">
        <f>SUBTOTAL(103,Decembris[25])</f>
        <v>0</v>
      </c>
      <c r="AB12" s="13">
        <f>SUBTOTAL(103,Decembris[26])</f>
        <v>0</v>
      </c>
      <c r="AC12" s="13">
        <f>SUBTOTAL(103,Decembris[27])</f>
        <v>0</v>
      </c>
      <c r="AD12" s="13">
        <f>SUBTOTAL(103,Decembris[28])</f>
        <v>0</v>
      </c>
      <c r="AE12" s="13">
        <f>SUBTOTAL(103,Decembris[29])</f>
        <v>0</v>
      </c>
      <c r="AF12" s="13">
        <f>SUBTOTAL(103,Decembris[30])</f>
        <v>0</v>
      </c>
      <c r="AG12" s="13">
        <f>SUBTOTAL(103,Decembris[31])</f>
        <v>0</v>
      </c>
      <c r="AH12" s="13">
        <f>SUBTOTAL(109,Decembris[Dienu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73" priority="2" stopIfTrue="1">
      <formula>C7=PielāgotaAtslēga2</formula>
    </cfRule>
    <cfRule type="expression" dxfId="72" priority="3" stopIfTrue="1">
      <formula>C7=PielāgotaAtslēga1</formula>
    </cfRule>
    <cfRule type="expression" dxfId="71" priority="4" stopIfTrue="1">
      <formula>C7=AtslēgaSlimība</formula>
    </cfRule>
    <cfRule type="expression" dxfId="70" priority="5" stopIfTrue="1">
      <formula>C7=AtslēgaPersonisks</formula>
    </cfRule>
    <cfRule type="expression" dxfId="69" priority="6" stopIfTrue="1">
      <formula>C7=AtslēgaAtvaļinājums</formula>
    </cfRule>
  </conditionalFormatting>
  <conditionalFormatting sqref="AH7:AH11">
    <cfRule type="dataBar" priority="30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Automātiski atjaunināts gads, ņemot vērā gadu, kas ievadīts janvāra darblapā" sqref="AH4" xr:uid="{00000000-0002-0000-0B00-000000000000}"/>
    <dataValidation allowBlank="1" showInputMessage="1" showErrorMessage="1" prompt="Automātiski aprēķina kopējo dienu skaitu, kad darbinieks ir bijis prombūtnē šajā mēnesī, šajā kolonnā" sqref="AH6" xr:uid="{00000000-0002-0000-0B00-000001000000}"/>
    <dataValidation allowBlank="1" showInputMessage="1" showErrorMessage="1" prompt="Sekojiet decembra prombūtnei šajā darblapā" sqref="A1" xr:uid="{00000000-0002-0000-0B00-000002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B00-000003000000}"/>
    <dataValidation allowBlank="1" showInputMessage="1" showErrorMessage="1" prompt="Automātiski atjauninātais nosaukums ir šajā šūnā. Lai modificētu nosaukumu, atjauniniet šūnu B1 janvāra darblapā" sqref="B1" xr:uid="{00000000-0002-0000-0B00-000004000000}"/>
    <dataValidation allowBlank="1" showInputMessage="1" showErrorMessage="1" prompt="Burts “A” norāda prombūtni atvaļinājuma dēļ" sqref="C2" xr:uid="{00000000-0002-0000-0B00-000005000000}"/>
    <dataValidation allowBlank="1" showInputMessage="1" showErrorMessage="1" prompt="Burts “P” norāda prombūtni personisku iemeslu dēļ" sqref="G2" xr:uid="{00000000-0002-0000-0B00-000006000000}"/>
    <dataValidation allowBlank="1" showInputMessage="1" showErrorMessage="1" prompt="Burts “S” norāda prombūtni slimības dēļ" sqref="K2" xr:uid="{00000000-0002-0000-0B00-000007000000}"/>
    <dataValidation allowBlank="1" showInputMessage="1" showErrorMessage="1" prompt="Ievadiet burtu un pielāgojiet etiķeti pa labi, lai pievienotu citu atslēgas vienumu" sqref="N2 R2" xr:uid="{00000000-0002-0000-0B00-000008000000}"/>
    <dataValidation allowBlank="1" showInputMessage="1" showErrorMessage="1" prompt="Ievadiet etiķeti, lai aprakstītu pielāgoto atslēgu pa kreisi" sqref="O2:Q2 S2:U2" xr:uid="{00000000-0002-0000-0B00-000009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B00-00000A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B00-00000B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B00-00000C000000}"/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B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  <pageSetUpPr fitToPage="1"/>
  </sheetPr>
  <dimension ref="B1:AG8"/>
  <sheetViews>
    <sheetView showGridLines="0" workbookViewId="0"/>
  </sheetViews>
  <sheetFormatPr defaultRowHeight="30" customHeight="1" x14ac:dyDescent="0.25"/>
  <cols>
    <col min="1" max="1" width="2.7109375" customWidth="1"/>
    <col min="2" max="2" width="42" customWidth="1"/>
    <col min="3" max="33" width="7.28515625" customWidth="1"/>
    <col min="34" max="34" width="16.7109375" customWidth="1"/>
  </cols>
  <sheetData>
    <row r="1" spans="2:33" ht="50.1" customHeight="1" x14ac:dyDescent="0.25">
      <c r="B1" s="22" t="s">
        <v>62</v>
      </c>
    </row>
    <row r="2" spans="2:33" ht="15" customHeight="1" x14ac:dyDescent="0.25"/>
    <row r="3" spans="2:33" ht="30" customHeight="1" x14ac:dyDescent="0.25">
      <c r="B3" t="s">
        <v>62</v>
      </c>
    </row>
    <row r="4" spans="2:33" ht="30" customHeight="1" x14ac:dyDescent="0.25">
      <c r="B4" s="1" t="s">
        <v>4</v>
      </c>
    </row>
    <row r="5" spans="2:33" ht="30" customHeight="1" x14ac:dyDescent="0.25">
      <c r="B5" s="1" t="s">
        <v>5</v>
      </c>
      <c r="E5" s="24"/>
      <c r="AG5" s="24"/>
    </row>
    <row r="6" spans="2:33" ht="30" customHeight="1" x14ac:dyDescent="0.25">
      <c r="B6" s="1" t="s">
        <v>6</v>
      </c>
    </row>
    <row r="7" spans="2:33" ht="30" customHeight="1" x14ac:dyDescent="0.25">
      <c r="B7" s="1" t="s">
        <v>7</v>
      </c>
    </row>
    <row r="8" spans="2:33" ht="30" customHeight="1" x14ac:dyDescent="0.25">
      <c r="B8" s="1" t="s">
        <v>8</v>
      </c>
    </row>
  </sheetData>
  <dataValidations count="3">
    <dataValidation allowBlank="1" showInputMessage="1" showErrorMessage="1" prompt="Darbinieku vārdu virsraksts" sqref="B1" xr:uid="{00000000-0002-0000-0C00-000000000000}"/>
    <dataValidation allowBlank="1" showInputMessage="1" showErrorMessage="1" prompt="Ievadiet darbinieku vārdus šīs darblapas darbinieku vārdu tabulā. Šie vārdi tiek izmantoti kā opcijas katra mēneša prombūtnes tabulas kolonnā B" sqref="A1" xr:uid="{00000000-0002-0000-0C00-000001000000}"/>
    <dataValidation allowBlank="1" showInputMessage="1" showErrorMessage="1" prompt="Ievadiet darbinieku vārdus tabulas šajā kolonnā" sqref="B3" xr:uid="{00000000-0002-0000-0C00-000002000000}"/>
  </dataValidations>
  <printOptions horizontalCentered="1"/>
  <pageMargins left="0.25" right="0.25" top="0.75" bottom="0.75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/>
    </row>
    <row r="4" spans="2:34" ht="30" customHeight="1" x14ac:dyDescent="0.25">
      <c r="B4" s="12" t="s">
        <v>50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TEXT(WEEKDAY(DATE(KalendāraGads,2,1),1),"ddd")</f>
        <v>piektd</v>
      </c>
      <c r="D5" s="2" t="str">
        <f>TEXT(WEEKDAY(DATE(KalendāraGads,2,2),1),"ddd")</f>
        <v>sestd</v>
      </c>
      <c r="E5" s="2" t="str">
        <f>TEXT(WEEKDAY(DATE(KalendāraGads,2,3),1),"ddd")</f>
        <v>svētd</v>
      </c>
      <c r="F5" s="2" t="str">
        <f>TEXT(WEEKDAY(DATE(KalendāraGads,2,4),1),"ddd")</f>
        <v>pirmd</v>
      </c>
      <c r="G5" s="2" t="str">
        <f>TEXT(WEEKDAY(DATE(KalendāraGads,2,5),1),"ddd")</f>
        <v>otrd</v>
      </c>
      <c r="H5" s="2" t="str">
        <f>TEXT(WEEKDAY(DATE(KalendāraGads,2,6),1),"ddd")</f>
        <v>trešd</v>
      </c>
      <c r="I5" s="2" t="str">
        <f>TEXT(WEEKDAY(DATE(KalendāraGads,2,7),1),"ddd")</f>
        <v>ceturtd</v>
      </c>
      <c r="J5" s="2" t="str">
        <f>TEXT(WEEKDAY(DATE(KalendāraGads,2,8),1),"ddd")</f>
        <v>piektd</v>
      </c>
      <c r="K5" s="2" t="str">
        <f>TEXT(WEEKDAY(DATE(KalendāraGads,2,9),1),"ddd")</f>
        <v>sestd</v>
      </c>
      <c r="L5" s="2" t="str">
        <f>TEXT(WEEKDAY(DATE(KalendāraGads,2,10),1),"ddd")</f>
        <v>svētd</v>
      </c>
      <c r="M5" s="2" t="str">
        <f>TEXT(WEEKDAY(DATE(KalendāraGads,2,11),1),"ddd")</f>
        <v>pirmd</v>
      </c>
      <c r="N5" s="2" t="str">
        <f>TEXT(WEEKDAY(DATE(KalendāraGads,2,12),1),"ddd")</f>
        <v>otrd</v>
      </c>
      <c r="O5" s="2" t="str">
        <f>TEXT(WEEKDAY(DATE(KalendāraGads,2,13),1),"ddd")</f>
        <v>trešd</v>
      </c>
      <c r="P5" s="2" t="str">
        <f>TEXT(WEEKDAY(DATE(KalendāraGads,2,14),1),"ddd")</f>
        <v>ceturtd</v>
      </c>
      <c r="Q5" s="2" t="str">
        <f>TEXT(WEEKDAY(DATE(KalendāraGads,2,15),1),"ddd")</f>
        <v>piektd</v>
      </c>
      <c r="R5" s="2" t="str">
        <f>TEXT(WEEKDAY(DATE(KalendāraGads,2,16),1),"ddd")</f>
        <v>sestd</v>
      </c>
      <c r="S5" s="2" t="str">
        <f>TEXT(WEEKDAY(DATE(KalendāraGads,2,17),1),"ddd")</f>
        <v>svētd</v>
      </c>
      <c r="T5" s="2" t="str">
        <f>TEXT(WEEKDAY(DATE(KalendāraGads,2,18),1),"ddd")</f>
        <v>pirmd</v>
      </c>
      <c r="U5" s="2" t="str">
        <f>TEXT(WEEKDAY(DATE(KalendāraGads,2,19),1),"ddd")</f>
        <v>otrd</v>
      </c>
      <c r="V5" s="2" t="str">
        <f>TEXT(WEEKDAY(DATE(KalendāraGads,2,20),1),"ddd")</f>
        <v>trešd</v>
      </c>
      <c r="W5" s="2" t="str">
        <f>TEXT(WEEKDAY(DATE(KalendāraGads,2,21),1),"ddd")</f>
        <v>ceturtd</v>
      </c>
      <c r="X5" s="2" t="str">
        <f>TEXT(WEEKDAY(DATE(KalendāraGads,2,22),1),"ddd")</f>
        <v>piektd</v>
      </c>
      <c r="Y5" s="2" t="str">
        <f>TEXT(WEEKDAY(DATE(KalendāraGads,2,23),1),"ddd")</f>
        <v>sestd</v>
      </c>
      <c r="Z5" s="2" t="str">
        <f>TEXT(WEEKDAY(DATE(KalendāraGads,2,24),1),"ddd")</f>
        <v>svētd</v>
      </c>
      <c r="AA5" s="2" t="str">
        <f>TEXT(WEEKDAY(DATE(KalendāraGads,2,25),1),"ddd")</f>
        <v>pirmd</v>
      </c>
      <c r="AB5" s="2" t="str">
        <f>TEXT(WEEKDAY(DATE(KalendāraGads,2,26),1),"ddd")</f>
        <v>otrd</v>
      </c>
      <c r="AC5" s="2" t="str">
        <f>TEXT(WEEKDAY(DATE(KalendāraGads,2,27),1),"ddd")</f>
        <v>trešd</v>
      </c>
      <c r="AD5" s="2" t="str">
        <f>TEXT(WEEKDAY(DATE(KalendāraGads,2,28),1),"ddd")</f>
        <v>ceturtd</v>
      </c>
      <c r="AE5" s="2" t="str">
        <f>TEXT(WEEKDAY(DATE(KalendāraGads,2,29),1),"ddd")</f>
        <v>piektd</v>
      </c>
      <c r="AF5" s="2"/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51</v>
      </c>
      <c r="AG6" s="3" t="s">
        <v>52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 t="s">
        <v>64</v>
      </c>
      <c r="F7" s="3" t="s">
        <v>64</v>
      </c>
      <c r="G7" s="3" t="s">
        <v>64</v>
      </c>
      <c r="H7" s="3" t="s">
        <v>64</v>
      </c>
      <c r="I7" s="3"/>
      <c r="J7" s="3"/>
      <c r="K7" s="3"/>
      <c r="L7" s="3"/>
      <c r="M7" s="3"/>
      <c r="N7" s="3"/>
      <c r="O7" s="3" t="s">
        <v>64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COUNTA(Februāris[[#This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64</v>
      </c>
      <c r="AB8" s="3" t="s">
        <v>64</v>
      </c>
      <c r="AC8" s="3" t="s">
        <v>64</v>
      </c>
      <c r="AD8" s="3"/>
      <c r="AE8" s="3"/>
      <c r="AF8" s="3"/>
      <c r="AG8" s="3"/>
      <c r="AH8" s="10">
        <f>COUNTA(Februāris[[#This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COUNTA(Februāris[[#This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16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16</v>
      </c>
      <c r="Q10" s="3"/>
      <c r="R10" s="3"/>
      <c r="S10" s="3"/>
      <c r="T10" s="3" t="s">
        <v>14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16</v>
      </c>
      <c r="AE10" s="3"/>
      <c r="AF10" s="3"/>
      <c r="AG10" s="3"/>
      <c r="AH10" s="10">
        <f>COUNTA(Februāris[[#This Row],[1]:[29]])</f>
        <v>4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 t="s">
        <v>64</v>
      </c>
      <c r="K11" s="3" t="s">
        <v>64</v>
      </c>
      <c r="L11" s="3" t="s">
        <v>64</v>
      </c>
      <c r="M11" s="3" t="s">
        <v>64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/>
      <c r="AH11" s="10">
        <f>COUNTA(Februāris[[#This Row],[1]:[29]])</f>
        <v>5</v>
      </c>
    </row>
    <row r="12" spans="2:34" ht="30" customHeight="1" x14ac:dyDescent="0.25">
      <c r="B12" s="21" t="str">
        <f>MēnešaNosaukums&amp;" Kopā"</f>
        <v>Februāris Kopā</v>
      </c>
      <c r="C12" s="13">
        <f>SUBTOTAL(103,Februāris[1])</f>
        <v>0</v>
      </c>
      <c r="D12" s="13">
        <f>SUBTOTAL(103,Februāris[2])</f>
        <v>0</v>
      </c>
      <c r="E12" s="13">
        <f>SUBTOTAL(103,Februāris[3])</f>
        <v>2</v>
      </c>
      <c r="F12" s="13">
        <f>SUBTOTAL(103,Februāris[4])</f>
        <v>1</v>
      </c>
      <c r="G12" s="13">
        <f>SUBTOTAL(103,Februāris[5])</f>
        <v>2</v>
      </c>
      <c r="H12" s="13">
        <f>SUBTOTAL(103,Februāris[6])</f>
        <v>2</v>
      </c>
      <c r="I12" s="13">
        <f>SUBTOTAL(103,Februāris[7])</f>
        <v>0</v>
      </c>
      <c r="J12" s="13">
        <f>SUBTOTAL(103,Februāris[8])</f>
        <v>1</v>
      </c>
      <c r="K12" s="13">
        <f>SUBTOTAL(103,Februāris[9])</f>
        <v>1</v>
      </c>
      <c r="L12" s="13">
        <f>SUBTOTAL(103,Februāris[10])</f>
        <v>1</v>
      </c>
      <c r="M12" s="13">
        <f>SUBTOTAL(103,Februāris[11])</f>
        <v>2</v>
      </c>
      <c r="N12" s="13">
        <f>SUBTOTAL(103,Februāris[12])</f>
        <v>0</v>
      </c>
      <c r="O12" s="13">
        <f>SUBTOTAL(103,Februāris[13])</f>
        <v>1</v>
      </c>
      <c r="P12" s="13">
        <f>SUBTOTAL(103,Februāris[14])</f>
        <v>1</v>
      </c>
      <c r="Q12" s="13">
        <f>SUBTOTAL(103,Februāris[15])</f>
        <v>0</v>
      </c>
      <c r="R12" s="13">
        <f>SUBTOTAL(103,Februāris[16])</f>
        <v>0</v>
      </c>
      <c r="S12" s="13">
        <f>SUBTOTAL(103,Februāris[17])</f>
        <v>0</v>
      </c>
      <c r="T12" s="13">
        <f>SUBTOTAL(103,Februāris[18])</f>
        <v>1</v>
      </c>
      <c r="U12" s="13">
        <f>SUBTOTAL(103,Februāris[19])</f>
        <v>0</v>
      </c>
      <c r="V12" s="13">
        <f>SUBTOTAL(103,Februāris[20])</f>
        <v>1</v>
      </c>
      <c r="W12" s="13">
        <f>SUBTOTAL(103,Februāris[21])</f>
        <v>0</v>
      </c>
      <c r="X12" s="13">
        <f>SUBTOTAL(103,Februāris[22])</f>
        <v>0</v>
      </c>
      <c r="Y12" s="13">
        <f>SUBTOTAL(103,Februāris[23])</f>
        <v>0</v>
      </c>
      <c r="Z12" s="13">
        <f>SUBTOTAL(103,Februāris[24])</f>
        <v>1</v>
      </c>
      <c r="AA12" s="13">
        <f>SUBTOTAL(103,Februāris[25])</f>
        <v>1</v>
      </c>
      <c r="AB12" s="13">
        <f>SUBTOTAL(103,Februāris[26])</f>
        <v>1</v>
      </c>
      <c r="AC12" s="13">
        <f>SUBTOTAL(103,Februāris[27])</f>
        <v>1</v>
      </c>
      <c r="AD12" s="13">
        <f>SUBTOTAL(103,Februāris[28])</f>
        <v>1</v>
      </c>
      <c r="AE12" s="13">
        <f>SUBTOTAL(103,Februāris[29])</f>
        <v>0</v>
      </c>
      <c r="AF12" s="13"/>
      <c r="AG12" s="13"/>
      <c r="AH12" s="13">
        <f>SUBTOTAL(109,Februāris[Dienu kopskaits])</f>
        <v>21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AE6">
    <cfRule type="expression" dxfId="815" priority="16">
      <formula>MONTH(DATE(KalendāraGads,2,29))&lt;&gt;2</formula>
    </cfRule>
  </conditionalFormatting>
  <conditionalFormatting sqref="AE5">
    <cfRule type="expression" dxfId="814" priority="15">
      <formula>MONTH(DATE(KalendāraGads,2,29))&lt;&gt;2</formula>
    </cfRule>
  </conditionalFormatting>
  <conditionalFormatting sqref="C7:AG11">
    <cfRule type="expression" priority="2" stopIfTrue="1">
      <formula>C7=""</formula>
    </cfRule>
    <cfRule type="expression" dxfId="813" priority="3" stopIfTrue="1">
      <formula>C7=PielāgotaAtslēga2</formula>
    </cfRule>
  </conditionalFormatting>
  <conditionalFormatting sqref="C7:AG11">
    <cfRule type="expression" dxfId="812" priority="5" stopIfTrue="1">
      <formula>C7=PielāgotaAtslēga1</formula>
    </cfRule>
    <cfRule type="expression" dxfId="811" priority="6" stopIfTrue="1">
      <formula>C7=AtslēgaSlimība</formula>
    </cfRule>
    <cfRule type="expression" dxfId="810" priority="7" stopIfTrue="1">
      <formula>C7=AtslēgaPersonisks</formula>
    </cfRule>
    <cfRule type="expression" dxfId="809" priority="8" stopIfTrue="1">
      <formula>C7=AtslēgaAtvaļinājums</formula>
    </cfRule>
  </conditionalFormatting>
  <conditionalFormatting sqref="AH7:AH11">
    <cfRule type="dataBar" priority="153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Automātiski atjaunināts gads, ņemot vērā gadu, kas ievadīts janvāra darblapā" sqref="AH4" xr:uid="{00000000-0002-0000-0100-000000000000}"/>
    <dataValidation allowBlank="1" showInputMessage="1" showErrorMessage="1" prompt="Sekojiet februāra prombūtnei šajā darblapā" sqref="A1" xr:uid="{00000000-0002-0000-0100-000001000000}"/>
    <dataValidation allowBlank="1" showInputMessage="1" showErrorMessage="1" prompt="Automātiski aprēķina kopējo dienu skaitu, kad darbinieks ir bijis prombūtnē šajā mēnesī, šajā kolonnā" sqref="AH6" xr:uid="{00000000-0002-0000-0100-000002000000}"/>
    <dataValidation allowBlank="1" showInputMessage="1" showErrorMessage="1" prompt="Automātiski atjauninātais nosaukums ir šajā šūnā. Lai modificētu nosaukumu, atjauniniet šūnu B1 janvāra darblapā" sqref="B1" xr:uid="{00000000-0002-0000-0100-000003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100-000004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100-000005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100-000006000000}"/>
    <dataValidation allowBlank="1" showInputMessage="1" showErrorMessage="1" prompt="Ievadiet etiķeti, lai aprakstītu pielāgoto atslēgu pa kreisi" sqref="O2:Q2 S2:U2" xr:uid="{00000000-0002-0000-0100-000007000000}"/>
    <dataValidation allowBlank="1" showInputMessage="1" showErrorMessage="1" prompt="Ievadiet burtu un pielāgojiet etiķeti pa labi, lai pievienotu citu atslēgas vienumu" sqref="N2 R2" xr:uid="{00000000-0002-0000-0100-000008000000}"/>
    <dataValidation allowBlank="1" showInputMessage="1" showErrorMessage="1" prompt="Burts “S” norāda prombūtni slimības dēļ" sqref="K2" xr:uid="{00000000-0002-0000-0100-000009000000}"/>
    <dataValidation allowBlank="1" showInputMessage="1" showErrorMessage="1" prompt="Burts “P” norāda prombūtni personisku iemeslu dēļ" sqref="G2" xr:uid="{00000000-0002-0000-0100-00000A000000}"/>
    <dataValidation allowBlank="1" showInputMessage="1" showErrorMessage="1" prompt="Burts “A” norāda prombūtni atvaļinājuma dēļ" sqref="C2" xr:uid="{00000000-0002-0000-0100-00000B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100-00000C000000}"/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1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53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TEXT(WEEKDAY(DATE(KalendāraGads,3,1),1),"ddd")</f>
        <v>piektd</v>
      </c>
      <c r="D5" s="2" t="str">
        <f>TEXT(WEEKDAY(DATE(KalendāraGads,3,2),1),"ddd")</f>
        <v>sestd</v>
      </c>
      <c r="E5" s="2" t="str">
        <f>TEXT(WEEKDAY(DATE(KalendāraGads,3,3),1),"ddd")</f>
        <v>svētd</v>
      </c>
      <c r="F5" s="2" t="str">
        <f>TEXT(WEEKDAY(DATE(KalendāraGads,3,4),1),"ddd")</f>
        <v>pirmd</v>
      </c>
      <c r="G5" s="2" t="str">
        <f>TEXT(WEEKDAY(DATE(KalendāraGads,3,5),1),"ddd")</f>
        <v>otrd</v>
      </c>
      <c r="H5" s="2" t="str">
        <f>TEXT(WEEKDAY(DATE(KalendāraGads,3,6),1),"ddd")</f>
        <v>trešd</v>
      </c>
      <c r="I5" s="2" t="str">
        <f>TEXT(WEEKDAY(DATE(KalendāraGads,3,7),1),"ddd")</f>
        <v>ceturtd</v>
      </c>
      <c r="J5" s="2" t="str">
        <f>TEXT(WEEKDAY(DATE(KalendāraGads,3,8),1),"ddd")</f>
        <v>piektd</v>
      </c>
      <c r="K5" s="2" t="str">
        <f>TEXT(WEEKDAY(DATE(KalendāraGads,3,9),1),"ddd")</f>
        <v>sestd</v>
      </c>
      <c r="L5" s="2" t="str">
        <f>TEXT(WEEKDAY(DATE(KalendāraGads,3,10),1),"ddd")</f>
        <v>svētd</v>
      </c>
      <c r="M5" s="2" t="str">
        <f>TEXT(WEEKDAY(DATE(KalendāraGads,3,11),1),"ddd")</f>
        <v>pirmd</v>
      </c>
      <c r="N5" s="2" t="str">
        <f>TEXT(WEEKDAY(DATE(KalendāraGads,3,12),1),"ddd")</f>
        <v>otrd</v>
      </c>
      <c r="O5" s="2" t="str">
        <f>TEXT(WEEKDAY(DATE(KalendāraGads,3,13),1),"ddd")</f>
        <v>trešd</v>
      </c>
      <c r="P5" s="2" t="str">
        <f>TEXT(WEEKDAY(DATE(KalendāraGads,3,14),1),"ddd")</f>
        <v>ceturtd</v>
      </c>
      <c r="Q5" s="2" t="str">
        <f>TEXT(WEEKDAY(DATE(KalendāraGads,3,15),1),"ddd")</f>
        <v>piektd</v>
      </c>
      <c r="R5" s="2" t="str">
        <f>TEXT(WEEKDAY(DATE(KalendāraGads,3,16),1),"ddd")</f>
        <v>sestd</v>
      </c>
      <c r="S5" s="2" t="str">
        <f>TEXT(WEEKDAY(DATE(KalendāraGads,3,17),1),"ddd")</f>
        <v>svētd</v>
      </c>
      <c r="T5" s="2" t="str">
        <f>TEXT(WEEKDAY(DATE(KalendāraGads,3,18),1),"ddd")</f>
        <v>pirmd</v>
      </c>
      <c r="U5" s="2" t="str">
        <f>TEXT(WEEKDAY(DATE(KalendāraGads,3,19),1),"ddd")</f>
        <v>otrd</v>
      </c>
      <c r="V5" s="2" t="str">
        <f>TEXT(WEEKDAY(DATE(KalendāraGads,3,20),1),"ddd")</f>
        <v>trešd</v>
      </c>
      <c r="W5" s="2" t="str">
        <f>TEXT(WEEKDAY(DATE(KalendāraGads,3,21),1),"ddd")</f>
        <v>ceturtd</v>
      </c>
      <c r="X5" s="2" t="str">
        <f>TEXT(WEEKDAY(DATE(KalendāraGads,3,22),1),"ddd")</f>
        <v>piektd</v>
      </c>
      <c r="Y5" s="2" t="str">
        <f>TEXT(WEEKDAY(DATE(KalendāraGads,3,23),1),"ddd")</f>
        <v>sestd</v>
      </c>
      <c r="Z5" s="2" t="str">
        <f>TEXT(WEEKDAY(DATE(KalendāraGads,3,24),1),"ddd")</f>
        <v>svētd</v>
      </c>
      <c r="AA5" s="2" t="str">
        <f>TEXT(WEEKDAY(DATE(KalendāraGads,3,25),1),"ddd")</f>
        <v>pirmd</v>
      </c>
      <c r="AB5" s="2" t="str">
        <f>TEXT(WEEKDAY(DATE(KalendāraGads,3,26),1),"ddd")</f>
        <v>otrd</v>
      </c>
      <c r="AC5" s="2" t="str">
        <f>TEXT(WEEKDAY(DATE(KalendāraGads,3,27),1),"ddd")</f>
        <v>trešd</v>
      </c>
      <c r="AD5" s="2" t="str">
        <f>TEXT(WEEKDAY(DATE(KalendāraGads,3,28),1),"ddd")</f>
        <v>ceturtd</v>
      </c>
      <c r="AE5" s="2" t="str">
        <f>TEXT(WEEKDAY(DATE(KalendāraGads,3,29),1),"ddd")</f>
        <v>piektd</v>
      </c>
      <c r="AF5" s="2" t="str">
        <f>TEXT(WEEKDAY(DATE(KalendāraGads,3,30),1),"ddd")</f>
        <v>sestd</v>
      </c>
      <c r="AG5" s="2" t="str">
        <f>TEXT(WEEKDAY(DATE(KalendāraGads,3,31),1),"ddd")</f>
        <v>svētd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COUNTA(Marts[[#This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COUNTA(Marts[[#This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COUNTA(Marts[[#This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COUNTA(Marts[[#This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COUNTA(Marts[[#This Row],[1]:[31]])</f>
        <v>0</v>
      </c>
    </row>
    <row r="12" spans="2:34" ht="30" customHeight="1" x14ac:dyDescent="0.25">
      <c r="B12" s="21" t="str">
        <f>MēnešaNosaukums&amp;" Kopā"</f>
        <v>Marts Kopā</v>
      </c>
      <c r="C12" s="13">
        <f>SUBTOTAL(103,Marts[1])</f>
        <v>0</v>
      </c>
      <c r="D12" s="13">
        <f>SUBTOTAL(103,Marts[2])</f>
        <v>0</v>
      </c>
      <c r="E12" s="13">
        <f>SUBTOTAL(103,Marts[3])</f>
        <v>0</v>
      </c>
      <c r="F12" s="13">
        <f>SUBTOTAL(103,Marts[4])</f>
        <v>0</v>
      </c>
      <c r="G12" s="13">
        <f>SUBTOTAL(103,Marts[5])</f>
        <v>0</v>
      </c>
      <c r="H12" s="13">
        <f>SUBTOTAL(103,Marts[6])</f>
        <v>0</v>
      </c>
      <c r="I12" s="13">
        <f>SUBTOTAL(103,Marts[7])</f>
        <v>0</v>
      </c>
      <c r="J12" s="13">
        <f>SUBTOTAL(103,Marts[8])</f>
        <v>0</v>
      </c>
      <c r="K12" s="13">
        <f>SUBTOTAL(103,Marts[9])</f>
        <v>0</v>
      </c>
      <c r="L12" s="13">
        <f>SUBTOTAL(103,Marts[10])</f>
        <v>0</v>
      </c>
      <c r="M12" s="13">
        <f>SUBTOTAL(103,Marts[11])</f>
        <v>0</v>
      </c>
      <c r="N12" s="13">
        <f>SUBTOTAL(103,Marts[12])</f>
        <v>0</v>
      </c>
      <c r="O12" s="13">
        <f>SUBTOTAL(103,Marts[13])</f>
        <v>0</v>
      </c>
      <c r="P12" s="13">
        <f>SUBTOTAL(103,Marts[14])</f>
        <v>0</v>
      </c>
      <c r="Q12" s="13">
        <f>SUBTOTAL(103,Marts[15])</f>
        <v>0</v>
      </c>
      <c r="R12" s="13">
        <f>SUBTOTAL(103,Marts[16])</f>
        <v>0</v>
      </c>
      <c r="S12" s="13">
        <f>SUBTOTAL(103,Marts[17])</f>
        <v>0</v>
      </c>
      <c r="T12" s="13">
        <f>SUBTOTAL(103,Marts[18])</f>
        <v>0</v>
      </c>
      <c r="U12" s="13">
        <f>SUBTOTAL(103,Marts[19])</f>
        <v>0</v>
      </c>
      <c r="V12" s="13">
        <f>SUBTOTAL(103,Marts[20])</f>
        <v>0</v>
      </c>
      <c r="W12" s="13">
        <f>SUBTOTAL(103,Marts[21])</f>
        <v>0</v>
      </c>
      <c r="X12" s="13">
        <f>SUBTOTAL(103,Marts[22])</f>
        <v>0</v>
      </c>
      <c r="Y12" s="13">
        <f>SUBTOTAL(103,Marts[23])</f>
        <v>0</v>
      </c>
      <c r="Z12" s="13">
        <f>SUBTOTAL(103,Marts[24])</f>
        <v>0</v>
      </c>
      <c r="AA12" s="13">
        <f>SUBTOTAL(103,Marts[25])</f>
        <v>0</v>
      </c>
      <c r="AB12" s="13">
        <f>SUBTOTAL(103,Marts[26])</f>
        <v>0</v>
      </c>
      <c r="AC12" s="13">
        <f>SUBTOTAL(103,Marts[27])</f>
        <v>0</v>
      </c>
      <c r="AD12" s="13">
        <f>SUBTOTAL(103,Marts[28])</f>
        <v>0</v>
      </c>
      <c r="AE12" s="13">
        <f>SUBTOTAL(103,Marts[29])</f>
        <v>0</v>
      </c>
      <c r="AF12" s="13">
        <f>SUBTOTAL(103,Marts[30])</f>
        <v>0</v>
      </c>
      <c r="AG12" s="13">
        <f>SUBTOTAL(103,Marts[31])</f>
        <v>0</v>
      </c>
      <c r="AH12" s="13">
        <f>SUBTOTAL(109,Marts[Dienu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739" priority="2" stopIfTrue="1">
      <formula>C7=PielāgotaAtslēga2</formula>
    </cfRule>
    <cfRule type="expression" dxfId="738" priority="3" stopIfTrue="1">
      <formula>C7=PielāgotaAtslēga1</formula>
    </cfRule>
    <cfRule type="expression" dxfId="737" priority="4" stopIfTrue="1">
      <formula>C7=AtslēgaSlimība</formula>
    </cfRule>
    <cfRule type="expression" dxfId="736" priority="5" stopIfTrue="1">
      <formula>C7=AtslēgaPersonisks</formula>
    </cfRule>
    <cfRule type="expression" dxfId="735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200-000000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200-000001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200-000002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200-000003000000}"/>
    <dataValidation allowBlank="1" showInputMessage="1" showErrorMessage="1" prompt="Ievadiet etiķeti, lai aprakstītu pielāgoto atslēgu pa kreisi" sqref="O2:Q2 S2:U2" xr:uid="{00000000-0002-0000-0200-000004000000}"/>
    <dataValidation allowBlank="1" showInputMessage="1" showErrorMessage="1" prompt="Ievadiet burtu un pielāgojiet etiķeti pa labi, lai pievienotu citu atslēgas vienumu" sqref="N2 R2" xr:uid="{00000000-0002-0000-0200-000005000000}"/>
    <dataValidation allowBlank="1" showInputMessage="1" showErrorMessage="1" prompt="Burts “S” norāda prombūtni slimības dēļ" sqref="K2" xr:uid="{00000000-0002-0000-0200-000006000000}"/>
    <dataValidation allowBlank="1" showInputMessage="1" showErrorMessage="1" prompt="Burts “P” norāda prombūtni personisku iemeslu dēļ" sqref="G2" xr:uid="{00000000-0002-0000-0200-000007000000}"/>
    <dataValidation allowBlank="1" showInputMessage="1" showErrorMessage="1" prompt="Burts “A” norāda prombūtni atvaļinājuma dēļ" sqref="C2" xr:uid="{00000000-0002-0000-0200-000008000000}"/>
    <dataValidation allowBlank="1" showInputMessage="1" showErrorMessage="1" prompt="Automātiski atjauninātais nosaukums ir šajā šūnā. Lai modificētu nosaukumu, atjauniniet šūnu B1 janvāra darblapā" sqref="B1" xr:uid="{00000000-0002-0000-0200-000009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200-00000A000000}"/>
    <dataValidation allowBlank="1" showInputMessage="1" showErrorMessage="1" prompt="Sekojiet marta prombūtnei šajā darblapā" sqref="A1" xr:uid="{00000000-0002-0000-0200-00000B000000}"/>
    <dataValidation allowBlank="1" showInputMessage="1" showErrorMessage="1" prompt="Automātiski aprēķina kopējo dienu skaitu, kad darbinieks ir bijis prombūtnē šajā mēnesī, šajā kolonnā" sqref="AH6" xr:uid="{00000000-0002-0000-0200-00000C000000}"/>
    <dataValidation allowBlank="1" showInputMessage="1" showErrorMessage="1" prompt="Automātiski atjaunināts gads, ņemot vērā gadu, kas ievadīts janvāra darblapā" sqref="AH4" xr:uid="{00000000-0002-0000-02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TEXT(WEEKDAY(DATE(KalendāraGads,4,1),1),"ddd")</f>
        <v>pirmd</v>
      </c>
      <c r="D5" s="2" t="str">
        <f>TEXT(WEEKDAY(DATE(KalendāraGads,4,2),1),"ddd")</f>
        <v>otrd</v>
      </c>
      <c r="E5" s="2" t="str">
        <f>TEXT(WEEKDAY(DATE(KalendāraGads,4,3),1),"ddd")</f>
        <v>trešd</v>
      </c>
      <c r="F5" s="2" t="str">
        <f>TEXT(WEEKDAY(DATE(KalendāraGads,4,4),1),"ddd")</f>
        <v>ceturtd</v>
      </c>
      <c r="G5" s="2" t="str">
        <f>TEXT(WEEKDAY(DATE(KalendāraGads,4,5),1),"ddd")</f>
        <v>piektd</v>
      </c>
      <c r="H5" s="2" t="str">
        <f>TEXT(WEEKDAY(DATE(KalendāraGads,4,6),1),"ddd")</f>
        <v>sestd</v>
      </c>
      <c r="I5" s="2" t="str">
        <f>TEXT(WEEKDAY(DATE(KalendāraGads,4,7),1),"ddd")</f>
        <v>svētd</v>
      </c>
      <c r="J5" s="2" t="str">
        <f>TEXT(WEEKDAY(DATE(KalendāraGads,4,8),1),"ddd")</f>
        <v>pirmd</v>
      </c>
      <c r="K5" s="2" t="str">
        <f>TEXT(WEEKDAY(DATE(KalendāraGads,4,9),1),"ddd")</f>
        <v>otrd</v>
      </c>
      <c r="L5" s="2" t="str">
        <f>TEXT(WEEKDAY(DATE(KalendāraGads,4,10),1),"ddd")</f>
        <v>trešd</v>
      </c>
      <c r="M5" s="2" t="str">
        <f>TEXT(WEEKDAY(DATE(KalendāraGads,4,11),1),"ddd")</f>
        <v>ceturtd</v>
      </c>
      <c r="N5" s="2" t="str">
        <f>TEXT(WEEKDAY(DATE(KalendāraGads,4,12),1),"ddd")</f>
        <v>piektd</v>
      </c>
      <c r="O5" s="2" t="str">
        <f>TEXT(WEEKDAY(DATE(KalendāraGads,4,13),1),"ddd")</f>
        <v>sestd</v>
      </c>
      <c r="P5" s="2" t="str">
        <f>TEXT(WEEKDAY(DATE(KalendāraGads,4,14),1),"ddd")</f>
        <v>svētd</v>
      </c>
      <c r="Q5" s="2" t="str">
        <f>TEXT(WEEKDAY(DATE(KalendāraGads,4,15),1),"ddd")</f>
        <v>pirmd</v>
      </c>
      <c r="R5" s="2" t="str">
        <f>TEXT(WEEKDAY(DATE(KalendāraGads,4,16),1),"ddd")</f>
        <v>otrd</v>
      </c>
      <c r="S5" s="2" t="str">
        <f>TEXT(WEEKDAY(DATE(KalendāraGads,4,17),1),"ddd")</f>
        <v>trešd</v>
      </c>
      <c r="T5" s="2" t="str">
        <f>TEXT(WEEKDAY(DATE(KalendāraGads,4,18),1),"ddd")</f>
        <v>ceturtd</v>
      </c>
      <c r="U5" s="2" t="str">
        <f>TEXT(WEEKDAY(DATE(KalendāraGads,4,19),1),"ddd")</f>
        <v>piektd</v>
      </c>
      <c r="V5" s="2" t="str">
        <f>TEXT(WEEKDAY(DATE(KalendāraGads,4,20),1),"ddd")</f>
        <v>sestd</v>
      </c>
      <c r="W5" s="2" t="str">
        <f>TEXT(WEEKDAY(DATE(KalendāraGads,4,21),1),"ddd")</f>
        <v>svētd</v>
      </c>
      <c r="X5" s="2" t="str">
        <f>TEXT(WEEKDAY(DATE(KalendāraGads,4,22),1),"ddd")</f>
        <v>pirmd</v>
      </c>
      <c r="Y5" s="2" t="str">
        <f>TEXT(WEEKDAY(DATE(KalendāraGads,4,23),1),"ddd")</f>
        <v>otrd</v>
      </c>
      <c r="Z5" s="2" t="str">
        <f>TEXT(WEEKDAY(DATE(KalendāraGads,4,24),1),"ddd")</f>
        <v>trešd</v>
      </c>
      <c r="AA5" s="2" t="str">
        <f>TEXT(WEEKDAY(DATE(KalendāraGads,4,25),1),"ddd")</f>
        <v>ceturtd</v>
      </c>
      <c r="AB5" s="2" t="str">
        <f>TEXT(WEEKDAY(DATE(KalendāraGads,4,26),1),"ddd")</f>
        <v>piektd</v>
      </c>
      <c r="AC5" s="2" t="str">
        <f>TEXT(WEEKDAY(DATE(KalendāraGads,4,27),1),"ddd")</f>
        <v>sestd</v>
      </c>
      <c r="AD5" s="2" t="str">
        <f>TEXT(WEEKDAY(DATE(KalendāraGads,4,28),1),"ddd")</f>
        <v>svētd</v>
      </c>
      <c r="AE5" s="2" t="str">
        <f>TEXT(WEEKDAY(DATE(KalendāraGads,4,29),1),"ddd")</f>
        <v>pirmd</v>
      </c>
      <c r="AF5" s="2" t="str">
        <f>TEXT(WEEKDAY(DATE(KalendāraGads,4,30),1),"ddd")</f>
        <v>otrd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2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COUNTA(Aprīlis[[#This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COUNTA(Aprīlis[[#This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COUNTA(Aprīlis[[#This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COUNTA(Aprīlis[[#This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COUNTA(Aprīlis[[#This Row],[1]:[30]])</f>
        <v>0</v>
      </c>
    </row>
    <row r="12" spans="2:34" ht="30" customHeight="1" x14ac:dyDescent="0.25">
      <c r="B12" s="21" t="str">
        <f>MēnešaNosaukums&amp;" Kopā"</f>
        <v>Aprīlis Kopā</v>
      </c>
      <c r="C12" s="13">
        <f>SUBTOTAL(103,Aprīlis[1])</f>
        <v>0</v>
      </c>
      <c r="D12" s="13">
        <f>SUBTOTAL(103,Aprīlis[2])</f>
        <v>0</v>
      </c>
      <c r="E12" s="13">
        <f>SUBTOTAL(103,Aprīlis[3])</f>
        <v>0</v>
      </c>
      <c r="F12" s="13">
        <f>SUBTOTAL(103,Aprīlis[4])</f>
        <v>0</v>
      </c>
      <c r="G12" s="13">
        <f>SUBTOTAL(103,Aprīlis[5])</f>
        <v>0</v>
      </c>
      <c r="H12" s="13">
        <f>SUBTOTAL(103,Aprīlis[6])</f>
        <v>0</v>
      </c>
      <c r="I12" s="13">
        <f>SUBTOTAL(103,Aprīlis[7])</f>
        <v>0</v>
      </c>
      <c r="J12" s="13">
        <f>SUBTOTAL(103,Aprīlis[8])</f>
        <v>0</v>
      </c>
      <c r="K12" s="13">
        <f>SUBTOTAL(103,Aprīlis[9])</f>
        <v>0</v>
      </c>
      <c r="L12" s="13">
        <f>SUBTOTAL(103,Aprīlis[10])</f>
        <v>0</v>
      </c>
      <c r="M12" s="13">
        <f>SUBTOTAL(103,Aprīlis[11])</f>
        <v>0</v>
      </c>
      <c r="N12" s="13">
        <f>SUBTOTAL(103,Aprīlis[12])</f>
        <v>0</v>
      </c>
      <c r="O12" s="13">
        <f>SUBTOTAL(103,Aprīlis[13])</f>
        <v>0</v>
      </c>
      <c r="P12" s="13">
        <f>SUBTOTAL(103,Aprīlis[14])</f>
        <v>0</v>
      </c>
      <c r="Q12" s="13">
        <f>SUBTOTAL(103,Aprīlis[15])</f>
        <v>0</v>
      </c>
      <c r="R12" s="13">
        <f>SUBTOTAL(103,Aprīlis[16])</f>
        <v>0</v>
      </c>
      <c r="S12" s="13">
        <f>SUBTOTAL(103,Aprīlis[17])</f>
        <v>0</v>
      </c>
      <c r="T12" s="13">
        <f>SUBTOTAL(103,Aprīlis[18])</f>
        <v>0</v>
      </c>
      <c r="U12" s="13">
        <f>SUBTOTAL(103,Aprīlis[19])</f>
        <v>0</v>
      </c>
      <c r="V12" s="13">
        <f>SUBTOTAL(103,Aprīlis[20])</f>
        <v>0</v>
      </c>
      <c r="W12" s="13">
        <f>SUBTOTAL(103,Aprīlis[21])</f>
        <v>0</v>
      </c>
      <c r="X12" s="13">
        <f>SUBTOTAL(103,Aprīlis[22])</f>
        <v>0</v>
      </c>
      <c r="Y12" s="13">
        <f>SUBTOTAL(103,Aprīlis[23])</f>
        <v>0</v>
      </c>
      <c r="Z12" s="13">
        <f>SUBTOTAL(103,Aprīlis[24])</f>
        <v>0</v>
      </c>
      <c r="AA12" s="13">
        <f>SUBTOTAL(103,Aprīlis[25])</f>
        <v>0</v>
      </c>
      <c r="AB12" s="13">
        <f>SUBTOTAL(103,Aprīlis[26])</f>
        <v>0</v>
      </c>
      <c r="AC12" s="13">
        <f>SUBTOTAL(103,Aprīlis[27])</f>
        <v>0</v>
      </c>
      <c r="AD12" s="13">
        <f>SUBTOTAL(103,Aprīlis[28])</f>
        <v>0</v>
      </c>
      <c r="AE12" s="13">
        <f>SUBTOTAL(103,Aprīlis[29])</f>
        <v>0</v>
      </c>
      <c r="AF12" s="13">
        <f>SUBTOTAL(103,Aprīlis[30])</f>
        <v>0</v>
      </c>
      <c r="AG12" s="13">
        <f>SUBTOTAL(103,Aprīlis[30])</f>
        <v>0</v>
      </c>
      <c r="AH12" s="13">
        <f>SUBTOTAL(109,Aprīlis[Dienu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665" priority="2" stopIfTrue="1">
      <formula>C7=PielāgotaAtslēga2</formula>
    </cfRule>
    <cfRule type="expression" dxfId="664" priority="3" stopIfTrue="1">
      <formula>C7=PielāgotaAtslēga1</formula>
    </cfRule>
    <cfRule type="expression" dxfId="663" priority="4" stopIfTrue="1">
      <formula>C7=AtslēgaSlimība</formula>
    </cfRule>
    <cfRule type="expression" dxfId="662" priority="5" stopIfTrue="1">
      <formula>C7=AtslēgaPersonisks</formula>
    </cfRule>
    <cfRule type="expression" dxfId="661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Automātiski atjaunināts gads, ņemot vērā gadu, kas ievadīts janvāra darblapā" sqref="AH4" xr:uid="{00000000-0002-0000-0300-000000000000}"/>
    <dataValidation allowBlank="1" showInputMessage="1" showErrorMessage="1" prompt="Automātiski aprēķina kopējo dienu skaitu, kad darbinieks ir bijis prombūtnē šajā mēnesī, šajā kolonnā" sqref="AH6" xr:uid="{00000000-0002-0000-0300-000001000000}"/>
    <dataValidation allowBlank="1" showInputMessage="1" showErrorMessage="1" prompt="Sekojiet aprīļa prombūtnei šajā darblapā" sqref="A1" xr:uid="{00000000-0002-0000-0300-000002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300-000003000000}"/>
    <dataValidation allowBlank="1" showInputMessage="1" showErrorMessage="1" prompt="Automātiski atjauninātais nosaukums ir šajā šūnā. Lai modificētu nosaukumu, atjauniniet šūnu B1 janvāra darblapā" sqref="B1" xr:uid="{00000000-0002-0000-0300-000004000000}"/>
    <dataValidation allowBlank="1" showInputMessage="1" showErrorMessage="1" prompt="Burts “A” norāda prombūtni atvaļinājuma dēļ" sqref="C2" xr:uid="{00000000-0002-0000-0300-000005000000}"/>
    <dataValidation allowBlank="1" showInputMessage="1" showErrorMessage="1" prompt="Burts “P” norāda prombūtni personisku iemeslu dēļ" sqref="G2" xr:uid="{00000000-0002-0000-0300-000006000000}"/>
    <dataValidation allowBlank="1" showInputMessage="1" showErrorMessage="1" prompt="Burts “S” norāda prombūtni slimības dēļ" sqref="K2" xr:uid="{00000000-0002-0000-0300-000007000000}"/>
    <dataValidation allowBlank="1" showInputMessage="1" showErrorMessage="1" prompt="Ievadiet burtu un pielāgojiet etiķeti pa labi, lai pievienotu citu atslēgas vienumu" sqref="N2 R2" xr:uid="{00000000-0002-0000-0300-000008000000}"/>
    <dataValidation allowBlank="1" showInputMessage="1" showErrorMessage="1" prompt="Ievadiet etiķeti, lai aprakstītu pielāgoto atslēgu pa kreisi" sqref="O2:Q2 S2:U2" xr:uid="{00000000-0002-0000-0300-000009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300-00000A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300-00000B000000}"/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300-00000C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3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63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TEXT(WEEKDAY(DATE(KalendāraGads,5,1),1),"ddd")</f>
        <v>trešd</v>
      </c>
      <c r="D5" s="2" t="str">
        <f>TEXT(WEEKDAY(DATE(KalendāraGads,5,2),1),"ddd")</f>
        <v>ceturtd</v>
      </c>
      <c r="E5" s="2" t="str">
        <f>TEXT(WEEKDAY(DATE(KalendāraGads,5,3),1),"ddd")</f>
        <v>piektd</v>
      </c>
      <c r="F5" s="2" t="str">
        <f>TEXT(WEEKDAY(DATE(KalendāraGads,5,4),1),"ddd")</f>
        <v>sestd</v>
      </c>
      <c r="G5" s="2" t="str">
        <f>TEXT(WEEKDAY(DATE(KalendāraGads,5,5),1),"ddd")</f>
        <v>svētd</v>
      </c>
      <c r="H5" s="2" t="str">
        <f>TEXT(WEEKDAY(DATE(KalendāraGads,5,6),1),"ddd")</f>
        <v>pirmd</v>
      </c>
      <c r="I5" s="2" t="str">
        <f>TEXT(WEEKDAY(DATE(KalendāraGads,5,7),1),"ddd")</f>
        <v>otrd</v>
      </c>
      <c r="J5" s="2" t="str">
        <f>TEXT(WEEKDAY(DATE(KalendāraGads,5,8),1),"ddd")</f>
        <v>trešd</v>
      </c>
      <c r="K5" s="2" t="str">
        <f>TEXT(WEEKDAY(DATE(KalendāraGads,5,9),1),"ddd")</f>
        <v>ceturtd</v>
      </c>
      <c r="L5" s="2" t="str">
        <f>TEXT(WEEKDAY(DATE(KalendāraGads,5,10),1),"ddd")</f>
        <v>piektd</v>
      </c>
      <c r="M5" s="2" t="str">
        <f>TEXT(WEEKDAY(DATE(KalendāraGads,5,11),1),"ddd")</f>
        <v>sestd</v>
      </c>
      <c r="N5" s="2" t="str">
        <f>TEXT(WEEKDAY(DATE(KalendāraGads,5,12),1),"ddd")</f>
        <v>svētd</v>
      </c>
      <c r="O5" s="2" t="str">
        <f>TEXT(WEEKDAY(DATE(KalendāraGads,5,13),1),"ddd")</f>
        <v>pirmd</v>
      </c>
      <c r="P5" s="2" t="str">
        <f>TEXT(WEEKDAY(DATE(KalendāraGads,5,14),1),"ddd")</f>
        <v>otrd</v>
      </c>
      <c r="Q5" s="2" t="str">
        <f>TEXT(WEEKDAY(DATE(KalendāraGads,5,15),1),"ddd")</f>
        <v>trešd</v>
      </c>
      <c r="R5" s="2" t="str">
        <f>TEXT(WEEKDAY(DATE(KalendāraGads,5,16),1),"ddd")</f>
        <v>ceturtd</v>
      </c>
      <c r="S5" s="2" t="str">
        <f>TEXT(WEEKDAY(DATE(KalendāraGads,5,17),1),"ddd")</f>
        <v>piektd</v>
      </c>
      <c r="T5" s="2" t="str">
        <f>TEXT(WEEKDAY(DATE(KalendāraGads,5,18),1),"ddd")</f>
        <v>sestd</v>
      </c>
      <c r="U5" s="2" t="str">
        <f>TEXT(WEEKDAY(DATE(KalendāraGads,5,19),1),"ddd")</f>
        <v>svētd</v>
      </c>
      <c r="V5" s="2" t="str">
        <f>TEXT(WEEKDAY(DATE(KalendāraGads,5,20),1),"ddd")</f>
        <v>pirmd</v>
      </c>
      <c r="W5" s="2" t="str">
        <f>TEXT(WEEKDAY(DATE(KalendāraGads,5,21),1),"ddd")</f>
        <v>otrd</v>
      </c>
      <c r="X5" s="2" t="str">
        <f>TEXT(WEEKDAY(DATE(KalendāraGads,5,22),1),"ddd")</f>
        <v>trešd</v>
      </c>
      <c r="Y5" s="2" t="str">
        <f>TEXT(WEEKDAY(DATE(KalendāraGads,5,23),1),"ddd")</f>
        <v>ceturtd</v>
      </c>
      <c r="Z5" s="2" t="str">
        <f>TEXT(WEEKDAY(DATE(KalendāraGads,5,24),1),"ddd")</f>
        <v>piektd</v>
      </c>
      <c r="AA5" s="2" t="str">
        <f>TEXT(WEEKDAY(DATE(KalendāraGads,5,25),1),"ddd")</f>
        <v>sestd</v>
      </c>
      <c r="AB5" s="2" t="str">
        <f>TEXT(WEEKDAY(DATE(KalendāraGads,5,26),1),"ddd")</f>
        <v>svētd</v>
      </c>
      <c r="AC5" s="2" t="str">
        <f>TEXT(WEEKDAY(DATE(KalendāraGads,5,27),1),"ddd")</f>
        <v>pirmd</v>
      </c>
      <c r="AD5" s="2" t="str">
        <f>TEXT(WEEKDAY(DATE(KalendāraGads,5,28),1),"ddd")</f>
        <v>otrd</v>
      </c>
      <c r="AE5" s="2" t="str">
        <f>TEXT(WEEKDAY(DATE(KalendāraGads,5,29),1),"ddd")</f>
        <v>trešd</v>
      </c>
      <c r="AF5" s="2" t="str">
        <f>TEXT(WEEKDAY(DATE(KalendāraGads,5,30),1),"ddd")</f>
        <v>ceturtd</v>
      </c>
      <c r="AG5" s="2" t="str">
        <f>TEXT(WEEKDAY(DATE(KalendāraGads,5,31),1),"ddd")</f>
        <v>piektd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COUNTA(Maijs[[#This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COUNTA(Maijs[[#This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COUNTA(Maijs[[#This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COUNTA(Maijs[[#This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COUNTA(Maijs[[#This Row],[1]:[31]])</f>
        <v>0</v>
      </c>
    </row>
    <row r="12" spans="2:34" ht="30" customHeight="1" x14ac:dyDescent="0.25">
      <c r="B12" s="21" t="str">
        <f>MēnešaNosaukums&amp;" Kopā"</f>
        <v>Maijs Kopā</v>
      </c>
      <c r="C12" s="13">
        <f>SUBTOTAL(103,Maijs[1])</f>
        <v>0</v>
      </c>
      <c r="D12" s="13">
        <f>SUBTOTAL(103,Maijs[2])</f>
        <v>0</v>
      </c>
      <c r="E12" s="13">
        <f>SUBTOTAL(103,Maijs[3])</f>
        <v>0</v>
      </c>
      <c r="F12" s="13">
        <f>SUBTOTAL(103,Maijs[4])</f>
        <v>0</v>
      </c>
      <c r="G12" s="13">
        <f>SUBTOTAL(103,Maijs[5])</f>
        <v>0</v>
      </c>
      <c r="H12" s="13">
        <f>SUBTOTAL(103,Maijs[6])</f>
        <v>0</v>
      </c>
      <c r="I12" s="13">
        <f>SUBTOTAL(103,Maijs[7])</f>
        <v>0</v>
      </c>
      <c r="J12" s="13">
        <f>SUBTOTAL(103,Maijs[8])</f>
        <v>0</v>
      </c>
      <c r="K12" s="13">
        <f>SUBTOTAL(103,Maijs[9])</f>
        <v>0</v>
      </c>
      <c r="L12" s="13">
        <f>SUBTOTAL(103,Maijs[10])</f>
        <v>0</v>
      </c>
      <c r="M12" s="13">
        <f>SUBTOTAL(103,Maijs[11])</f>
        <v>0</v>
      </c>
      <c r="N12" s="13">
        <f>SUBTOTAL(103,Maijs[12])</f>
        <v>0</v>
      </c>
      <c r="O12" s="13">
        <f>SUBTOTAL(103,Maijs[13])</f>
        <v>0</v>
      </c>
      <c r="P12" s="13">
        <f>SUBTOTAL(103,Maijs[14])</f>
        <v>0</v>
      </c>
      <c r="Q12" s="13">
        <f>SUBTOTAL(103,Maijs[15])</f>
        <v>0</v>
      </c>
      <c r="R12" s="13">
        <f>SUBTOTAL(103,Maijs[16])</f>
        <v>0</v>
      </c>
      <c r="S12" s="13">
        <f>SUBTOTAL(103,Maijs[17])</f>
        <v>0</v>
      </c>
      <c r="T12" s="13">
        <f>SUBTOTAL(103,Maijs[18])</f>
        <v>0</v>
      </c>
      <c r="U12" s="13">
        <f>SUBTOTAL(103,Maijs[19])</f>
        <v>0</v>
      </c>
      <c r="V12" s="13">
        <f>SUBTOTAL(103,Maijs[20])</f>
        <v>0</v>
      </c>
      <c r="W12" s="13">
        <f>SUBTOTAL(103,Maijs[21])</f>
        <v>0</v>
      </c>
      <c r="X12" s="13">
        <f>SUBTOTAL(103,Maijs[22])</f>
        <v>0</v>
      </c>
      <c r="Y12" s="13">
        <f>SUBTOTAL(103,Maijs[23])</f>
        <v>0</v>
      </c>
      <c r="Z12" s="13">
        <f>SUBTOTAL(103,Maijs[24])</f>
        <v>0</v>
      </c>
      <c r="AA12" s="13">
        <f>SUBTOTAL(103,Maijs[25])</f>
        <v>0</v>
      </c>
      <c r="AB12" s="13">
        <f>SUBTOTAL(103,Maijs[26])</f>
        <v>0</v>
      </c>
      <c r="AC12" s="13">
        <f>SUBTOTAL(103,Maijs[27])</f>
        <v>0</v>
      </c>
      <c r="AD12" s="13">
        <f>SUBTOTAL(103,Maijs[28])</f>
        <v>0</v>
      </c>
      <c r="AE12" s="13">
        <f>SUBTOTAL(103,Maijs[29])</f>
        <v>0</v>
      </c>
      <c r="AF12" s="13">
        <f>SUBTOTAL(103,Maijs[30])</f>
        <v>0</v>
      </c>
      <c r="AG12" s="13">
        <f>SUBTOTAL(103,Maijs[31])</f>
        <v>0</v>
      </c>
      <c r="AH12" s="13">
        <f>SUBTOTAL(109,Maijs[Dienu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591" priority="2" stopIfTrue="1">
      <formula>C7=PielāgotaAtslēga2</formula>
    </cfRule>
    <cfRule type="expression" dxfId="590" priority="3" stopIfTrue="1">
      <formula>C7=PielāgotaAtslēga1</formula>
    </cfRule>
    <cfRule type="expression" dxfId="589" priority="4" stopIfTrue="1">
      <formula>C7=AtslēgaSlimība</formula>
    </cfRule>
    <cfRule type="expression" dxfId="588" priority="5" stopIfTrue="1">
      <formula>C7=AtslēgaPersonisks</formula>
    </cfRule>
    <cfRule type="expression" dxfId="587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400-000000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400-000001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400-000002000000}"/>
    <dataValidation allowBlank="1" showInputMessage="1" showErrorMessage="1" prompt="Ievadiet etiķeti, lai aprakstītu pielāgoto atslēgu pa kreisi" sqref="O2:Q2 S2:U2" xr:uid="{00000000-0002-0000-0400-000003000000}"/>
    <dataValidation allowBlank="1" showInputMessage="1" showErrorMessage="1" prompt="Ievadiet burtu un pielāgojiet etiķeti pa labi, lai pievienotu citu atslēgas vienumu" sqref="N2 R2" xr:uid="{00000000-0002-0000-0400-000004000000}"/>
    <dataValidation allowBlank="1" showInputMessage="1" showErrorMessage="1" prompt="Burts “S” norāda prombūtni slimības dēļ" sqref="K2" xr:uid="{00000000-0002-0000-0400-000005000000}"/>
    <dataValidation allowBlank="1" showInputMessage="1" showErrorMessage="1" prompt="Burts “P” norāda prombūtni personisku iemeslu dēļ" sqref="G2" xr:uid="{00000000-0002-0000-0400-000006000000}"/>
    <dataValidation allowBlank="1" showInputMessage="1" showErrorMessage="1" prompt="Burts “A” norāda prombūtni atvaļinājuma dēļ" sqref="C2" xr:uid="{00000000-0002-0000-0400-000007000000}"/>
    <dataValidation allowBlank="1" showInputMessage="1" showErrorMessage="1" prompt="Automātiski atjauninātais nosaukums ir šajā šūnā. Lai modificētu nosaukumu, atjauniniet šūnu B1 janvāra darblapā" sqref="B1" xr:uid="{00000000-0002-0000-0400-000008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400-000009000000}"/>
    <dataValidation allowBlank="1" showInputMessage="1" showErrorMessage="1" prompt="Sekojiet maija prombūtnei šajā darblapā" sqref="A1" xr:uid="{00000000-0002-0000-0400-00000A000000}"/>
    <dataValidation allowBlank="1" showInputMessage="1" showErrorMessage="1" prompt="Automātiski aprēķina kopējo dienu skaitu, kad darbinieks ir bijis prombūtnē šajā mēnesī, šajā kolonnā" sqref="AH6" xr:uid="{00000000-0002-0000-0400-00000B000000}"/>
    <dataValidation allowBlank="1" showInputMessage="1" showErrorMessage="1" prompt="Automātiski atjaunināts gads, ņemot vērā gadu, kas ievadīts janvāra darblapā" sqref="AH4" xr:uid="{00000000-0002-0000-0400-00000C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4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TEXT(WEEKDAY(DATE(KalendāraGads,6,1),1),"ddd")</f>
        <v>sestd</v>
      </c>
      <c r="D5" s="2" t="str">
        <f>TEXT(WEEKDAY(DATE(KalendāraGads,6,2),1),"ddd")</f>
        <v>svētd</v>
      </c>
      <c r="E5" s="2" t="str">
        <f>TEXT(WEEKDAY(DATE(KalendāraGads,6,3),1),"ddd")</f>
        <v>pirmd</v>
      </c>
      <c r="F5" s="2" t="str">
        <f>TEXT(WEEKDAY(DATE(KalendāraGads,6,4),1),"ddd")</f>
        <v>otrd</v>
      </c>
      <c r="G5" s="2" t="str">
        <f>TEXT(WEEKDAY(DATE(KalendāraGads,6,5),1),"ddd")</f>
        <v>trešd</v>
      </c>
      <c r="H5" s="2" t="str">
        <f>TEXT(WEEKDAY(DATE(KalendāraGads,6,6),1),"ddd")</f>
        <v>ceturtd</v>
      </c>
      <c r="I5" s="2" t="str">
        <f>TEXT(WEEKDAY(DATE(KalendāraGads,6,7),1),"ddd")</f>
        <v>piektd</v>
      </c>
      <c r="J5" s="2" t="str">
        <f>TEXT(WEEKDAY(DATE(KalendāraGads,6,8),1),"ddd")</f>
        <v>sestd</v>
      </c>
      <c r="K5" s="2" t="str">
        <f>TEXT(WEEKDAY(DATE(KalendāraGads,6,9),1),"ddd")</f>
        <v>svētd</v>
      </c>
      <c r="L5" s="2" t="str">
        <f>TEXT(WEEKDAY(DATE(KalendāraGads,6,10),1),"ddd")</f>
        <v>pirmd</v>
      </c>
      <c r="M5" s="2" t="str">
        <f>TEXT(WEEKDAY(DATE(KalendāraGads,6,11),1),"ddd")</f>
        <v>otrd</v>
      </c>
      <c r="N5" s="2" t="str">
        <f>TEXT(WEEKDAY(DATE(KalendāraGads,6,12),1),"ddd")</f>
        <v>trešd</v>
      </c>
      <c r="O5" s="2" t="str">
        <f>TEXT(WEEKDAY(DATE(KalendāraGads,6,13),1),"ddd")</f>
        <v>ceturtd</v>
      </c>
      <c r="P5" s="2" t="str">
        <f>TEXT(WEEKDAY(DATE(KalendāraGads,6,14),1),"ddd")</f>
        <v>piektd</v>
      </c>
      <c r="Q5" s="2" t="str">
        <f>TEXT(WEEKDAY(DATE(KalendāraGads,6,15),1),"ddd")</f>
        <v>sestd</v>
      </c>
      <c r="R5" s="2" t="str">
        <f>TEXT(WEEKDAY(DATE(KalendāraGads,6,16),1),"ddd")</f>
        <v>svētd</v>
      </c>
      <c r="S5" s="2" t="str">
        <f>TEXT(WEEKDAY(DATE(KalendāraGads,6,17),1),"ddd")</f>
        <v>pirmd</v>
      </c>
      <c r="T5" s="2" t="str">
        <f>TEXT(WEEKDAY(DATE(KalendāraGads,6,18),1),"ddd")</f>
        <v>otrd</v>
      </c>
      <c r="U5" s="2" t="str">
        <f>TEXT(WEEKDAY(DATE(KalendāraGads,6,19),1),"ddd")</f>
        <v>trešd</v>
      </c>
      <c r="V5" s="2" t="str">
        <f>TEXT(WEEKDAY(DATE(KalendāraGads,6,20),1),"ddd")</f>
        <v>ceturtd</v>
      </c>
      <c r="W5" s="2" t="str">
        <f>TEXT(WEEKDAY(DATE(KalendāraGads,6,21),1),"ddd")</f>
        <v>piektd</v>
      </c>
      <c r="X5" s="2" t="str">
        <f>TEXT(WEEKDAY(DATE(KalendāraGads,6,22),1),"ddd")</f>
        <v>sestd</v>
      </c>
      <c r="Y5" s="2" t="str">
        <f>TEXT(WEEKDAY(DATE(KalendāraGads,6,23),1),"ddd")</f>
        <v>svētd</v>
      </c>
      <c r="Z5" s="2" t="str">
        <f>TEXT(WEEKDAY(DATE(KalendāraGads,6,24),1),"ddd")</f>
        <v>pirmd</v>
      </c>
      <c r="AA5" s="2" t="str">
        <f>TEXT(WEEKDAY(DATE(KalendāraGads,6,25),1),"ddd")</f>
        <v>otrd</v>
      </c>
      <c r="AB5" s="2" t="str">
        <f>TEXT(WEEKDAY(DATE(KalendāraGads,6,26),1),"ddd")</f>
        <v>trešd</v>
      </c>
      <c r="AC5" s="2" t="str">
        <f>TEXT(WEEKDAY(DATE(KalendāraGads,6,27),1),"ddd")</f>
        <v>ceturtd</v>
      </c>
      <c r="AD5" s="2" t="str">
        <f>TEXT(WEEKDAY(DATE(KalendāraGads,6,28),1),"ddd")</f>
        <v>piektd</v>
      </c>
      <c r="AE5" s="2" t="str">
        <f>TEXT(WEEKDAY(DATE(KalendāraGads,6,29),1),"ddd")</f>
        <v>sestd</v>
      </c>
      <c r="AF5" s="2" t="str">
        <f>TEXT(WEEKDAY(DATE(KalendāraGads,6,30),1),"ddd")</f>
        <v>svētd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COUNTA(Jūnijs[[#This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COUNTA(Jūnijs[[#This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COUNTA(Jūnijs[[#This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COUNTA(Jūnijs[[#This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COUNTA(Jūnijs[[#This Row],[1]:[30]])</f>
        <v>0</v>
      </c>
    </row>
    <row r="12" spans="2:34" ht="30" customHeight="1" x14ac:dyDescent="0.25">
      <c r="B12" s="21" t="str">
        <f>MēnešaNosaukums&amp;" Kopā"</f>
        <v>Jūnijs Kopā</v>
      </c>
      <c r="C12" s="13">
        <f>SUBTOTAL(103,Jūnijs[1])</f>
        <v>0</v>
      </c>
      <c r="D12" s="13">
        <f>SUBTOTAL(103,Jūnijs[2])</f>
        <v>0</v>
      </c>
      <c r="E12" s="13">
        <f>SUBTOTAL(103,Jūnijs[3])</f>
        <v>0</v>
      </c>
      <c r="F12" s="13">
        <f>SUBTOTAL(103,Jūnijs[4])</f>
        <v>0</v>
      </c>
      <c r="G12" s="13">
        <f>SUBTOTAL(103,Jūnijs[5])</f>
        <v>0</v>
      </c>
      <c r="H12" s="13">
        <f>SUBTOTAL(103,Jūnijs[6])</f>
        <v>0</v>
      </c>
      <c r="I12" s="13">
        <f>SUBTOTAL(103,Jūnijs[7])</f>
        <v>0</v>
      </c>
      <c r="J12" s="13">
        <f>SUBTOTAL(103,Jūnijs[8])</f>
        <v>0</v>
      </c>
      <c r="K12" s="13">
        <f>SUBTOTAL(103,Jūnijs[9])</f>
        <v>0</v>
      </c>
      <c r="L12" s="13">
        <f>SUBTOTAL(103,Jūnijs[10])</f>
        <v>0</v>
      </c>
      <c r="M12" s="13">
        <f>SUBTOTAL(103,Jūnijs[11])</f>
        <v>0</v>
      </c>
      <c r="N12" s="13">
        <f>SUBTOTAL(103,Jūnijs[12])</f>
        <v>0</v>
      </c>
      <c r="O12" s="13">
        <f>SUBTOTAL(103,Jūnijs[13])</f>
        <v>0</v>
      </c>
      <c r="P12" s="13">
        <f>SUBTOTAL(103,Jūnijs[14])</f>
        <v>0</v>
      </c>
      <c r="Q12" s="13">
        <f>SUBTOTAL(103,Jūnijs[15])</f>
        <v>0</v>
      </c>
      <c r="R12" s="13">
        <f>SUBTOTAL(103,Jūnijs[16])</f>
        <v>0</v>
      </c>
      <c r="S12" s="13">
        <f>SUBTOTAL(103,Jūnijs[17])</f>
        <v>0</v>
      </c>
      <c r="T12" s="13">
        <f>SUBTOTAL(103,Jūnijs[18])</f>
        <v>0</v>
      </c>
      <c r="U12" s="13">
        <f>SUBTOTAL(103,Jūnijs[19])</f>
        <v>0</v>
      </c>
      <c r="V12" s="13">
        <f>SUBTOTAL(103,Jūnijs[20])</f>
        <v>0</v>
      </c>
      <c r="W12" s="13">
        <f>SUBTOTAL(103,Jūnijs[21])</f>
        <v>0</v>
      </c>
      <c r="X12" s="13">
        <f>SUBTOTAL(103,Jūnijs[22])</f>
        <v>0</v>
      </c>
      <c r="Y12" s="13">
        <f>SUBTOTAL(103,Jūnijs[23])</f>
        <v>0</v>
      </c>
      <c r="Z12" s="13">
        <f>SUBTOTAL(103,Jūnijs[24])</f>
        <v>0</v>
      </c>
      <c r="AA12" s="13">
        <f>SUBTOTAL(103,Jūnijs[25])</f>
        <v>0</v>
      </c>
      <c r="AB12" s="13">
        <f>SUBTOTAL(103,Jūnijs[26])</f>
        <v>0</v>
      </c>
      <c r="AC12" s="13">
        <f>SUBTOTAL(103,Jūnijs[27])</f>
        <v>0</v>
      </c>
      <c r="AD12" s="13">
        <f>SUBTOTAL(103,Jūnijs[28])</f>
        <v>0</v>
      </c>
      <c r="AE12" s="13">
        <f>SUBTOTAL(103,Jūnijs[29])</f>
        <v>0</v>
      </c>
      <c r="AF12" s="13">
        <f>SUBTOTAL(103,Jūnijs[30])</f>
        <v>0</v>
      </c>
      <c r="AG12" s="13">
        <f>SUBTOTAL(103,Jūnijs[[ ]])</f>
        <v>0</v>
      </c>
      <c r="AH12" s="13">
        <f>SUBTOTAL(109,Jūnijs[Dienu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517" priority="2" stopIfTrue="1">
      <formula>C7=PielāgotaAtslēga2</formula>
    </cfRule>
    <cfRule type="expression" dxfId="516" priority="3" stopIfTrue="1">
      <formula>C7=PielāgotaAtslēga1</formula>
    </cfRule>
    <cfRule type="expression" dxfId="515" priority="4" stopIfTrue="1">
      <formula>C7=AtslēgaSlimība</formula>
    </cfRule>
    <cfRule type="expression" dxfId="514" priority="5" stopIfTrue="1">
      <formula>C7=AtslēgaPersonisks</formula>
    </cfRule>
    <cfRule type="expression" dxfId="513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500-000000000000}"/>
    <dataValidation allowBlank="1" showInputMessage="1" showErrorMessage="1" prompt="Automātiski atjaunināts gads, ņemot vērā gadu, kas ievadīts janvāra darblapā" sqref="AH4" xr:uid="{00000000-0002-0000-0500-000001000000}"/>
    <dataValidation allowBlank="1" showInputMessage="1" showErrorMessage="1" prompt="Automātiski aprēķina kopējo dienu skaitu, kad darbinieks ir bijis prombūtnē šajā mēnesī, šajā kolonnā" sqref="AH6" xr:uid="{00000000-0002-0000-0500-000002000000}"/>
    <dataValidation allowBlank="1" showInputMessage="1" showErrorMessage="1" prompt="Sekojiet jūnija prombūtnei šajā darblapā" sqref="A1" xr:uid="{00000000-0002-0000-0500-000003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500-000004000000}"/>
    <dataValidation allowBlank="1" showInputMessage="1" showErrorMessage="1" prompt="Automātiski atjauninātais nosaukums ir šajā šūnā. Lai modificētu nosaukumu, atjauniniet šūnu B1 janvāra darblapā" sqref="B1" xr:uid="{00000000-0002-0000-0500-000005000000}"/>
    <dataValidation allowBlank="1" showInputMessage="1" showErrorMessage="1" prompt="Burts “A” norāda prombūtni atvaļinājuma dēļ" sqref="C2" xr:uid="{00000000-0002-0000-0500-000006000000}"/>
    <dataValidation allowBlank="1" showInputMessage="1" showErrorMessage="1" prompt="Burts “P” norāda prombūtni personisku iemeslu dēļ" sqref="G2" xr:uid="{00000000-0002-0000-0500-000007000000}"/>
    <dataValidation allowBlank="1" showInputMessage="1" showErrorMessage="1" prompt="Burts “S” norāda prombūtni slimības dēļ" sqref="K2" xr:uid="{00000000-0002-0000-0500-000008000000}"/>
    <dataValidation allowBlank="1" showInputMessage="1" showErrorMessage="1" prompt="Ievadiet burtu un pielāgojiet etiķeti pa labi, lai pievienotu citu atslēgas vienumu" sqref="N2 R2" xr:uid="{00000000-0002-0000-0500-000009000000}"/>
    <dataValidation allowBlank="1" showInputMessage="1" showErrorMessage="1" prompt="Ievadiet etiķeti, lai aprakstītu pielāgoto atslēgu pa kreisi" sqref="O2:Q2 S2:U2" xr:uid="{00000000-0002-0000-0500-00000A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500-00000B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500-00000C000000}"/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5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TEXT(WEEKDAY(DATE(KalendāraGads,7,1),1),"ddd")</f>
        <v>pirmd</v>
      </c>
      <c r="D5" s="2" t="str">
        <f>TEXT(WEEKDAY(DATE(KalendāraGads,7,2),1),"ddd")</f>
        <v>otrd</v>
      </c>
      <c r="E5" s="2" t="str">
        <f>TEXT(WEEKDAY(DATE(KalendāraGads,7,3),1),"ddd")</f>
        <v>trešd</v>
      </c>
      <c r="F5" s="2" t="str">
        <f>TEXT(WEEKDAY(DATE(KalendāraGads,7,4),1),"ddd")</f>
        <v>ceturtd</v>
      </c>
      <c r="G5" s="2" t="str">
        <f>TEXT(WEEKDAY(DATE(KalendāraGads,7,5),1),"ddd")</f>
        <v>piektd</v>
      </c>
      <c r="H5" s="2" t="str">
        <f>TEXT(WEEKDAY(DATE(KalendāraGads,7,6),1),"ddd")</f>
        <v>sestd</v>
      </c>
      <c r="I5" s="2" t="str">
        <f>TEXT(WEEKDAY(DATE(KalendāraGads,7,7),1),"ddd")</f>
        <v>svētd</v>
      </c>
      <c r="J5" s="2" t="str">
        <f>TEXT(WEEKDAY(DATE(KalendāraGads,7,8),1),"ddd")</f>
        <v>pirmd</v>
      </c>
      <c r="K5" s="2" t="str">
        <f>TEXT(WEEKDAY(DATE(KalendāraGads,7,9),1),"ddd")</f>
        <v>otrd</v>
      </c>
      <c r="L5" s="2" t="str">
        <f>TEXT(WEEKDAY(DATE(KalendāraGads,7,10),1),"ddd")</f>
        <v>trešd</v>
      </c>
      <c r="M5" s="2" t="str">
        <f>TEXT(WEEKDAY(DATE(KalendāraGads,7,11),1),"ddd")</f>
        <v>ceturtd</v>
      </c>
      <c r="N5" s="2" t="str">
        <f>TEXT(WEEKDAY(DATE(KalendāraGads,7,12),1),"ddd")</f>
        <v>piektd</v>
      </c>
      <c r="O5" s="2" t="str">
        <f>TEXT(WEEKDAY(DATE(KalendāraGads,7,13),1),"ddd")</f>
        <v>sestd</v>
      </c>
      <c r="P5" s="2" t="str">
        <f>TEXT(WEEKDAY(DATE(KalendāraGads,7,14),1),"ddd")</f>
        <v>svētd</v>
      </c>
      <c r="Q5" s="2" t="str">
        <f>TEXT(WEEKDAY(DATE(KalendāraGads,7,15),1),"ddd")</f>
        <v>pirmd</v>
      </c>
      <c r="R5" s="2" t="str">
        <f>TEXT(WEEKDAY(DATE(KalendāraGads,7,16),1),"ddd")</f>
        <v>otrd</v>
      </c>
      <c r="S5" s="2" t="str">
        <f>TEXT(WEEKDAY(DATE(KalendāraGads,7,17),1),"ddd")</f>
        <v>trešd</v>
      </c>
      <c r="T5" s="2" t="str">
        <f>TEXT(WEEKDAY(DATE(KalendāraGads,7,18),1),"ddd")</f>
        <v>ceturtd</v>
      </c>
      <c r="U5" s="2" t="str">
        <f>TEXT(WEEKDAY(DATE(KalendāraGads,7,19),1),"ddd")</f>
        <v>piektd</v>
      </c>
      <c r="V5" s="2" t="str">
        <f>TEXT(WEEKDAY(DATE(KalendāraGads,7,20),1),"ddd")</f>
        <v>sestd</v>
      </c>
      <c r="W5" s="2" t="str">
        <f>TEXT(WEEKDAY(DATE(KalendāraGads,7,21),1),"ddd")</f>
        <v>svētd</v>
      </c>
      <c r="X5" s="2" t="str">
        <f>TEXT(WEEKDAY(DATE(KalendāraGads,7,22),1),"ddd")</f>
        <v>pirmd</v>
      </c>
      <c r="Y5" s="2" t="str">
        <f>TEXT(WEEKDAY(DATE(KalendāraGads,7,23),1),"ddd")</f>
        <v>otrd</v>
      </c>
      <c r="Z5" s="2" t="str">
        <f>TEXT(WEEKDAY(DATE(KalendāraGads,7,24),1),"ddd")</f>
        <v>trešd</v>
      </c>
      <c r="AA5" s="2" t="str">
        <f>TEXT(WEEKDAY(DATE(KalendāraGads,7,25),1),"ddd")</f>
        <v>ceturtd</v>
      </c>
      <c r="AB5" s="2" t="str">
        <f>TEXT(WEEKDAY(DATE(KalendāraGads,7,26),1),"ddd")</f>
        <v>piektd</v>
      </c>
      <c r="AC5" s="2" t="str">
        <f>TEXT(WEEKDAY(DATE(KalendāraGads,7,27),1),"ddd")</f>
        <v>sestd</v>
      </c>
      <c r="AD5" s="2" t="str">
        <f>TEXT(WEEKDAY(DATE(KalendāraGads,7,28),1),"ddd")</f>
        <v>svētd</v>
      </c>
      <c r="AE5" s="2" t="str">
        <f>TEXT(WEEKDAY(DATE(KalendāraGads,7,29),1),"ddd")</f>
        <v>pirmd</v>
      </c>
      <c r="AF5" s="2" t="str">
        <f>TEXT(WEEKDAY(DATE(KalendāraGads,7,30),1),"ddd")</f>
        <v>otrd</v>
      </c>
      <c r="AG5" s="2" t="str">
        <f>TEXT(WEEKDAY(DATE(KalendāraGads,7,31),1),"ddd")</f>
        <v>trešd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COUNTA(Jūlijs[[#This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COUNTA(Jūlijs[[#This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COUNTA(Jūlijs[[#This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COUNTA(Jūlijs[[#This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COUNTA(Jūlijs[[#This Row],[1]:[31]])</f>
        <v>0</v>
      </c>
    </row>
    <row r="12" spans="2:34" ht="30" customHeight="1" x14ac:dyDescent="0.25">
      <c r="B12" s="21" t="str">
        <f>MēnešaNosaukums&amp;" Kopā"</f>
        <v>Jūlijs Kopā</v>
      </c>
      <c r="C12" s="13">
        <f>SUBTOTAL(103,Jūlijs[1])</f>
        <v>0</v>
      </c>
      <c r="D12" s="13">
        <f>SUBTOTAL(103,Jūlijs[2])</f>
        <v>0</v>
      </c>
      <c r="E12" s="13">
        <f>SUBTOTAL(103,Jūlijs[3])</f>
        <v>0</v>
      </c>
      <c r="F12" s="13">
        <f>SUBTOTAL(103,Jūlijs[4])</f>
        <v>0</v>
      </c>
      <c r="G12" s="13">
        <f>SUBTOTAL(103,Jūlijs[5])</f>
        <v>0</v>
      </c>
      <c r="H12" s="13">
        <f>SUBTOTAL(103,Jūlijs[6])</f>
        <v>0</v>
      </c>
      <c r="I12" s="13">
        <f>SUBTOTAL(103,Jūlijs[7])</f>
        <v>0</v>
      </c>
      <c r="J12" s="13">
        <f>SUBTOTAL(103,Jūlijs[8])</f>
        <v>0</v>
      </c>
      <c r="K12" s="13">
        <f>SUBTOTAL(103,Jūlijs[9])</f>
        <v>0</v>
      </c>
      <c r="L12" s="13">
        <f>SUBTOTAL(103,Jūlijs[10])</f>
        <v>0</v>
      </c>
      <c r="M12" s="13">
        <f>SUBTOTAL(103,Jūlijs[11])</f>
        <v>0</v>
      </c>
      <c r="N12" s="13">
        <f>SUBTOTAL(103,Jūlijs[12])</f>
        <v>0</v>
      </c>
      <c r="O12" s="13">
        <f>SUBTOTAL(103,Jūlijs[13])</f>
        <v>0</v>
      </c>
      <c r="P12" s="13">
        <f>SUBTOTAL(103,Jūlijs[14])</f>
        <v>0</v>
      </c>
      <c r="Q12" s="13">
        <f>SUBTOTAL(103,Jūlijs[15])</f>
        <v>0</v>
      </c>
      <c r="R12" s="13">
        <f>SUBTOTAL(103,Jūlijs[16])</f>
        <v>0</v>
      </c>
      <c r="S12" s="13">
        <f>SUBTOTAL(103,Jūlijs[17])</f>
        <v>0</v>
      </c>
      <c r="T12" s="13">
        <f>SUBTOTAL(103,Jūlijs[18])</f>
        <v>0</v>
      </c>
      <c r="U12" s="13">
        <f>SUBTOTAL(103,Jūlijs[19])</f>
        <v>0</v>
      </c>
      <c r="V12" s="13">
        <f>SUBTOTAL(103,Jūlijs[20])</f>
        <v>0</v>
      </c>
      <c r="W12" s="13">
        <f>SUBTOTAL(103,Jūlijs[21])</f>
        <v>0</v>
      </c>
      <c r="X12" s="13">
        <f>SUBTOTAL(103,Jūlijs[22])</f>
        <v>0</v>
      </c>
      <c r="Y12" s="13">
        <f>SUBTOTAL(103,Jūlijs[23])</f>
        <v>0</v>
      </c>
      <c r="Z12" s="13">
        <f>SUBTOTAL(103,Jūlijs[24])</f>
        <v>0</v>
      </c>
      <c r="AA12" s="13">
        <f>SUBTOTAL(103,Jūlijs[25])</f>
        <v>0</v>
      </c>
      <c r="AB12" s="13">
        <f>SUBTOTAL(103,Jūlijs[26])</f>
        <v>0</v>
      </c>
      <c r="AC12" s="13">
        <f>SUBTOTAL(103,Jūlijs[27])</f>
        <v>0</v>
      </c>
      <c r="AD12" s="13">
        <f>SUBTOTAL(103,Jūlijs[28])</f>
        <v>0</v>
      </c>
      <c r="AE12" s="13">
        <f>SUBTOTAL(103,Jūlijs[29])</f>
        <v>0</v>
      </c>
      <c r="AF12" s="13">
        <f>SUBTOTAL(103,Jūlijs[30])</f>
        <v>0</v>
      </c>
      <c r="AG12" s="13">
        <f>SUBTOTAL(103,Jūlijs[31])</f>
        <v>0</v>
      </c>
      <c r="AH12" s="13">
        <f>SUBTOTAL(109,Jūlijs[Dienu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43" priority="2" stopIfTrue="1">
      <formula>C7=PielāgotaAtslēga2</formula>
    </cfRule>
    <cfRule type="expression" dxfId="442" priority="3" stopIfTrue="1">
      <formula>C7=PielāgotaAtslēga1</formula>
    </cfRule>
    <cfRule type="expression" dxfId="441" priority="4" stopIfTrue="1">
      <formula>C7=AtslēgaSlimība</formula>
    </cfRule>
    <cfRule type="expression" dxfId="440" priority="5" stopIfTrue="1">
      <formula>C7=AtslēgaPersonisks</formula>
    </cfRule>
    <cfRule type="expression" dxfId="439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600-000000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600-000001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600-000002000000}"/>
    <dataValidation allowBlank="1" showInputMessage="1" showErrorMessage="1" prompt="Ievadiet etiķeti, lai aprakstītu pielāgoto atslēgu pa kreisi" sqref="O2:Q2 S2:U2" xr:uid="{00000000-0002-0000-0600-000003000000}"/>
    <dataValidation allowBlank="1" showInputMessage="1" showErrorMessage="1" prompt="Ievadiet burtu un pielāgojiet etiķeti pa labi, lai pievienotu citu atslēgas vienumu" sqref="N2 R2" xr:uid="{00000000-0002-0000-0600-000004000000}"/>
    <dataValidation allowBlank="1" showInputMessage="1" showErrorMessage="1" prompt="Burts “S” norāda prombūtni slimības dēļ" sqref="K2" xr:uid="{00000000-0002-0000-0600-000005000000}"/>
    <dataValidation allowBlank="1" showInputMessage="1" showErrorMessage="1" prompt="Burts “P” norāda prombūtni personisku iemeslu dēļ" sqref="G2" xr:uid="{00000000-0002-0000-0600-000006000000}"/>
    <dataValidation allowBlank="1" showInputMessage="1" showErrorMessage="1" prompt="Burts “A” norāda prombūtni atvaļinājuma dēļ" sqref="C2" xr:uid="{00000000-0002-0000-0600-000007000000}"/>
    <dataValidation allowBlank="1" showInputMessage="1" showErrorMessage="1" prompt="Automātiski atjauninātais nosaukums ir šajā šūnā. Lai modificētu nosaukumu, atjauniniet šūnu B1 janvāra darblapā" sqref="B1" xr:uid="{00000000-0002-0000-0600-000008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600-000009000000}"/>
    <dataValidation allowBlank="1" showInputMessage="1" showErrorMessage="1" prompt="Sekojiet jūlija prombūtnei šajā darblapā" sqref="A1" xr:uid="{00000000-0002-0000-0600-00000A000000}"/>
    <dataValidation allowBlank="1" showInputMessage="1" showErrorMessage="1" prompt="Automātiski aprēķina kopējo dienu skaitu, kad darbinieks ir bijis prombūtnē šajā mēnesī, šajā kolonnā" sqref="AH6" xr:uid="{00000000-0002-0000-0600-00000B000000}"/>
    <dataValidation allowBlank="1" showInputMessage="1" showErrorMessage="1" prompt="Automātiski atjaunināts gads, ņemot vērā gadu, kas ievadīts janvāra darblapā" sqref="AH4" xr:uid="{00000000-0002-0000-0600-00000C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6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TEXT(WEEKDAY(DATE(KalendāraGads,8,1),1),"ddd")</f>
        <v>ceturtd</v>
      </c>
      <c r="D5" s="2" t="str">
        <f>TEXT(WEEKDAY(DATE(KalendāraGads,8,2),1),"ddd")</f>
        <v>piektd</v>
      </c>
      <c r="E5" s="2" t="str">
        <f>TEXT(WEEKDAY(DATE(KalendāraGads,8,3),1),"ddd")</f>
        <v>sestd</v>
      </c>
      <c r="F5" s="2" t="str">
        <f>TEXT(WEEKDAY(DATE(KalendāraGads,8,4),1),"ddd")</f>
        <v>svētd</v>
      </c>
      <c r="G5" s="2" t="str">
        <f>TEXT(WEEKDAY(DATE(KalendāraGads,8,5),1),"ddd")</f>
        <v>pirmd</v>
      </c>
      <c r="H5" s="2" t="str">
        <f>TEXT(WEEKDAY(DATE(KalendāraGads,8,6),1),"ddd")</f>
        <v>otrd</v>
      </c>
      <c r="I5" s="2" t="str">
        <f>TEXT(WEEKDAY(DATE(KalendāraGads,8,7),1),"ddd")</f>
        <v>trešd</v>
      </c>
      <c r="J5" s="2" t="str">
        <f>TEXT(WEEKDAY(DATE(KalendāraGads,8,8),1),"ddd")</f>
        <v>ceturtd</v>
      </c>
      <c r="K5" s="2" t="str">
        <f>TEXT(WEEKDAY(DATE(KalendāraGads,8,9),1),"ddd")</f>
        <v>piektd</v>
      </c>
      <c r="L5" s="2" t="str">
        <f>TEXT(WEEKDAY(DATE(KalendāraGads,8,10),1),"ddd")</f>
        <v>sestd</v>
      </c>
      <c r="M5" s="2" t="str">
        <f>TEXT(WEEKDAY(DATE(KalendāraGads,8,11),1),"ddd")</f>
        <v>svētd</v>
      </c>
      <c r="N5" s="2" t="str">
        <f>TEXT(WEEKDAY(DATE(KalendāraGads,8,12),1),"ddd")</f>
        <v>pirmd</v>
      </c>
      <c r="O5" s="2" t="str">
        <f>TEXT(WEEKDAY(DATE(KalendāraGads,8,13),1),"ddd")</f>
        <v>otrd</v>
      </c>
      <c r="P5" s="2" t="str">
        <f>TEXT(WEEKDAY(DATE(KalendāraGads,8,14),1),"ddd")</f>
        <v>trešd</v>
      </c>
      <c r="Q5" s="2" t="str">
        <f>TEXT(WEEKDAY(DATE(KalendāraGads,8,15),1),"ddd")</f>
        <v>ceturtd</v>
      </c>
      <c r="R5" s="2" t="str">
        <f>TEXT(WEEKDAY(DATE(KalendāraGads,8,16),1),"ddd")</f>
        <v>piektd</v>
      </c>
      <c r="S5" s="2" t="str">
        <f>TEXT(WEEKDAY(DATE(KalendāraGads,8,17),1),"ddd")</f>
        <v>sestd</v>
      </c>
      <c r="T5" s="2" t="str">
        <f>TEXT(WEEKDAY(DATE(KalendāraGads,8,18),1),"ddd")</f>
        <v>svētd</v>
      </c>
      <c r="U5" s="2" t="str">
        <f>TEXT(WEEKDAY(DATE(KalendāraGads,8,19),1),"ddd")</f>
        <v>pirmd</v>
      </c>
      <c r="V5" s="2" t="str">
        <f>TEXT(WEEKDAY(DATE(KalendāraGads,8,20),1),"ddd")</f>
        <v>otrd</v>
      </c>
      <c r="W5" s="2" t="str">
        <f>TEXT(WEEKDAY(DATE(KalendāraGads,8,21),1),"ddd")</f>
        <v>trešd</v>
      </c>
      <c r="X5" s="2" t="str">
        <f>TEXT(WEEKDAY(DATE(KalendāraGads,8,22),1),"ddd")</f>
        <v>ceturtd</v>
      </c>
      <c r="Y5" s="2" t="str">
        <f>TEXT(WEEKDAY(DATE(KalendāraGads,8,23),1),"ddd")</f>
        <v>piektd</v>
      </c>
      <c r="Z5" s="2" t="str">
        <f>TEXT(WEEKDAY(DATE(KalendāraGads,8,24),1),"ddd")</f>
        <v>sestd</v>
      </c>
      <c r="AA5" s="2" t="str">
        <f>TEXT(WEEKDAY(DATE(KalendāraGads,8,25),1),"ddd")</f>
        <v>svētd</v>
      </c>
      <c r="AB5" s="2" t="str">
        <f>TEXT(WEEKDAY(DATE(KalendāraGads,8,26),1),"ddd")</f>
        <v>pirmd</v>
      </c>
      <c r="AC5" s="2" t="str">
        <f>TEXT(WEEKDAY(DATE(KalendāraGads,8,27),1),"ddd")</f>
        <v>otrd</v>
      </c>
      <c r="AD5" s="2" t="str">
        <f>TEXT(WEEKDAY(DATE(KalendāraGads,8,28),1),"ddd")</f>
        <v>trešd</v>
      </c>
      <c r="AE5" s="2" t="str">
        <f>TEXT(WEEKDAY(DATE(KalendāraGads,8,29),1),"ddd")</f>
        <v>ceturtd</v>
      </c>
      <c r="AF5" s="2" t="str">
        <f>TEXT(WEEKDAY(DATE(KalendāraGads,8,30),1),"ddd")</f>
        <v>piektd</v>
      </c>
      <c r="AG5" s="2" t="str">
        <f>TEXT(WEEKDAY(DATE(KalendāraGads,8,31),1),"ddd")</f>
        <v>sestd</v>
      </c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COUNTA(Augusts[[#This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COUNTA(Augusts[[#This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COUNTA(Augusts[[#This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COUNTA(Augusts[[#This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COUNTA(Augusts[[#This Row],[1]:[31]])</f>
        <v>0</v>
      </c>
    </row>
    <row r="12" spans="2:34" ht="30" customHeight="1" x14ac:dyDescent="0.25">
      <c r="B12" s="21" t="str">
        <f>MēnešaNosaukums&amp;" Kopā"</f>
        <v>Augusts Kopā</v>
      </c>
      <c r="C12" s="13">
        <f>SUBTOTAL(103,Augusts[1])</f>
        <v>0</v>
      </c>
      <c r="D12" s="13">
        <f>SUBTOTAL(103,Augusts[2])</f>
        <v>0</v>
      </c>
      <c r="E12" s="13">
        <f>SUBTOTAL(103,Augusts[3])</f>
        <v>0</v>
      </c>
      <c r="F12" s="13">
        <f>SUBTOTAL(103,Augusts[4])</f>
        <v>0</v>
      </c>
      <c r="G12" s="13">
        <f>SUBTOTAL(103,Augusts[5])</f>
        <v>0</v>
      </c>
      <c r="H12" s="13">
        <f>SUBTOTAL(103,Augusts[6])</f>
        <v>0</v>
      </c>
      <c r="I12" s="13">
        <f>SUBTOTAL(103,Augusts[7])</f>
        <v>0</v>
      </c>
      <c r="J12" s="13">
        <f>SUBTOTAL(103,Augusts[8])</f>
        <v>0</v>
      </c>
      <c r="K12" s="13">
        <f>SUBTOTAL(103,Augusts[9])</f>
        <v>0</v>
      </c>
      <c r="L12" s="13">
        <f>SUBTOTAL(103,Augusts[10])</f>
        <v>0</v>
      </c>
      <c r="M12" s="13">
        <f>SUBTOTAL(103,Augusts[11])</f>
        <v>0</v>
      </c>
      <c r="N12" s="13">
        <f>SUBTOTAL(103,Augusts[12])</f>
        <v>0</v>
      </c>
      <c r="O12" s="13">
        <f>SUBTOTAL(103,Augusts[13])</f>
        <v>0</v>
      </c>
      <c r="P12" s="13">
        <f>SUBTOTAL(103,Augusts[14])</f>
        <v>0</v>
      </c>
      <c r="Q12" s="13">
        <f>SUBTOTAL(103,Augusts[15])</f>
        <v>0</v>
      </c>
      <c r="R12" s="13">
        <f>SUBTOTAL(103,Augusts[16])</f>
        <v>0</v>
      </c>
      <c r="S12" s="13">
        <f>SUBTOTAL(103,Augusts[17])</f>
        <v>0</v>
      </c>
      <c r="T12" s="13">
        <f>SUBTOTAL(103,Augusts[18])</f>
        <v>0</v>
      </c>
      <c r="U12" s="13">
        <f>SUBTOTAL(103,Augusts[19])</f>
        <v>0</v>
      </c>
      <c r="V12" s="13">
        <f>SUBTOTAL(103,Augusts[20])</f>
        <v>0</v>
      </c>
      <c r="W12" s="13">
        <f>SUBTOTAL(103,Augusts[21])</f>
        <v>0</v>
      </c>
      <c r="X12" s="13">
        <f>SUBTOTAL(103,Augusts[22])</f>
        <v>0</v>
      </c>
      <c r="Y12" s="13">
        <f>SUBTOTAL(103,Augusts[23])</f>
        <v>0</v>
      </c>
      <c r="Z12" s="13">
        <f>SUBTOTAL(103,Augusts[24])</f>
        <v>0</v>
      </c>
      <c r="AA12" s="13">
        <f>SUBTOTAL(103,Augusts[25])</f>
        <v>0</v>
      </c>
      <c r="AB12" s="13">
        <f>SUBTOTAL(103,Augusts[26])</f>
        <v>0</v>
      </c>
      <c r="AC12" s="13">
        <f>SUBTOTAL(103,Augusts[27])</f>
        <v>0</v>
      </c>
      <c r="AD12" s="13">
        <f>SUBTOTAL(103,Augusts[28])</f>
        <v>0</v>
      </c>
      <c r="AE12" s="13">
        <f>SUBTOTAL(103,Augusts[29])</f>
        <v>0</v>
      </c>
      <c r="AF12" s="13">
        <f>SUBTOTAL(103,Augusts[30])</f>
        <v>0</v>
      </c>
      <c r="AG12" s="13">
        <f>SUBTOTAL(103,Augusts[31])</f>
        <v>0</v>
      </c>
      <c r="AH12" s="13">
        <f>SUBTOTAL(109,Augusts[Dienu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369" priority="2" stopIfTrue="1">
      <formula>C7=PielāgotaAtslēga2</formula>
    </cfRule>
    <cfRule type="expression" dxfId="368" priority="3" stopIfTrue="1">
      <formula>C7=PielāgotaAtslēga1</formula>
    </cfRule>
    <cfRule type="expression" dxfId="367" priority="4" stopIfTrue="1">
      <formula>C7=AtslēgaSlimība</formula>
    </cfRule>
    <cfRule type="expression" dxfId="366" priority="5" stopIfTrue="1">
      <formula>C7=AtslēgaPersonisks</formula>
    </cfRule>
    <cfRule type="expression" dxfId="365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700-000000000000}"/>
    <dataValidation allowBlank="1" showInputMessage="1" showErrorMessage="1" prompt="Automātiski atjaunināts gads, ņemot vērā gadu, kas ievadīts janvāra darblapā" sqref="AH4" xr:uid="{00000000-0002-0000-0700-000001000000}"/>
    <dataValidation allowBlank="1" showInputMessage="1" showErrorMessage="1" prompt="Automātiski aprēķina kopējo dienu skaitu, kad darbinieks ir bijis prombūtnē šajā mēnesī, šajā kolonnā" sqref="AH6" xr:uid="{00000000-0002-0000-0700-000002000000}"/>
    <dataValidation allowBlank="1" showInputMessage="1" showErrorMessage="1" prompt="Sekojiet augusta prombūtnei šajā darblapā" sqref="A1" xr:uid="{00000000-0002-0000-0700-000003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700-000004000000}"/>
    <dataValidation allowBlank="1" showInputMessage="1" showErrorMessage="1" prompt="Automātiski atjauninātais nosaukums ir šajā šūnā. Lai modificētu nosaukumu, atjauniniet šūnu B1 janvāra darblapā" sqref="B1" xr:uid="{00000000-0002-0000-0700-000005000000}"/>
    <dataValidation allowBlank="1" showInputMessage="1" showErrorMessage="1" prompt="Burts “A” norāda prombūtni atvaļinājuma dēļ" sqref="C2" xr:uid="{00000000-0002-0000-0700-000006000000}"/>
    <dataValidation allowBlank="1" showInputMessage="1" showErrorMessage="1" prompt="Burts “P” norāda prombūtni personisku iemeslu dēļ" sqref="G2" xr:uid="{00000000-0002-0000-0700-000007000000}"/>
    <dataValidation allowBlank="1" showInputMessage="1" showErrorMessage="1" prompt="Burts “S” norāda prombūtni slimības dēļ" sqref="K2" xr:uid="{00000000-0002-0000-0700-000008000000}"/>
    <dataValidation allowBlank="1" showInputMessage="1" showErrorMessage="1" prompt="Ievadiet burtu un pielāgojiet etiķeti pa labi, lai pievienotu citu atslēgas vienumu" sqref="N2 R2" xr:uid="{00000000-0002-0000-0700-000009000000}"/>
    <dataValidation allowBlank="1" showInputMessage="1" showErrorMessage="1" prompt="Ievadiet etiķeti, lai aprakstītu pielāgoto atslēgu pa kreisi" sqref="O2:Q2 S2:U2" xr:uid="{00000000-0002-0000-0700-00000A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700-00000B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700-00000C000000}"/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7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'Darbinieku vārdi'!$B$4:$B$8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7.28515625" style="11" customWidth="1"/>
    <col min="34" max="34" width="16.7109375" style="11" customWidth="1"/>
    <col min="35" max="35" width="2.7109375" customWidth="1"/>
  </cols>
  <sheetData>
    <row r="1" spans="2:34" ht="50.1" customHeight="1" x14ac:dyDescent="0.25">
      <c r="B1" s="14" t="str">
        <f>Darbinieka_prombūtnes_nosaukums</f>
        <v>Darbinieka prombūtnes grafiks</v>
      </c>
    </row>
    <row r="2" spans="2:34" ht="15" customHeight="1" x14ac:dyDescent="0.25">
      <c r="B2" s="19" t="s">
        <v>1</v>
      </c>
      <c r="C2" s="4" t="s">
        <v>64</v>
      </c>
      <c r="D2" s="26" t="s">
        <v>11</v>
      </c>
      <c r="E2" s="26"/>
      <c r="F2" s="26"/>
      <c r="G2" s="5" t="s">
        <v>14</v>
      </c>
      <c r="H2" s="26" t="s">
        <v>18</v>
      </c>
      <c r="I2" s="26"/>
      <c r="J2" s="26"/>
      <c r="K2" s="6" t="s">
        <v>16</v>
      </c>
      <c r="L2" s="26" t="s">
        <v>23</v>
      </c>
      <c r="M2" s="26"/>
      <c r="N2" s="7"/>
      <c r="O2" s="26" t="s">
        <v>27</v>
      </c>
      <c r="P2" s="26"/>
      <c r="Q2" s="26"/>
      <c r="R2" s="8"/>
      <c r="S2" s="26" t="s">
        <v>32</v>
      </c>
      <c r="T2" s="26"/>
      <c r="U2" s="26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5" t="s">
        <v>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2">
        <f>KalendāraGads</f>
        <v>2019</v>
      </c>
    </row>
    <row r="5" spans="2:34" ht="15" customHeight="1" x14ac:dyDescent="0.25">
      <c r="B5" s="12"/>
      <c r="C5" s="2" t="str">
        <f>TEXT(WEEKDAY(DATE(KalendāraGads,9,1),1),"ddd")</f>
        <v>svētd</v>
      </c>
      <c r="D5" s="2" t="str">
        <f>TEXT(WEEKDAY(DATE(KalendāraGads,9,2),1),"ddd")</f>
        <v>pirmd</v>
      </c>
      <c r="E5" s="2" t="str">
        <f>TEXT(WEEKDAY(DATE(KalendāraGads,9,3),1),"ddd")</f>
        <v>otrd</v>
      </c>
      <c r="F5" s="2" t="str">
        <f>TEXT(WEEKDAY(DATE(KalendāraGads,9,4),1),"ddd")</f>
        <v>trešd</v>
      </c>
      <c r="G5" s="2" t="str">
        <f>TEXT(WEEKDAY(DATE(KalendāraGads,9,5),1),"ddd")</f>
        <v>ceturtd</v>
      </c>
      <c r="H5" s="2" t="str">
        <f>TEXT(WEEKDAY(DATE(KalendāraGads,9,6),1),"ddd")</f>
        <v>piektd</v>
      </c>
      <c r="I5" s="2" t="str">
        <f>TEXT(WEEKDAY(DATE(KalendāraGads,9,7),1),"ddd")</f>
        <v>sestd</v>
      </c>
      <c r="J5" s="2" t="str">
        <f>TEXT(WEEKDAY(DATE(KalendāraGads,9,8),1),"ddd")</f>
        <v>svētd</v>
      </c>
      <c r="K5" s="2" t="str">
        <f>TEXT(WEEKDAY(DATE(KalendāraGads,9,9),1),"ddd")</f>
        <v>pirmd</v>
      </c>
      <c r="L5" s="2" t="str">
        <f>TEXT(WEEKDAY(DATE(KalendāraGads,9,10),1),"ddd")</f>
        <v>otrd</v>
      </c>
      <c r="M5" s="2" t="str">
        <f>TEXT(WEEKDAY(DATE(KalendāraGads,9,11),1),"ddd")</f>
        <v>trešd</v>
      </c>
      <c r="N5" s="2" t="str">
        <f>TEXT(WEEKDAY(DATE(KalendāraGads,9,12),1),"ddd")</f>
        <v>ceturtd</v>
      </c>
      <c r="O5" s="2" t="str">
        <f>TEXT(WEEKDAY(DATE(KalendāraGads,9,13),1),"ddd")</f>
        <v>piektd</v>
      </c>
      <c r="P5" s="2" t="str">
        <f>TEXT(WEEKDAY(DATE(KalendāraGads,9,14),1),"ddd")</f>
        <v>sestd</v>
      </c>
      <c r="Q5" s="2" t="str">
        <f>TEXT(WEEKDAY(DATE(KalendāraGads,9,15),1),"ddd")</f>
        <v>svētd</v>
      </c>
      <c r="R5" s="2" t="str">
        <f>TEXT(WEEKDAY(DATE(KalendāraGads,9,16),1),"ddd")</f>
        <v>pirmd</v>
      </c>
      <c r="S5" s="2" t="str">
        <f>TEXT(WEEKDAY(DATE(KalendāraGads,9,17),1),"ddd")</f>
        <v>otrd</v>
      </c>
      <c r="T5" s="2" t="str">
        <f>TEXT(WEEKDAY(DATE(KalendāraGads,9,18),1),"ddd")</f>
        <v>trešd</v>
      </c>
      <c r="U5" s="2" t="str">
        <f>TEXT(WEEKDAY(DATE(KalendāraGads,9,19),1),"ddd")</f>
        <v>ceturtd</v>
      </c>
      <c r="V5" s="2" t="str">
        <f>TEXT(WEEKDAY(DATE(KalendāraGads,9,20),1),"ddd")</f>
        <v>piektd</v>
      </c>
      <c r="W5" s="2" t="str">
        <f>TEXT(WEEKDAY(DATE(KalendāraGads,9,21),1),"ddd")</f>
        <v>sestd</v>
      </c>
      <c r="X5" s="2" t="str">
        <f>TEXT(WEEKDAY(DATE(KalendāraGads,9,22),1),"ddd")</f>
        <v>svētd</v>
      </c>
      <c r="Y5" s="2" t="str">
        <f>TEXT(WEEKDAY(DATE(KalendāraGads,9,23),1),"ddd")</f>
        <v>pirmd</v>
      </c>
      <c r="Z5" s="2" t="str">
        <f>TEXT(WEEKDAY(DATE(KalendāraGads,9,24),1),"ddd")</f>
        <v>otrd</v>
      </c>
      <c r="AA5" s="2" t="str">
        <f>TEXT(WEEKDAY(DATE(KalendāraGads,9,25),1),"ddd")</f>
        <v>trešd</v>
      </c>
      <c r="AB5" s="2" t="str">
        <f>TEXT(WEEKDAY(DATE(KalendāraGads,9,26),1),"ddd")</f>
        <v>ceturtd</v>
      </c>
      <c r="AC5" s="2" t="str">
        <f>TEXT(WEEKDAY(DATE(KalendāraGads,9,27),1),"ddd")</f>
        <v>piektd</v>
      </c>
      <c r="AD5" s="2" t="str">
        <f>TEXT(WEEKDAY(DATE(KalendāraGads,9,28),1),"ddd")</f>
        <v>sestd</v>
      </c>
      <c r="AE5" s="2" t="str">
        <f>TEXT(WEEKDAY(DATE(KalendāraGads,9,29),1),"ddd")</f>
        <v>svētd</v>
      </c>
      <c r="AF5" s="2" t="str">
        <f>TEXT(WEEKDAY(DATE(KalendāraGads,9,30),1),"ddd")</f>
        <v>pirmd</v>
      </c>
      <c r="AG5" s="2"/>
      <c r="AH5" s="12"/>
    </row>
    <row r="6" spans="2:34" ht="15" customHeight="1" x14ac:dyDescent="0.25">
      <c r="B6" s="15" t="s">
        <v>3</v>
      </c>
      <c r="C6" s="3" t="s">
        <v>10</v>
      </c>
      <c r="D6" s="3" t="s">
        <v>12</v>
      </c>
      <c r="E6" s="3" t="s">
        <v>13</v>
      </c>
      <c r="F6" s="3" t="s">
        <v>15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6" t="s">
        <v>49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COUNTA(Septembris[[#This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COUNTA(Septembris[[#This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COUNTA(Septembris[[#This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COUNTA(Septembris[[#This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COUNTA(Septembris[[#This Row],[1]:[30]])</f>
        <v>0</v>
      </c>
    </row>
    <row r="12" spans="2:34" ht="30" customHeight="1" x14ac:dyDescent="0.25">
      <c r="B12" s="21" t="str">
        <f>MēnešaNosaukums&amp;" Kopā"</f>
        <v>Septembris Kopā</v>
      </c>
      <c r="C12" s="13">
        <f>SUBTOTAL(103,Septembris[1])</f>
        <v>0</v>
      </c>
      <c r="D12" s="13">
        <f>SUBTOTAL(103,Septembris[2])</f>
        <v>0</v>
      </c>
      <c r="E12" s="13">
        <f>SUBTOTAL(103,Septembris[3])</f>
        <v>0</v>
      </c>
      <c r="F12" s="13">
        <f>SUBTOTAL(103,Septembris[4])</f>
        <v>0</v>
      </c>
      <c r="G12" s="13">
        <f>SUBTOTAL(103,Septembris[5])</f>
        <v>0</v>
      </c>
      <c r="H12" s="13">
        <f>SUBTOTAL(103,Septembris[6])</f>
        <v>0</v>
      </c>
      <c r="I12" s="13">
        <f>SUBTOTAL(103,Septembris[7])</f>
        <v>0</v>
      </c>
      <c r="J12" s="13">
        <f>SUBTOTAL(103,Septembris[8])</f>
        <v>0</v>
      </c>
      <c r="K12" s="13">
        <f>SUBTOTAL(103,Septembris[9])</f>
        <v>0</v>
      </c>
      <c r="L12" s="13">
        <f>SUBTOTAL(103,Septembris[10])</f>
        <v>0</v>
      </c>
      <c r="M12" s="13">
        <f>SUBTOTAL(103,Septembris[11])</f>
        <v>0</v>
      </c>
      <c r="N12" s="13">
        <f>SUBTOTAL(103,Septembris[12])</f>
        <v>0</v>
      </c>
      <c r="O12" s="13">
        <f>SUBTOTAL(103,Septembris[13])</f>
        <v>0</v>
      </c>
      <c r="P12" s="13">
        <f>SUBTOTAL(103,Septembris[14])</f>
        <v>0</v>
      </c>
      <c r="Q12" s="13">
        <f>SUBTOTAL(103,Septembris[15])</f>
        <v>0</v>
      </c>
      <c r="R12" s="13">
        <f>SUBTOTAL(103,Septembris[16])</f>
        <v>0</v>
      </c>
      <c r="S12" s="13">
        <f>SUBTOTAL(103,Septembris[17])</f>
        <v>0</v>
      </c>
      <c r="T12" s="13">
        <f>SUBTOTAL(103,Septembris[18])</f>
        <v>0</v>
      </c>
      <c r="U12" s="13">
        <f>SUBTOTAL(103,Septembris[19])</f>
        <v>0</v>
      </c>
      <c r="V12" s="13">
        <f>SUBTOTAL(103,Septembris[20])</f>
        <v>0</v>
      </c>
      <c r="W12" s="13">
        <f>SUBTOTAL(103,Septembris[21])</f>
        <v>0</v>
      </c>
      <c r="X12" s="13">
        <f>SUBTOTAL(103,Septembris[22])</f>
        <v>0</v>
      </c>
      <c r="Y12" s="13">
        <f>SUBTOTAL(103,Septembris[23])</f>
        <v>0</v>
      </c>
      <c r="Z12" s="13">
        <f>SUBTOTAL(103,Septembris[24])</f>
        <v>0</v>
      </c>
      <c r="AA12" s="13">
        <f>SUBTOTAL(103,Septembris[25])</f>
        <v>0</v>
      </c>
      <c r="AB12" s="13">
        <f>SUBTOTAL(103,Septembris[26])</f>
        <v>0</v>
      </c>
      <c r="AC12" s="13">
        <f>SUBTOTAL(103,Septembris[27])</f>
        <v>0</v>
      </c>
      <c r="AD12" s="13">
        <f>SUBTOTAL(103,Septembris[28])</f>
        <v>0</v>
      </c>
      <c r="AE12" s="13">
        <f>SUBTOTAL(103,Septembris[29])</f>
        <v>0</v>
      </c>
      <c r="AF12" s="13">
        <f>SUBTOTAL(103,Septembris[30])</f>
        <v>0</v>
      </c>
      <c r="AG12" s="13">
        <f>SUBTOTAL(103,Septembris[[ ]])</f>
        <v>0</v>
      </c>
      <c r="AH12" s="13">
        <f>SUBTOTAL(109,Septembris[Dienu kopskaits])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295" priority="2" stopIfTrue="1">
      <formula>C7=PielāgotaAtslēga2</formula>
    </cfRule>
    <cfRule type="expression" dxfId="294" priority="3" stopIfTrue="1">
      <formula>C7=PielāgotaAtslēga1</formula>
    </cfRule>
    <cfRule type="expression" dxfId="293" priority="4" stopIfTrue="1">
      <formula>C7=AtslēgaSlimība</formula>
    </cfRule>
    <cfRule type="expression" dxfId="292" priority="5" stopIfTrue="1">
      <formula>C7=AtslēgaPersonisks</formula>
    </cfRule>
    <cfRule type="expression" dxfId="291" priority="6" stopIfTrue="1">
      <formula>C7=AtslēgaAtvaļinājums</formula>
    </cfRule>
  </conditionalFormatting>
  <conditionalFormatting sqref="AH7:AH11">
    <cfRule type="dataBar" priority="7">
      <dataBar>
        <cfvo type="min"/>
        <cfvo type="formula" val="DATEDIF(DATE(KalendāraGads,2,1),DATE(KalendāraGads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Mēneša dienas šajā rindā tiek ģenerētas automātiski. Ievadiet darbinieka prombūtni un prombūtnes tipu katrā kolonnā katrai mēneša dienai. Tukšs nozīmē, ka nav kavējumu" sqref="C6" xr:uid="{00000000-0002-0000-0800-000000000000}"/>
    <dataValidation allowBlank="1" showInputMessage="1" showErrorMessage="1" prompt="Šī prombūtnes grafika mēneša nosaukums ir šajā šūnā. Prombūtnes kopsummas par šo mēnesi ir tabulas pēdējā šūnā. Atlasiet darbinieku vārdus tabulas kolonnā B" sqref="B4" xr:uid="{00000000-0002-0000-0800-000001000000}"/>
    <dataValidation allowBlank="1" showInputMessage="1" showErrorMessage="1" prompt="Šī rinda definē tabulā izmantotās atslēgas: šūna C2 ir Atvaļinājums, G2 ir Personisks un K2 ir Slimības lapa. Šūnas N2 un R2 ir pielāgojamas " sqref="B2" xr:uid="{00000000-0002-0000-0800-000002000000}"/>
    <dataValidation allowBlank="1" showInputMessage="1" showErrorMessage="1" prompt="Ievadiet etiķeti, lai aprakstītu pielāgoto atslēgu pa kreisi" sqref="O2:Q2 S2:U2" xr:uid="{00000000-0002-0000-0800-000003000000}"/>
    <dataValidation allowBlank="1" showInputMessage="1" showErrorMessage="1" prompt="Ievadiet burtu un pielāgojiet etiķeti pa labi, lai pievienotu citu atslēgas vienumu" sqref="N2 R2" xr:uid="{00000000-0002-0000-0800-000004000000}"/>
    <dataValidation allowBlank="1" showInputMessage="1" showErrorMessage="1" prompt="Burts “S” norāda prombūtni slimības dēļ" sqref="K2" xr:uid="{00000000-0002-0000-0800-000005000000}"/>
    <dataValidation allowBlank="1" showInputMessage="1" showErrorMessage="1" prompt="Burts “P” norāda prombūtni personisku iemeslu dēļ" sqref="G2" xr:uid="{00000000-0002-0000-0800-000006000000}"/>
    <dataValidation allowBlank="1" showInputMessage="1" showErrorMessage="1" prompt="Burts “A” norāda prombūtni atvaļinājuma dēļ" sqref="C2" xr:uid="{00000000-0002-0000-0800-000007000000}"/>
    <dataValidation allowBlank="1" showInputMessage="1" showErrorMessage="1" prompt="Automātiski atjauninātais nosaukums ir šajā šūnā. Lai modificētu nosaukumu, atjauniniet šūnu B1 janvāra darblapā" sqref="B1" xr:uid="{00000000-0002-0000-0800-000008000000}"/>
    <dataValidation errorStyle="warning" allowBlank="1" showInputMessage="1" showErrorMessage="1" error="Atlasiet vārdu/nosaukumu sarakstā. Atlasiet ATCELT, pēc tam nospiediet taustiņu kombināciju ALT+lejupvērstā bultiņa, un pēc tam nospiediet taustiņu ENTER, lai atlasītu vārdu" prompt="Ievadiet darbinieku vārdus darblapā darbinieku nosaukumi, pēc tam atlasiet kādu no šiem vārdiem šajā kolonnā sarakstā. Nospiediet taustiņu kombināciju ALT+lejupvērstā bultiņa, un pēc tam nospiediet taustiņu ENTER, lai atlasītu vārdu" sqref="B6" xr:uid="{00000000-0002-0000-0800-000009000000}"/>
    <dataValidation allowBlank="1" showInputMessage="1" showErrorMessage="1" prompt="Sekojiet septembra prombūtnei šajā darblapā" sqref="A1" xr:uid="{00000000-0002-0000-0800-00000A000000}"/>
    <dataValidation allowBlank="1" showInputMessage="1" showErrorMessage="1" prompt="Automātiski aprēķina kopējo dienu skaitu, kad darbinieks ir bijis prombūtnē šajā mēnesī, šajā kolonnā" sqref="AH6" xr:uid="{00000000-0002-0000-0800-00000B000000}"/>
    <dataValidation allowBlank="1" showInputMessage="1" showErrorMessage="1" prompt="Automātiski atjaunināts gads, ņemot vērā gadu, kas ievadīts janvāra darblapā" sqref="AH4" xr:uid="{00000000-0002-0000-0800-00000C000000}"/>
    <dataValidation allowBlank="1" showInputMessage="1" showErrorMessage="1" prompt="Nedēļas dienas šajā rindā tiek automātiski atjauninātas mēnesim atbilstoši gadam šūnā AH4. Katra mēneša diena ir kolonna, kur atzīmēt darbinieka prombūtni un prombūtnes tipu" sqref="C5" xr:uid="{00000000-0002-0000-0800-00000D000000}"/>
  </dataValidations>
  <printOptions horizontalCentered="1"/>
  <pageMargins left="0.25" right="0.25" top="0.75" bottom="0.75" header="0.3" footer="0.3"/>
  <pageSetup paperSize="9" scale="52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DATEDIF(DATE(KalendāraGads,2,1),DATE(KalendāraGads,3,1),"d")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'Darbinieku vārdi'!$B$4:$B$8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13</vt:i4>
      </vt:variant>
      <vt:variant>
        <vt:lpstr>Diapazoni ar nosaukumiem</vt:lpstr>
      </vt:variant>
      <vt:variant>
        <vt:i4>50</vt:i4>
      </vt:variant>
    </vt:vector>
  </HeadingPairs>
  <TitlesOfParts>
    <vt:vector size="63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  <vt:lpstr>Darbinieku vārdi</vt:lpstr>
      <vt:lpstr>AtslēgaAtvaļinājums</vt:lpstr>
      <vt:lpstr>AtslēgaAtvaļinājumsEtiķete</vt:lpstr>
      <vt:lpstr>AtslēgaPersonisks</vt:lpstr>
      <vt:lpstr>AtslēgaPersonisksEtiķete</vt:lpstr>
      <vt:lpstr>Atslēgas_nosaukums</vt:lpstr>
      <vt:lpstr>AtslēgaSlimība</vt:lpstr>
      <vt:lpstr>AtslēgaSlimībaEtiķete</vt:lpstr>
      <vt:lpstr>Darbinieka_prombūtnes_nosaukums</vt:lpstr>
      <vt:lpstr>Aprīlis!Drukāt_virsrakstus</vt:lpstr>
      <vt:lpstr>Augusts!Drukāt_virsrakstus</vt:lpstr>
      <vt:lpstr>Decembris!Drukāt_virsrakstus</vt:lpstr>
      <vt:lpstr>Februāris!Drukāt_virsrakstus</vt:lpstr>
      <vt:lpstr>Janvāris!Drukāt_virsrakstus</vt:lpstr>
      <vt:lpstr>Jūlijs!Drukāt_virsrakstus</vt:lpstr>
      <vt:lpstr>Jūnijs!Drukāt_virsrakstus</vt:lpstr>
      <vt:lpstr>Maijs!Drukāt_virsrakstus</vt:lpstr>
      <vt:lpstr>Marts!Drukāt_virsrakstus</vt:lpstr>
      <vt:lpstr>Novembris!Drukāt_virsrakstus</vt:lpstr>
      <vt:lpstr>Oktobris!Drukāt_virsrakstus</vt:lpstr>
      <vt:lpstr>Septembris!Drukāt_virsrakstus</vt:lpstr>
      <vt:lpstr>KalendāraGads</vt:lpstr>
      <vt:lpstr>KolonnasNosaukums13</vt:lpstr>
      <vt:lpstr>Aprīlis!MēnešaNosaukums</vt:lpstr>
      <vt:lpstr>Augusts!MēnešaNosaukums</vt:lpstr>
      <vt:lpstr>Decembris!MēnešaNosaukums</vt:lpstr>
      <vt:lpstr>Februāris!MēnešaNosaukums</vt:lpstr>
      <vt:lpstr>Janvāris!MēnešaNosaukums</vt:lpstr>
      <vt:lpstr>Jūlijs!MēnešaNosaukums</vt:lpstr>
      <vt:lpstr>Jūnijs!MēnešaNosaukums</vt:lpstr>
      <vt:lpstr>Maijs!MēnešaNosaukums</vt:lpstr>
      <vt:lpstr>Marts!MēnešaNosaukums</vt:lpstr>
      <vt:lpstr>Novembris!MēnešaNosaukums</vt:lpstr>
      <vt:lpstr>Oktobris!MēnešaNosaukums</vt:lpstr>
      <vt:lpstr>Septembris!MēnešaNosaukums</vt:lpstr>
      <vt:lpstr>PielāgotaAtslēga1</vt:lpstr>
      <vt:lpstr>PielāgotaAtslēga1Etiķete</vt:lpstr>
      <vt:lpstr>PielāgotaAtslēga2</vt:lpstr>
      <vt:lpstr>PielāgotaAtslēga2Etiķete</vt:lpstr>
      <vt:lpstr>Virsraksts_1</vt:lpstr>
      <vt:lpstr>Virsraksts_10</vt:lpstr>
      <vt:lpstr>Virsraksts_11</vt:lpstr>
      <vt:lpstr>Virsraksts_12</vt:lpstr>
      <vt:lpstr>Virsraksts_2</vt:lpstr>
      <vt:lpstr>Virsraksts_3</vt:lpstr>
      <vt:lpstr>Virsraksts_4</vt:lpstr>
      <vt:lpstr>Virsraksts_5</vt:lpstr>
      <vt:lpstr>Virsraksts_6</vt:lpstr>
      <vt:lpstr>Virsraksts_7</vt:lpstr>
      <vt:lpstr>Virsraksts_8</vt:lpstr>
      <vt:lpstr>Virsraksts_9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2016-12-06T04:52:27Z</dcterms:created>
  <dcterms:modified xsi:type="dcterms:W3CDTF">2019-07-25T07:26:31Z</dcterms:modified>
</cp:coreProperties>
</file>