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807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d.docs.live.net/39d36f27ee7502b0/WordTech_20190604_Accessibility_Excel_Q4_B12/04_PreDTP_Done/cs-CZ/"/>
    </mc:Choice>
  </mc:AlternateContent>
  <xr:revisionPtr revIDLastSave="0" documentId="13_ncr:3_{3D6F2ABB-FC46-4040-AF90-EC41B7E6062F}" xr6:coauthVersionLast="43" xr6:coauthVersionMax="43" xr10:uidLastSave="{00000000-0000-0000-0000-000000000000}"/>
  <bookViews>
    <workbookView xWindow="-120" yWindow="-120" windowWidth="28890" windowHeight="14415" xr2:uid="{00000000-000D-0000-FFFF-FFFF00000000}"/>
  </bookViews>
  <sheets>
    <sheet name="Roční kalendář" sheetId="1" r:id="rId1"/>
  </sheets>
  <definedNames>
    <definedName name="Ne1Bře">DATE(RokKalendáře,3,1)-WEEKDAY(DATE(RokKalendáře,3,1))+1</definedName>
    <definedName name="Ne1Čer">DATE(RokKalendáře,6,1)-WEEKDAY(DATE(RokKalendáře,6,1))+1</definedName>
    <definedName name="Ne1Čvc">DATE(RokKalendáře,7,1)-WEEKDAY(DATE(RokKalendáře,7,1))+1</definedName>
    <definedName name="Ne1Dub">DATE(RokKalendáře,4,1)-WEEKDAY(DATE(RokKalendáře,4,1))+1</definedName>
    <definedName name="Ne1Kvě">DATE(RokKalendáře,5,1)-WEEKDAY(DATE(RokKalendáře,5,1))+1</definedName>
    <definedName name="Ne1Led">DATE(RokKalendáře,1,1)-WEEKDAY(DATE(RokKalendáře,1,1))+1</definedName>
    <definedName name="Ne1Lis">DATE(RokKalendáře,11,1)-WEEKDAY(DATE(RokKalendáře,11,1))+1</definedName>
    <definedName name="Ne1Pro">DATE(RokKalendáře,12,1)-WEEKDAY(DATE(RokKalendáře,12,1))+1</definedName>
    <definedName name="Ne1Říj">DATE(RokKalendáře,10,1)-WEEKDAY(DATE(RokKalendáře,10,1))+1</definedName>
    <definedName name="Ne1Srp">DATE(RokKalendáře,8,1)-WEEKDAY(DATE(RokKalendáře,8,1))+1</definedName>
    <definedName name="Ne1Úno">DATE(RokKalendáře,2,1)-WEEKDAY(DATE(RokKalendáře,2,1))+1</definedName>
    <definedName name="Ne1Zář">DATE(RokKalendáře,9,1)-WEEKDAY(DATE(RokKalendáře,9,1))+1</definedName>
    <definedName name="_xlnm.Print_Area" localSheetId="0">'Roční kalendář'!$B$1:$W$55</definedName>
    <definedName name="RokKalendáře">'Roční kalendář'!$C$1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" i="1" l="1"/>
  <c r="Q55" i="1" l="1"/>
  <c r="P55" i="1"/>
  <c r="O55" i="1"/>
  <c r="N55" i="1"/>
  <c r="M55" i="1"/>
  <c r="L55" i="1"/>
  <c r="K55" i="1"/>
  <c r="Q54" i="1"/>
  <c r="P54" i="1"/>
  <c r="O54" i="1"/>
  <c r="N54" i="1"/>
  <c r="M54" i="1"/>
  <c r="L54" i="1"/>
  <c r="K54" i="1"/>
  <c r="Q53" i="1"/>
  <c r="P53" i="1"/>
  <c r="O53" i="1"/>
  <c r="N53" i="1"/>
  <c r="M53" i="1"/>
  <c r="L53" i="1"/>
  <c r="K53" i="1"/>
  <c r="Q52" i="1"/>
  <c r="P52" i="1"/>
  <c r="O52" i="1"/>
  <c r="N52" i="1"/>
  <c r="M52" i="1"/>
  <c r="L52" i="1"/>
  <c r="K52" i="1"/>
  <c r="Q51" i="1"/>
  <c r="P51" i="1"/>
  <c r="O51" i="1"/>
  <c r="N51" i="1"/>
  <c r="M51" i="1"/>
  <c r="L51" i="1"/>
  <c r="K51" i="1"/>
  <c r="Q50" i="1"/>
  <c r="P50" i="1"/>
  <c r="O50" i="1"/>
  <c r="N50" i="1"/>
  <c r="M50" i="1"/>
  <c r="L50" i="1"/>
  <c r="K50" i="1"/>
  <c r="I55" i="1"/>
  <c r="H55" i="1"/>
  <c r="G55" i="1"/>
  <c r="F55" i="1"/>
  <c r="E55" i="1"/>
  <c r="D55" i="1"/>
  <c r="C55" i="1"/>
  <c r="I54" i="1"/>
  <c r="H54" i="1"/>
  <c r="G54" i="1"/>
  <c r="F54" i="1"/>
  <c r="E54" i="1"/>
  <c r="D54" i="1"/>
  <c r="C54" i="1"/>
  <c r="I53" i="1"/>
  <c r="H53" i="1"/>
  <c r="G53" i="1"/>
  <c r="F53" i="1"/>
  <c r="E53" i="1"/>
  <c r="D53" i="1"/>
  <c r="C53" i="1"/>
  <c r="I52" i="1"/>
  <c r="H52" i="1"/>
  <c r="G52" i="1"/>
  <c r="F52" i="1"/>
  <c r="E52" i="1"/>
  <c r="D52" i="1"/>
  <c r="C52" i="1"/>
  <c r="I51" i="1"/>
  <c r="H51" i="1"/>
  <c r="G51" i="1"/>
  <c r="F51" i="1"/>
  <c r="E51" i="1"/>
  <c r="D51" i="1"/>
  <c r="C51" i="1"/>
  <c r="I50" i="1"/>
  <c r="H50" i="1"/>
  <c r="G50" i="1"/>
  <c r="F50" i="1"/>
  <c r="E50" i="1"/>
  <c r="D50" i="1"/>
  <c r="C50" i="1"/>
  <c r="Q46" i="1"/>
  <c r="P46" i="1"/>
  <c r="O46" i="1"/>
  <c r="N46" i="1"/>
  <c r="M46" i="1"/>
  <c r="L46" i="1"/>
  <c r="K46" i="1"/>
  <c r="Q45" i="1"/>
  <c r="P45" i="1"/>
  <c r="O45" i="1"/>
  <c r="N45" i="1"/>
  <c r="M45" i="1"/>
  <c r="L45" i="1"/>
  <c r="K45" i="1"/>
  <c r="Q44" i="1"/>
  <c r="P44" i="1"/>
  <c r="O44" i="1"/>
  <c r="N44" i="1"/>
  <c r="M44" i="1"/>
  <c r="L44" i="1"/>
  <c r="K44" i="1"/>
  <c r="Q43" i="1"/>
  <c r="P43" i="1"/>
  <c r="O43" i="1"/>
  <c r="N43" i="1"/>
  <c r="M43" i="1"/>
  <c r="L43" i="1"/>
  <c r="K43" i="1"/>
  <c r="Q42" i="1"/>
  <c r="P42" i="1"/>
  <c r="O42" i="1"/>
  <c r="N42" i="1"/>
  <c r="M42" i="1"/>
  <c r="L42" i="1"/>
  <c r="K42" i="1"/>
  <c r="Q41" i="1"/>
  <c r="P41" i="1"/>
  <c r="O41" i="1"/>
  <c r="N41" i="1"/>
  <c r="M41" i="1"/>
  <c r="L41" i="1"/>
  <c r="K41" i="1"/>
  <c r="I46" i="1"/>
  <c r="H46" i="1"/>
  <c r="G46" i="1"/>
  <c r="F46" i="1"/>
  <c r="E46" i="1"/>
  <c r="D46" i="1"/>
  <c r="C46" i="1"/>
  <c r="I45" i="1"/>
  <c r="H45" i="1"/>
  <c r="G45" i="1"/>
  <c r="F45" i="1"/>
  <c r="E45" i="1"/>
  <c r="D45" i="1"/>
  <c r="C45" i="1"/>
  <c r="I44" i="1"/>
  <c r="H44" i="1"/>
  <c r="G44" i="1"/>
  <c r="F44" i="1"/>
  <c r="E44" i="1"/>
  <c r="D44" i="1"/>
  <c r="C44" i="1"/>
  <c r="I43" i="1"/>
  <c r="H43" i="1"/>
  <c r="G43" i="1"/>
  <c r="F43" i="1"/>
  <c r="E43" i="1"/>
  <c r="D43" i="1"/>
  <c r="C43" i="1"/>
  <c r="I42" i="1"/>
  <c r="H42" i="1"/>
  <c r="G42" i="1"/>
  <c r="F42" i="1"/>
  <c r="E42" i="1"/>
  <c r="D42" i="1"/>
  <c r="C42" i="1"/>
  <c r="I41" i="1"/>
  <c r="H41" i="1"/>
  <c r="G41" i="1"/>
  <c r="F41" i="1"/>
  <c r="E41" i="1"/>
  <c r="D41" i="1"/>
  <c r="C41" i="1"/>
  <c r="Q37" i="1"/>
  <c r="P37" i="1"/>
  <c r="O37" i="1"/>
  <c r="N37" i="1"/>
  <c r="M37" i="1"/>
  <c r="L37" i="1"/>
  <c r="K37" i="1"/>
  <c r="Q36" i="1"/>
  <c r="P36" i="1"/>
  <c r="O36" i="1"/>
  <c r="N36" i="1"/>
  <c r="M36" i="1"/>
  <c r="L36" i="1"/>
  <c r="K36" i="1"/>
  <c r="Q35" i="1"/>
  <c r="P35" i="1"/>
  <c r="O35" i="1"/>
  <c r="N35" i="1"/>
  <c r="M35" i="1"/>
  <c r="L35" i="1"/>
  <c r="K35" i="1"/>
  <c r="Q34" i="1"/>
  <c r="P34" i="1"/>
  <c r="O34" i="1"/>
  <c r="N34" i="1"/>
  <c r="M34" i="1"/>
  <c r="L34" i="1"/>
  <c r="K34" i="1"/>
  <c r="Q33" i="1"/>
  <c r="P33" i="1"/>
  <c r="O33" i="1"/>
  <c r="N33" i="1"/>
  <c r="M33" i="1"/>
  <c r="L33" i="1"/>
  <c r="K33" i="1"/>
  <c r="Q32" i="1"/>
  <c r="P32" i="1"/>
  <c r="O32" i="1"/>
  <c r="N32" i="1"/>
  <c r="M32" i="1"/>
  <c r="L32" i="1"/>
  <c r="K32" i="1"/>
  <c r="I37" i="1"/>
  <c r="H37" i="1"/>
  <c r="G37" i="1"/>
  <c r="F37" i="1"/>
  <c r="E37" i="1"/>
  <c r="D37" i="1"/>
  <c r="C37" i="1"/>
  <c r="I36" i="1"/>
  <c r="H36" i="1"/>
  <c r="G36" i="1"/>
  <c r="F36" i="1"/>
  <c r="E36" i="1"/>
  <c r="D36" i="1"/>
  <c r="C36" i="1"/>
  <c r="I35" i="1"/>
  <c r="H35" i="1"/>
  <c r="G35" i="1"/>
  <c r="F35" i="1"/>
  <c r="E35" i="1"/>
  <c r="D35" i="1"/>
  <c r="C35" i="1"/>
  <c r="I34" i="1"/>
  <c r="H34" i="1"/>
  <c r="G34" i="1"/>
  <c r="F34" i="1"/>
  <c r="E34" i="1"/>
  <c r="D34" i="1"/>
  <c r="C34" i="1"/>
  <c r="I33" i="1"/>
  <c r="H33" i="1"/>
  <c r="G33" i="1"/>
  <c r="F33" i="1"/>
  <c r="E33" i="1"/>
  <c r="D33" i="1"/>
  <c r="C33" i="1"/>
  <c r="I32" i="1"/>
  <c r="H32" i="1"/>
  <c r="G32" i="1"/>
  <c r="F32" i="1"/>
  <c r="E32" i="1"/>
  <c r="D32" i="1"/>
  <c r="C32" i="1"/>
  <c r="Q28" i="1"/>
  <c r="P28" i="1"/>
  <c r="O28" i="1"/>
  <c r="N28" i="1"/>
  <c r="M28" i="1"/>
  <c r="L28" i="1"/>
  <c r="K28" i="1"/>
  <c r="Q27" i="1"/>
  <c r="P27" i="1"/>
  <c r="O27" i="1"/>
  <c r="N27" i="1"/>
  <c r="M27" i="1"/>
  <c r="L27" i="1"/>
  <c r="K27" i="1"/>
  <c r="Q26" i="1"/>
  <c r="P26" i="1"/>
  <c r="O26" i="1"/>
  <c r="N26" i="1"/>
  <c r="M26" i="1"/>
  <c r="L26" i="1"/>
  <c r="K26" i="1"/>
  <c r="Q25" i="1"/>
  <c r="P25" i="1"/>
  <c r="O25" i="1"/>
  <c r="N25" i="1"/>
  <c r="M25" i="1"/>
  <c r="L25" i="1"/>
  <c r="K25" i="1"/>
  <c r="Q24" i="1"/>
  <c r="P24" i="1"/>
  <c r="O24" i="1"/>
  <c r="N24" i="1"/>
  <c r="M24" i="1"/>
  <c r="L24" i="1"/>
  <c r="K24" i="1"/>
  <c r="Q23" i="1"/>
  <c r="P23" i="1"/>
  <c r="O23" i="1"/>
  <c r="N23" i="1"/>
  <c r="M23" i="1"/>
  <c r="L23" i="1"/>
  <c r="K23" i="1"/>
  <c r="I28" i="1"/>
  <c r="H28" i="1"/>
  <c r="G28" i="1"/>
  <c r="F28" i="1"/>
  <c r="E28" i="1"/>
  <c r="D28" i="1"/>
  <c r="C28" i="1"/>
  <c r="I27" i="1"/>
  <c r="H27" i="1"/>
  <c r="G27" i="1"/>
  <c r="F27" i="1"/>
  <c r="E27" i="1"/>
  <c r="D27" i="1"/>
  <c r="C27" i="1"/>
  <c r="I26" i="1"/>
  <c r="H26" i="1"/>
  <c r="G26" i="1"/>
  <c r="F26" i="1"/>
  <c r="E26" i="1"/>
  <c r="D26" i="1"/>
  <c r="C26" i="1"/>
  <c r="I25" i="1"/>
  <c r="H25" i="1"/>
  <c r="G25" i="1"/>
  <c r="F25" i="1"/>
  <c r="E25" i="1"/>
  <c r="D25" i="1"/>
  <c r="C25" i="1"/>
  <c r="I24" i="1"/>
  <c r="H24" i="1"/>
  <c r="G24" i="1"/>
  <c r="F24" i="1"/>
  <c r="E24" i="1"/>
  <c r="D24" i="1"/>
  <c r="C24" i="1"/>
  <c r="I23" i="1"/>
  <c r="H23" i="1"/>
  <c r="G23" i="1"/>
  <c r="F23" i="1"/>
  <c r="E23" i="1"/>
  <c r="D23" i="1"/>
  <c r="C23" i="1"/>
  <c r="Q19" i="1"/>
  <c r="P19" i="1"/>
  <c r="O19" i="1"/>
  <c r="N19" i="1"/>
  <c r="M19" i="1"/>
  <c r="L19" i="1"/>
  <c r="K19" i="1"/>
  <c r="Q18" i="1"/>
  <c r="P18" i="1"/>
  <c r="O18" i="1"/>
  <c r="N18" i="1"/>
  <c r="M18" i="1"/>
  <c r="L18" i="1"/>
  <c r="K18" i="1"/>
  <c r="Q17" i="1"/>
  <c r="P17" i="1"/>
  <c r="O17" i="1"/>
  <c r="N17" i="1"/>
  <c r="M17" i="1"/>
  <c r="L17" i="1"/>
  <c r="K17" i="1"/>
  <c r="Q16" i="1"/>
  <c r="P16" i="1"/>
  <c r="O16" i="1"/>
  <c r="N16" i="1"/>
  <c r="M16" i="1"/>
  <c r="L16" i="1"/>
  <c r="K16" i="1"/>
  <c r="Q15" i="1"/>
  <c r="P15" i="1"/>
  <c r="O15" i="1"/>
  <c r="N15" i="1"/>
  <c r="M15" i="1"/>
  <c r="L15" i="1"/>
  <c r="K15" i="1"/>
  <c r="Q14" i="1"/>
  <c r="P14" i="1"/>
  <c r="O14" i="1"/>
  <c r="N14" i="1"/>
  <c r="M14" i="1"/>
  <c r="L14" i="1"/>
  <c r="K14" i="1"/>
  <c r="I19" i="1"/>
  <c r="H19" i="1"/>
  <c r="G19" i="1"/>
  <c r="F19" i="1"/>
  <c r="E19" i="1"/>
  <c r="D19" i="1"/>
  <c r="C19" i="1"/>
  <c r="I18" i="1"/>
  <c r="H18" i="1"/>
  <c r="G18" i="1"/>
  <c r="F18" i="1"/>
  <c r="E18" i="1"/>
  <c r="D18" i="1"/>
  <c r="C18" i="1"/>
  <c r="I17" i="1"/>
  <c r="H17" i="1"/>
  <c r="G17" i="1"/>
  <c r="F17" i="1"/>
  <c r="E17" i="1"/>
  <c r="D17" i="1"/>
  <c r="C17" i="1"/>
  <c r="I16" i="1"/>
  <c r="H16" i="1"/>
  <c r="G16" i="1"/>
  <c r="F16" i="1"/>
  <c r="E16" i="1"/>
  <c r="D16" i="1"/>
  <c r="C16" i="1"/>
  <c r="I15" i="1"/>
  <c r="H15" i="1"/>
  <c r="G15" i="1"/>
  <c r="F15" i="1"/>
  <c r="E15" i="1"/>
  <c r="D15" i="1"/>
  <c r="C15" i="1"/>
  <c r="I14" i="1"/>
  <c r="H14" i="1"/>
  <c r="G14" i="1"/>
  <c r="F14" i="1"/>
  <c r="E14" i="1"/>
  <c r="D14" i="1"/>
  <c r="C14" i="1"/>
  <c r="Q10" i="1"/>
  <c r="P10" i="1"/>
  <c r="O10" i="1"/>
  <c r="N10" i="1"/>
  <c r="M10" i="1"/>
  <c r="L10" i="1"/>
  <c r="K10" i="1"/>
  <c r="Q9" i="1"/>
  <c r="P9" i="1"/>
  <c r="O9" i="1"/>
  <c r="N9" i="1"/>
  <c r="M9" i="1"/>
  <c r="L9" i="1"/>
  <c r="K9" i="1"/>
  <c r="Q8" i="1"/>
  <c r="P8" i="1"/>
  <c r="O8" i="1"/>
  <c r="N8" i="1"/>
  <c r="M8" i="1"/>
  <c r="L8" i="1"/>
  <c r="K8" i="1"/>
  <c r="Q7" i="1"/>
  <c r="P7" i="1"/>
  <c r="O7" i="1"/>
  <c r="N7" i="1"/>
  <c r="M7" i="1"/>
  <c r="L7" i="1"/>
  <c r="K7" i="1"/>
  <c r="Q6" i="1"/>
  <c r="P6" i="1"/>
  <c r="O6" i="1"/>
  <c r="N6" i="1"/>
  <c r="M6" i="1"/>
  <c r="L6" i="1"/>
  <c r="K6" i="1"/>
  <c r="Q5" i="1"/>
  <c r="P5" i="1"/>
  <c r="O5" i="1"/>
  <c r="N5" i="1"/>
  <c r="M5" i="1"/>
  <c r="L5" i="1"/>
  <c r="K5" i="1"/>
  <c r="I10" i="1"/>
  <c r="H10" i="1"/>
  <c r="G10" i="1"/>
  <c r="F10" i="1"/>
  <c r="E10" i="1"/>
  <c r="D10" i="1"/>
  <c r="C10" i="1"/>
  <c r="I9" i="1"/>
  <c r="H9" i="1"/>
  <c r="G9" i="1"/>
  <c r="F9" i="1"/>
  <c r="E9" i="1"/>
  <c r="D9" i="1"/>
  <c r="C9" i="1"/>
  <c r="I8" i="1"/>
  <c r="H8" i="1"/>
  <c r="G8" i="1"/>
  <c r="F8" i="1"/>
  <c r="E8" i="1"/>
  <c r="D8" i="1"/>
  <c r="C8" i="1"/>
  <c r="I7" i="1"/>
  <c r="H7" i="1"/>
  <c r="G7" i="1"/>
  <c r="F7" i="1"/>
  <c r="E7" i="1"/>
  <c r="D7" i="1"/>
  <c r="C7" i="1"/>
  <c r="I6" i="1"/>
  <c r="H6" i="1"/>
  <c r="G6" i="1"/>
  <c r="F6" i="1"/>
  <c r="E6" i="1"/>
  <c r="D6" i="1"/>
  <c r="C6" i="1"/>
  <c r="I5" i="1"/>
  <c r="H5" i="1"/>
  <c r="G5" i="1"/>
  <c r="F5" i="1"/>
  <c r="E5" i="1"/>
  <c r="D5" i="1"/>
  <c r="C5" i="1"/>
</calcChain>
</file>

<file path=xl/sharedStrings.xml><?xml version="1.0" encoding="utf-8"?>
<sst xmlns="http://schemas.openxmlformats.org/spreadsheetml/2006/main" count="108" uniqueCount="29">
  <si>
    <t>LEDEN</t>
  </si>
  <si>
    <t>P</t>
  </si>
  <si>
    <t>BŘEZEN</t>
  </si>
  <si>
    <t>KVĚTEN</t>
  </si>
  <si>
    <t>ČERVENEC</t>
  </si>
  <si>
    <t>ZÁŘÍ</t>
  </si>
  <si>
    <t>LISTOPAD</t>
  </si>
  <si>
    <t>Ú</t>
  </si>
  <si>
    <t>Č</t>
  </si>
  <si>
    <t>S</t>
  </si>
  <si>
    <t>N</t>
  </si>
  <si>
    <t>ÚNOR</t>
  </si>
  <si>
    <t>DUBEN</t>
  </si>
  <si>
    <t>ČERVEN</t>
  </si>
  <si>
    <t>SRPEN</t>
  </si>
  <si>
    <t>ŘÍJEN</t>
  </si>
  <si>
    <t>PROSINEC</t>
  </si>
  <si>
    <t>DŮLEŽITÁ DATA</t>
  </si>
  <si>
    <t>1. LEDNA</t>
  </si>
  <si>
    <t>NOVÝ ROK</t>
  </si>
  <si>
    <t>14. ÚNORA</t>
  </si>
  <si>
    <t>VALENTÝN</t>
  </si>
  <si>
    <t>22. ÚNORA</t>
  </si>
  <si>
    <t>DEN OTEVŘENÝCH DVEŘÍ</t>
  </si>
  <si>
    <t>Zelená ulice 123</t>
  </si>
  <si>
    <t>111 11 Praha</t>
  </si>
  <si>
    <t>info@contoso.com</t>
  </si>
  <si>
    <t>www.contoso.com</t>
  </si>
  <si>
    <t>456.555.0123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</si>
</sst>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* #,##0\ &quot;Kč&quot;_-;\-* #,##0\ &quot;Kč&quot;_-;_-* &quot;-&quot;\ &quot;Kč&quot;_-;_-@_-"/>
    <numFmt numFmtId="44" formatCode="_-* #,##0.00\ &quot;Kč&quot;_-;\-* #,##0.00\ &quot;Kč&quot;_-;_-* &quot;-&quot;??\ &quot;Kč&quot;_-;_-@_-"/>
    <numFmt numFmtId="164" formatCode="_(* #,##0_);_(* \(#,##0\);_(* &quot;-&quot;_);_(@_)"/>
    <numFmt numFmtId="165" formatCode="_(* #,##0.00_);_(* \(#,##0.00\);_(* &quot;-&quot;??_);_(@_)"/>
    <numFmt numFmtId="166" formatCode="d"/>
  </numFmts>
  <fonts count="30" x14ac:knownFonts="1"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ajor"/>
    </font>
    <font>
      <b/>
      <sz val="9.5"/>
      <color theme="8"/>
      <name val="Calibri"/>
      <family val="2"/>
      <scheme val="major"/>
    </font>
    <font>
      <b/>
      <sz val="26"/>
      <color theme="0"/>
      <name val="Calibri"/>
      <family val="2"/>
      <scheme val="major"/>
    </font>
    <font>
      <sz val="8"/>
      <color theme="0"/>
      <name val="Calibri"/>
      <family val="2"/>
      <scheme val="minor"/>
    </font>
    <font>
      <b/>
      <sz val="13.5"/>
      <color theme="0"/>
      <name val="Calibri"/>
      <family val="2"/>
      <scheme val="major"/>
    </font>
    <font>
      <sz val="9"/>
      <color theme="1"/>
      <name val="Calibri"/>
      <family val="2"/>
      <scheme val="minor"/>
    </font>
    <font>
      <sz val="9"/>
      <color theme="8"/>
      <name val="Calibri"/>
      <family val="2"/>
      <scheme val="minor"/>
    </font>
    <font>
      <sz val="8"/>
      <color theme="8"/>
      <name val="Calibri"/>
      <family val="2"/>
      <scheme val="minor"/>
    </font>
    <font>
      <sz val="9"/>
      <color theme="1" tint="0.14999847407452621"/>
      <name val="Calibri"/>
      <family val="2"/>
      <scheme val="minor"/>
    </font>
    <font>
      <b/>
      <sz val="8"/>
      <color theme="0" tint="-0.249977111117893"/>
      <name val="Calibri"/>
      <family val="2"/>
      <scheme val="minor"/>
    </font>
    <font>
      <sz val="8"/>
      <color theme="1"/>
      <name val="Calibri"/>
      <family val="2"/>
      <scheme val="minor"/>
    </font>
    <font>
      <sz val="18"/>
      <color theme="3"/>
      <name val="Calibri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 style="thin">
        <color theme="8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0" fontId="20" fillId="5" borderId="0" applyNumberFormat="0" applyBorder="0" applyAlignment="0" applyProtection="0"/>
    <xf numFmtId="0" fontId="21" fillId="6" borderId="5" applyNumberFormat="0" applyAlignment="0" applyProtection="0"/>
    <xf numFmtId="0" fontId="22" fillId="7" borderId="6" applyNumberFormat="0" applyAlignment="0" applyProtection="0"/>
    <xf numFmtId="0" fontId="23" fillId="7" borderId="5" applyNumberFormat="0" applyAlignment="0" applyProtection="0"/>
    <xf numFmtId="0" fontId="24" fillId="0" borderId="7" applyNumberFormat="0" applyFill="0" applyAlignment="0" applyProtection="0"/>
    <xf numFmtId="0" fontId="25" fillId="8" borderId="8" applyNumberFormat="0" applyAlignment="0" applyProtection="0"/>
    <xf numFmtId="0" fontId="26" fillId="0" borderId="0" applyNumberFormat="0" applyFill="0" applyBorder="0" applyAlignment="0" applyProtection="0"/>
    <xf numFmtId="0" fontId="13" fillId="9" borderId="9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10" applyNumberFormat="0" applyFill="0" applyAlignment="0" applyProtection="0"/>
    <xf numFmtId="0" fontId="29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9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9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9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9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9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39">
    <xf numFmtId="0" fontId="0" fillId="0" borderId="0" xfId="0"/>
    <xf numFmtId="0" fontId="0" fillId="0" borderId="0" xfId="0" applyFont="1"/>
    <xf numFmtId="0" fontId="0" fillId="0" borderId="0" xfId="0" applyFont="1" applyFill="1" applyBorder="1"/>
    <xf numFmtId="0" fontId="3" fillId="0" borderId="0" xfId="0" applyFont="1" applyFill="1" applyBorder="1" applyAlignment="1"/>
    <xf numFmtId="0" fontId="4" fillId="0" borderId="0" xfId="0" applyFont="1" applyFill="1" applyBorder="1" applyAlignment="1"/>
    <xf numFmtId="0" fontId="0" fillId="2" borderId="0" xfId="0" applyFont="1" applyFill="1"/>
    <xf numFmtId="0" fontId="6" fillId="2" borderId="0" xfId="0" applyFont="1" applyFill="1"/>
    <xf numFmtId="0" fontId="0" fillId="2" borderId="0" xfId="0" applyFont="1" applyFill="1" applyBorder="1"/>
    <xf numFmtId="0" fontId="7" fillId="2" borderId="0" xfId="0" applyFont="1" applyFill="1" applyAlignment="1">
      <alignment vertical="center"/>
    </xf>
    <xf numFmtId="49" fontId="0" fillId="0" borderId="0" xfId="0" applyNumberFormat="1" applyFont="1"/>
    <xf numFmtId="49" fontId="9" fillId="0" borderId="0" xfId="0" applyNumberFormat="1" applyFont="1"/>
    <xf numFmtId="49" fontId="0" fillId="0" borderId="0" xfId="0" applyNumberFormat="1" applyFont="1" applyAlignment="1">
      <alignment horizontal="left"/>
    </xf>
    <xf numFmtId="49" fontId="10" fillId="0" borderId="0" xfId="0" applyNumberFormat="1" applyFont="1" applyFill="1" applyBorder="1" applyAlignment="1">
      <alignment horizontal="left"/>
    </xf>
    <xf numFmtId="49" fontId="10" fillId="0" borderId="0" xfId="0" applyNumberFormat="1" applyFont="1" applyAlignment="1">
      <alignment horizontal="left"/>
    </xf>
    <xf numFmtId="0" fontId="0" fillId="2" borderId="0" xfId="0" applyFill="1"/>
    <xf numFmtId="0" fontId="5" fillId="2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/>
    </xf>
    <xf numFmtId="49" fontId="9" fillId="0" borderId="1" xfId="0" applyNumberFormat="1" applyFont="1" applyBorder="1"/>
    <xf numFmtId="49" fontId="11" fillId="0" borderId="0" xfId="0" applyNumberFormat="1" applyFont="1" applyAlignment="1">
      <alignment horizontal="left"/>
    </xf>
    <xf numFmtId="0" fontId="3" fillId="0" borderId="0" xfId="0" applyNumberFormat="1" applyFont="1" applyFill="1" applyBorder="1" applyAlignment="1"/>
    <xf numFmtId="0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/>
    <xf numFmtId="0" fontId="0" fillId="0" borderId="0" xfId="0" applyNumberFormat="1" applyFont="1"/>
    <xf numFmtId="0" fontId="8" fillId="0" borderId="0" xfId="0" applyNumberFormat="1" applyFont="1"/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166" fontId="0" fillId="0" borderId="0" xfId="0" applyNumberFormat="1" applyFont="1" applyFill="1" applyBorder="1" applyAlignment="1">
      <alignment horizontal="center"/>
    </xf>
    <xf numFmtId="0" fontId="5" fillId="2" borderId="0" xfId="0" applyNumberFormat="1" applyFont="1" applyFill="1" applyBorder="1" applyAlignment="1">
      <alignment horizontal="left" vertical="center"/>
    </xf>
    <xf numFmtId="0" fontId="0" fillId="2" borderId="0" xfId="0" applyNumberFormat="1" applyFont="1" applyFill="1" applyBorder="1"/>
  </cellXfs>
  <cellStyles count="47">
    <cellStyle name="20 % – Zvýraznění 1" xfId="24" builtinId="30" customBuiltin="1"/>
    <cellStyle name="20 % – Zvýraznění 2" xfId="28" builtinId="34" customBuiltin="1"/>
    <cellStyle name="20 % – Zvýraznění 3" xfId="32" builtinId="38" customBuiltin="1"/>
    <cellStyle name="20 % – Zvýraznění 4" xfId="36" builtinId="42" customBuiltin="1"/>
    <cellStyle name="20 % – Zvýraznění 5" xfId="40" builtinId="46" customBuiltin="1"/>
    <cellStyle name="20 % – Zvýraznění 6" xfId="44" builtinId="50" customBuiltin="1"/>
    <cellStyle name="40 % – Zvýraznění 1" xfId="25" builtinId="31" customBuiltin="1"/>
    <cellStyle name="40 % – Zvýraznění 2" xfId="29" builtinId="35" customBuiltin="1"/>
    <cellStyle name="40 % – Zvýraznění 3" xfId="33" builtinId="39" customBuiltin="1"/>
    <cellStyle name="40 % – Zvýraznění 4" xfId="37" builtinId="43" customBuiltin="1"/>
    <cellStyle name="40 % – Zvýraznění 5" xfId="41" builtinId="47" customBuiltin="1"/>
    <cellStyle name="40 % – Zvýraznění 6" xfId="45" builtinId="51" customBuiltin="1"/>
    <cellStyle name="60 % – Zvýraznění 1" xfId="26" builtinId="32" customBuiltin="1"/>
    <cellStyle name="60 % – Zvýraznění 2" xfId="30" builtinId="36" customBuiltin="1"/>
    <cellStyle name="60 % – Zvýraznění 3" xfId="34" builtinId="40" customBuiltin="1"/>
    <cellStyle name="60 % – Zvýraznění 4" xfId="38" builtinId="44" customBuiltin="1"/>
    <cellStyle name="60 % – Zvýraznění 5" xfId="42" builtinId="48" customBuiltin="1"/>
    <cellStyle name="60 % – Zvýraznění 6" xfId="46" builtinId="52" customBuiltin="1"/>
    <cellStyle name="Celkem" xfId="22" builtinId="25" customBuiltin="1"/>
    <cellStyle name="Čárka" xfId="1" builtinId="3" customBuiltin="1"/>
    <cellStyle name="Čárky bez des. míst" xfId="2" builtinId="6" customBuiltin="1"/>
    <cellStyle name="Kontrolní buňka" xfId="18" builtinId="23" customBuiltin="1"/>
    <cellStyle name="Měna" xfId="3" builtinId="4" customBuiltin="1"/>
    <cellStyle name="Měny bez des. míst" xfId="4" builtinId="7" customBuiltin="1"/>
    <cellStyle name="Nadpis 1" xfId="7" builtinId="16" customBuiltin="1"/>
    <cellStyle name="Nadpis 2" xfId="8" builtinId="17" customBuiltin="1"/>
    <cellStyle name="Nadpis 3" xfId="9" builtinId="18" customBuiltin="1"/>
    <cellStyle name="Nadpis 4" xfId="10" builtinId="19" customBuiltin="1"/>
    <cellStyle name="Název" xfId="6" builtinId="15" customBuiltin="1"/>
    <cellStyle name="Neutrální" xfId="13" builtinId="28" customBuiltin="1"/>
    <cellStyle name="Normální" xfId="0" builtinId="0" customBuiltin="1"/>
    <cellStyle name="Poznámka" xfId="20" builtinId="10" customBuiltin="1"/>
    <cellStyle name="Procenta" xfId="5" builtinId="5" customBuiltin="1"/>
    <cellStyle name="Propojená buňka" xfId="17" builtinId="24" customBuiltin="1"/>
    <cellStyle name="Správně" xfId="11" builtinId="26" customBuiltin="1"/>
    <cellStyle name="Špatně" xfId="12" builtinId="27" customBuiltin="1"/>
    <cellStyle name="Text upozornění" xfId="19" builtinId="11" customBuiltin="1"/>
    <cellStyle name="Vstup" xfId="14" builtinId="20" customBuiltin="1"/>
    <cellStyle name="Výpočet" xfId="16" builtinId="22" customBuiltin="1"/>
    <cellStyle name="Výstup" xfId="15" builtinId="21" customBuiltin="1"/>
    <cellStyle name="Vysvětlující text" xfId="21" builtinId="53" customBuiltin="1"/>
    <cellStyle name="Zvýraznění 1" xfId="23" builtinId="29" customBuiltin="1"/>
    <cellStyle name="Zvýraznění 2" xfId="27" builtinId="33" customBuiltin="1"/>
    <cellStyle name="Zvýraznění 3" xfId="31" builtinId="37" customBuiltin="1"/>
    <cellStyle name="Zvýraznění 4" xfId="35" builtinId="41" customBuiltin="1"/>
    <cellStyle name="Zvýraznění 5" xfId="39" builtinId="45" customBuiltin="1"/>
    <cellStyle name="Zvýraznění 6" xfId="43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Spin" dx="16" fmlaLink="$C$1" max="2999" min="1900" page="10" val="2019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142875</xdr:colOff>
      <xdr:row>2</xdr:row>
      <xdr:rowOff>114299</xdr:rowOff>
    </xdr:from>
    <xdr:to>
      <xdr:col>22</xdr:col>
      <xdr:colOff>695325</xdr:colOff>
      <xdr:row>47</xdr:row>
      <xdr:rowOff>66674</xdr:rowOff>
    </xdr:to>
    <xdr:pic>
      <xdr:nvPicPr>
        <xdr:cNvPr id="2" name="Listy" descr="Šest listů umístěných v různých pozicích a úhlech podél pravé strany kalendáře." title="Grafika pro kalendář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duotone>
            <a:schemeClr val="accent5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6581775" y="685799"/>
          <a:ext cx="1095375" cy="8524875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0</xdr:row>
          <xdr:rowOff>38100</xdr:rowOff>
        </xdr:from>
        <xdr:to>
          <xdr:col>1</xdr:col>
          <xdr:colOff>266700</xdr:colOff>
          <xdr:row>0</xdr:row>
          <xdr:rowOff>342900</xdr:rowOff>
        </xdr:to>
        <xdr:sp macro="" textlink="">
          <xdr:nvSpPr>
            <xdr:cNvPr id="1033" name="Číselník" descr="Use the spinner button to change calendar year or enter year in cell B1.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PrintsWithSheet="0"/>
      </xdr:twoCellAnchor>
    </mc:Choice>
    <mc:Fallback/>
  </mc:AlternateContent>
  <xdr:twoCellAnchor>
    <xdr:from>
      <xdr:col>1</xdr:col>
      <xdr:colOff>38099</xdr:colOff>
      <xdr:row>1</xdr:row>
      <xdr:rowOff>9526</xdr:rowOff>
    </xdr:from>
    <xdr:to>
      <xdr:col>12</xdr:col>
      <xdr:colOff>171449</xdr:colOff>
      <xdr:row>2</xdr:row>
      <xdr:rowOff>66675</xdr:rowOff>
    </xdr:to>
    <xdr:sp macro="" textlink="">
      <xdr:nvSpPr>
        <xdr:cNvPr id="6" name="Pokyny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180974" y="390526"/>
          <a:ext cx="3286125" cy="2476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l" rtl="0"/>
          <a:r>
            <a:rPr lang="cs" sz="1000" b="0" i="1">
              <a:solidFill>
                <a:schemeClr val="accent5"/>
              </a:solidFill>
              <a:latin typeface="Calibri" panose="020F0502020204030204" pitchFamily="34" charset="0"/>
            </a:rPr>
            <a:t>Pokud chcete změnit kalendářní</a:t>
          </a:r>
          <a:r>
            <a:rPr lang="cs" sz="1000" b="0" i="1" baseline="0">
              <a:solidFill>
                <a:schemeClr val="accent5"/>
              </a:solidFill>
              <a:latin typeface="Calibri" panose="020F0502020204030204" pitchFamily="34" charset="0"/>
            </a:rPr>
            <a:t> rok, klikněte na číselník.</a:t>
          </a:r>
          <a:endParaRPr lang="en-US" sz="1000" b="0" i="1">
            <a:solidFill>
              <a:schemeClr val="accent5"/>
            </a:solidFill>
            <a:latin typeface="Calibri" panose="020F0502020204030204" pitchFamily="34" charset="0"/>
          </a:endParaRPr>
        </a:p>
      </xdr:txBody>
    </xdr:sp>
    <xdr:clientData fPrintsWithSheet="0"/>
  </xdr:twoCellAnchor>
  <xdr:twoCellAnchor editAs="oneCell">
    <xdr:from>
      <xdr:col>20</xdr:col>
      <xdr:colOff>47625</xdr:colOff>
      <xdr:row>50</xdr:row>
      <xdr:rowOff>152804</xdr:rowOff>
    </xdr:from>
    <xdr:to>
      <xdr:col>20</xdr:col>
      <xdr:colOff>1028700</xdr:colOff>
      <xdr:row>54</xdr:row>
      <xdr:rowOff>180569</xdr:rowOff>
    </xdr:to>
    <xdr:pic>
      <xdr:nvPicPr>
        <xdr:cNvPr id="3" name="Logo" descr="Pokud toto logo chcete změnit, klikněte na něj pravým tlačítkem a zvolte Změnit obrázek." title="Logo společnosti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57800" y="9868304"/>
          <a:ext cx="981075" cy="789765"/>
        </a:xfrm>
        <a:prstGeom prst="rect">
          <a:avLst/>
        </a:prstGeom>
      </xdr:spPr>
    </xdr:pic>
    <xdr:clientData/>
  </xdr:twoCellAnchor>
</xdr:wsDr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Civic">
  <a:themeElements>
    <a:clrScheme name="Small Business Calendar 2">
      <a:dk1>
        <a:sysClr val="windowText" lastClr="000000"/>
      </a:dk1>
      <a:lt1>
        <a:sysClr val="window" lastClr="FFFFFF"/>
      </a:lt1>
      <a:dk2>
        <a:srgbClr val="646B86"/>
      </a:dk2>
      <a:lt2>
        <a:srgbClr val="C5D1D7"/>
      </a:lt2>
      <a:accent1>
        <a:srgbClr val="D16349"/>
      </a:accent1>
      <a:accent2>
        <a:srgbClr val="CCB400"/>
      </a:accent2>
      <a:accent3>
        <a:srgbClr val="8CADAE"/>
      </a:accent3>
      <a:accent4>
        <a:srgbClr val="8C7B70"/>
      </a:accent4>
      <a:accent5>
        <a:srgbClr val="8FB08C"/>
      </a:accent5>
      <a:accent6>
        <a:srgbClr val="D19049"/>
      </a:accent6>
      <a:hlink>
        <a:srgbClr val="8FB08C"/>
      </a:hlink>
      <a:folHlink>
        <a:srgbClr val="694F07"/>
      </a:folHlink>
    </a:clrScheme>
    <a:fontScheme name="Custom 2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Civic">
      <a:fillStyleLst>
        <a:solidFill>
          <a:schemeClr val="phClr"/>
        </a:solidFill>
        <a:solidFill>
          <a:schemeClr val="phClr">
            <a:tint val="45000"/>
          </a:schemeClr>
        </a:solidFill>
        <a:solidFill>
          <a:schemeClr val="phClr">
            <a:tint val="95000"/>
          </a:schemeClr>
        </a:solidFill>
      </a:fillStyleLst>
      <a:lnStyleLst>
        <a:ln w="9525" cap="flat" cmpd="sng" algn="ctr">
          <a:solidFill>
            <a:schemeClr val="phClr"/>
          </a:solidFill>
          <a:prstDash val="solid"/>
        </a:ln>
        <a:ln w="11429" cap="flat" cmpd="sng" algn="ctr">
          <a:solidFill>
            <a:schemeClr val="phClr"/>
          </a:solidFill>
          <a:prstDash val="sysDash"/>
        </a:ln>
        <a:ln w="200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dist="254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50800" dist="25400" dir="5400000" rotWithShape="0">
              <a:srgbClr val="000000">
                <a:alpha val="4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contourW="9525" prstMaterial="matte">
            <a:bevelT w="0" h="0"/>
            <a:contourClr>
              <a:schemeClr val="phClr">
                <a:shade val="70000"/>
                <a:satMod val="105000"/>
              </a:schemeClr>
            </a:contourClr>
          </a:sp3d>
        </a:effectStyle>
        <a:effectStyle>
          <a:effectLst>
            <a:outerShdw blurRad="50800" dist="25400" dir="5400000" rotWithShape="0">
              <a:srgbClr val="000000">
                <a:alpha val="45000"/>
              </a:srgbClr>
            </a:outerShdw>
          </a:effectLst>
          <a:scene3d>
            <a:camera prst="orthographicFront" fov="0">
              <a:rot lat="0" lon="0" rev="0"/>
            </a:camera>
            <a:lightRig rig="soft" dir="b">
              <a:rot lat="0" lon="0" rev="0"/>
            </a:lightRig>
          </a:scene3d>
          <a:sp3d prstMaterial="dkEdge">
            <a:bevelT w="63500" h="63500" prst="cross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70000"/>
                <a:satMod val="115000"/>
              </a:schemeClr>
              <a:schemeClr val="phClr">
                <a:tint val="85000"/>
              </a:schemeClr>
            </a:duotone>
          </a:blip>
          <a:tile tx="0" ty="0" sx="85000" sy="85000" flip="none" algn="tl"/>
        </a:blipFill>
        <a:blipFill>
          <a:blip xmlns:r="http://schemas.openxmlformats.org/officeDocument/2006/relationships" r:embed="rId2">
            <a:duotone>
              <a:schemeClr val="phClr">
                <a:shade val="65000"/>
                <a:satMod val="115000"/>
              </a:schemeClr>
              <a:schemeClr val="phClr">
                <a:tint val="85000"/>
              </a:schemeClr>
            </a:duotone>
          </a:blip>
          <a:tile tx="0" ty="0" sx="65000" sy="65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/>
    <pageSetUpPr fitToPage="1"/>
  </sheetPr>
  <dimension ref="A1:AP69"/>
  <sheetViews>
    <sheetView showGridLines="0" tabSelected="1" zoomScaleNormal="100" workbookViewId="0"/>
  </sheetViews>
  <sheetFormatPr defaultColWidth="9.5" defaultRowHeight="11.25" x14ac:dyDescent="0.2"/>
  <cols>
    <col min="1" max="1" width="2.5" style="1" customWidth="1"/>
    <col min="2" max="2" width="5.1640625" style="1" customWidth="1"/>
    <col min="3" max="17" width="5" style="1" customWidth="1"/>
    <col min="18" max="18" width="2.1640625" style="1" customWidth="1"/>
    <col min="19" max="19" width="1.1640625" style="1" customWidth="1"/>
    <col min="20" max="20" width="5.1640625" customWidth="1"/>
    <col min="21" max="21" width="42" style="1" customWidth="1"/>
    <col min="22" max="22" width="9.33203125" style="1" customWidth="1"/>
    <col min="23" max="23" width="13.5" style="1" customWidth="1"/>
    <col min="24" max="43" width="9.33203125" style="1" customWidth="1"/>
    <col min="44" max="44" width="9.5" style="1" customWidth="1"/>
    <col min="45" max="16384" width="9.5" style="1"/>
  </cols>
  <sheetData>
    <row r="1" spans="1:42" ht="30" customHeight="1" x14ac:dyDescent="0.2">
      <c r="B1" s="5"/>
      <c r="C1" s="37">
        <f ca="1">YEAR(TODAY())</f>
        <v>2019</v>
      </c>
      <c r="D1" s="37"/>
      <c r="E1" s="37"/>
      <c r="F1" s="37"/>
      <c r="G1" s="15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5"/>
      <c r="T1" s="14"/>
      <c r="U1" s="8" t="s">
        <v>17</v>
      </c>
      <c r="V1" s="5"/>
      <c r="W1" s="5"/>
      <c r="X1"/>
      <c r="Y1"/>
      <c r="Z1"/>
      <c r="AA1"/>
    </row>
    <row r="2" spans="1:42" ht="15" customHeight="1" x14ac:dyDescent="0.2"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5"/>
    </row>
    <row r="3" spans="1:42" ht="15" customHeight="1" x14ac:dyDescent="0.25">
      <c r="B3" s="2"/>
      <c r="C3" s="16" t="s">
        <v>0</v>
      </c>
      <c r="D3" s="3"/>
      <c r="E3" s="3"/>
      <c r="F3" s="3"/>
      <c r="G3" s="3"/>
      <c r="H3" s="3"/>
      <c r="I3" s="3"/>
      <c r="J3" s="19"/>
      <c r="K3" s="4" t="s">
        <v>11</v>
      </c>
      <c r="L3" s="3"/>
      <c r="M3" s="3"/>
      <c r="N3" s="3"/>
      <c r="O3" s="3"/>
      <c r="P3" s="3"/>
      <c r="Q3" s="3"/>
      <c r="R3" s="2"/>
      <c r="S3" s="7"/>
      <c r="U3" s="12" t="s">
        <v>18</v>
      </c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</row>
    <row r="4" spans="1:42" ht="15" customHeight="1" x14ac:dyDescent="0.2">
      <c r="B4" s="2"/>
      <c r="C4" s="24" t="s">
        <v>1</v>
      </c>
      <c r="D4" s="24" t="s">
        <v>7</v>
      </c>
      <c r="E4" s="24" t="s">
        <v>9</v>
      </c>
      <c r="F4" s="24" t="s">
        <v>8</v>
      </c>
      <c r="G4" s="24" t="s">
        <v>1</v>
      </c>
      <c r="H4" s="24" t="s">
        <v>9</v>
      </c>
      <c r="I4" s="24" t="s">
        <v>10</v>
      </c>
      <c r="J4" s="20"/>
      <c r="K4" s="25" t="s">
        <v>1</v>
      </c>
      <c r="L4" s="25" t="s">
        <v>7</v>
      </c>
      <c r="M4" s="25" t="s">
        <v>9</v>
      </c>
      <c r="N4" s="25" t="s">
        <v>8</v>
      </c>
      <c r="O4" s="25" t="s">
        <v>1</v>
      </c>
      <c r="P4" s="25" t="s">
        <v>9</v>
      </c>
      <c r="Q4" s="25" t="s">
        <v>10</v>
      </c>
      <c r="R4" s="2"/>
      <c r="S4" s="5"/>
      <c r="U4" s="18" t="s">
        <v>19</v>
      </c>
      <c r="Z4" s="2"/>
      <c r="AH4" s="2"/>
      <c r="AP4" s="2"/>
    </row>
    <row r="5" spans="1:42" ht="15" customHeight="1" x14ac:dyDescent="0.2">
      <c r="B5" s="2"/>
      <c r="C5" s="36" t="str">
        <f ca="1">IF(DAY(Ne1Led)=1,"",IF(AND(YEAR(Ne1Led+1)=RokKalendáře,MONTH(Ne1Led+1)=1),Ne1Led+1,""))</f>
        <v/>
      </c>
      <c r="D5" s="36">
        <f ca="1">IF(DAY(Ne1Led)=1,"",IF(AND(YEAR(Ne1Led+2)=RokKalendáře,MONTH(Ne1Led+2)=1),Ne1Led+2,""))</f>
        <v>43466</v>
      </c>
      <c r="E5" s="36">
        <f ca="1">IF(DAY(Ne1Led)=1,"",IF(AND(YEAR(Ne1Led+3)=RokKalendáře,MONTH(Ne1Led+3)=1),Ne1Led+3,""))</f>
        <v>43467</v>
      </c>
      <c r="F5" s="36">
        <f ca="1">IF(DAY(Ne1Led)=1,"",IF(AND(YEAR(Ne1Led+4)=RokKalendáře,MONTH(Ne1Led+4)=1),Ne1Led+4,""))</f>
        <v>43468</v>
      </c>
      <c r="G5" s="36">
        <f ca="1">IF(DAY(Ne1Led)=1,"",IF(AND(YEAR(Ne1Led+5)=RokKalendáře,MONTH(Ne1Led+5)=1),Ne1Led+5,""))</f>
        <v>43469</v>
      </c>
      <c r="H5" s="36">
        <f ca="1">IF(DAY(Ne1Led)=1,"",IF(AND(YEAR(Ne1Led+6)=RokKalendáře,MONTH(Ne1Led+6)=1),Ne1Led+6,""))</f>
        <v>43470</v>
      </c>
      <c r="I5" s="36">
        <f ca="1">IF(DAY(Ne1Led)=1,IF(AND(YEAR(Ne1Led)=RokKalendáře,MONTH(Ne1Led)=1),Ne1Led,""),IF(AND(YEAR(Ne1Led+7)=RokKalendáře,MONTH(Ne1Led+7)=1),Ne1Led+7,""))</f>
        <v>43471</v>
      </c>
      <c r="J5" s="20"/>
      <c r="K5" s="36" t="str">
        <f ca="1">IF(DAY(Ne1Úno)=1,"",IF(AND(YEAR(Ne1Úno+1)=RokKalendáře,MONTH(Ne1Úno+1)=2),Ne1Úno+1,""))</f>
        <v/>
      </c>
      <c r="L5" s="36" t="str">
        <f ca="1">IF(DAY(Ne1Úno)=1,"",IF(AND(YEAR(Ne1Úno+2)=RokKalendáře,MONTH(Ne1Úno+2)=2),Ne1Úno+2,""))</f>
        <v/>
      </c>
      <c r="M5" s="36" t="str">
        <f ca="1">IF(DAY(Ne1Úno)=1,"",IF(AND(YEAR(Ne1Úno+3)=RokKalendáře,MONTH(Ne1Úno+3)=2),Ne1Úno+3,""))</f>
        <v/>
      </c>
      <c r="N5" s="36" t="str">
        <f ca="1">IF(DAY(Ne1Úno)=1,"",IF(AND(YEAR(Ne1Úno+4)=RokKalendáře,MONTH(Ne1Úno+4)=2),Ne1Úno+4,""))</f>
        <v/>
      </c>
      <c r="O5" s="36">
        <f ca="1">IF(DAY(Ne1Úno)=1,"",IF(AND(YEAR(Ne1Úno+5)=RokKalendáře,MONTH(Ne1Úno+5)=2),Ne1Úno+5,""))</f>
        <v>43497</v>
      </c>
      <c r="P5" s="36">
        <f ca="1">IF(DAY(Ne1Úno)=1,"",IF(AND(YEAR(Ne1Úno+6)=RokKalendáře,MONTH(Ne1Úno+6)=2),Ne1Úno+6,""))</f>
        <v>43498</v>
      </c>
      <c r="Q5" s="36">
        <f ca="1">IF(DAY(Ne1Úno)=1,IF(AND(YEAR(Ne1Úno)=RokKalendáře,MONTH(Ne1Úno)=2),Ne1Úno,""),IF(AND(YEAR(Ne1Úno+7)=RokKalendáře,MONTH(Ne1Úno+7)=2),Ne1Úno+7,""))</f>
        <v>43499</v>
      </c>
      <c r="R5" s="2"/>
      <c r="S5" s="5"/>
      <c r="U5" s="11"/>
      <c r="Z5" s="2"/>
      <c r="AH5" s="2"/>
      <c r="AP5" s="2"/>
    </row>
    <row r="6" spans="1:42" ht="15" customHeight="1" x14ac:dyDescent="0.2">
      <c r="B6" s="2"/>
      <c r="C6" s="36">
        <f ca="1">IF(DAY(Ne1Led)=1,IF(AND(YEAR(Ne1Led+1)=RokKalendáře,MONTH(Ne1Led+1)=1),Ne1Led+1,""),IF(AND(YEAR(Ne1Led+8)=RokKalendáře,MONTH(Ne1Led+8)=1),Ne1Led+8,""))</f>
        <v>43472</v>
      </c>
      <c r="D6" s="36">
        <f ca="1">IF(DAY(Ne1Led)=1,IF(AND(YEAR(Ne1Led+2)=RokKalendáře,MONTH(Ne1Led+2)=1),Ne1Led+2,""),IF(AND(YEAR(Ne1Led+9)=RokKalendáře,MONTH(Ne1Led+9)=1),Ne1Led+9,""))</f>
        <v>43473</v>
      </c>
      <c r="E6" s="36">
        <f ca="1">IF(DAY(Ne1Led)=1,IF(AND(YEAR(Ne1Led+3)=RokKalendáře,MONTH(Ne1Led+3)=1),Ne1Led+3,""),IF(AND(YEAR(Ne1Led+10)=RokKalendáře,MONTH(Ne1Led+10)=1),Ne1Led+10,""))</f>
        <v>43474</v>
      </c>
      <c r="F6" s="36">
        <f ca="1">IF(DAY(Ne1Led)=1,IF(AND(YEAR(Ne1Led+4)=RokKalendáře,MONTH(Ne1Led+4)=1),Ne1Led+4,""),IF(AND(YEAR(Ne1Led+11)=RokKalendáře,MONTH(Ne1Led+11)=1),Ne1Led+11,""))</f>
        <v>43475</v>
      </c>
      <c r="G6" s="36">
        <f ca="1">IF(DAY(Ne1Led)=1,IF(AND(YEAR(Ne1Led+5)=RokKalendáře,MONTH(Ne1Led+5)=1),Ne1Led+5,""),IF(AND(YEAR(Ne1Led+12)=RokKalendáře,MONTH(Ne1Led+12)=1),Ne1Led+12,""))</f>
        <v>43476</v>
      </c>
      <c r="H6" s="36">
        <f ca="1">IF(DAY(Ne1Led)=1,IF(AND(YEAR(Ne1Led+6)=RokKalendáře,MONTH(Ne1Led+6)=1),Ne1Led+6,""),IF(AND(YEAR(Ne1Led+13)=RokKalendáře,MONTH(Ne1Led+13)=1),Ne1Led+13,""))</f>
        <v>43477</v>
      </c>
      <c r="I6" s="36">
        <f ca="1">IF(DAY(Ne1Led)=1,IF(AND(YEAR(Ne1Led+7)=RokKalendáře,MONTH(Ne1Led+7)=1),Ne1Led+7,""),IF(AND(YEAR(Ne1Led+14)=RokKalendáře,MONTH(Ne1Led+14)=1),Ne1Led+14,""))</f>
        <v>43478</v>
      </c>
      <c r="J6" s="20"/>
      <c r="K6" s="36">
        <f ca="1">IF(DAY(Ne1Úno)=1,IF(AND(YEAR(Ne1Úno+1)=RokKalendáře,MONTH(Ne1Úno+1)=2),Ne1Úno+1,""),IF(AND(YEAR(Ne1Úno+8)=RokKalendáře,MONTH(Ne1Úno+8)=2),Ne1Úno+8,""))</f>
        <v>43500</v>
      </c>
      <c r="L6" s="36">
        <f ca="1">IF(DAY(Ne1Úno)=1,IF(AND(YEAR(Ne1Úno+2)=RokKalendáře,MONTH(Ne1Úno+2)=2),Ne1Úno+2,""),IF(AND(YEAR(Ne1Úno+9)=RokKalendáře,MONTH(Ne1Úno+9)=2),Ne1Úno+9,""))</f>
        <v>43501</v>
      </c>
      <c r="M6" s="36">
        <f ca="1">IF(DAY(Ne1Úno)=1,IF(AND(YEAR(Ne1Úno+3)=RokKalendáře,MONTH(Ne1Úno+3)=2),Ne1Úno+3,""),IF(AND(YEAR(Ne1Úno+10)=RokKalendáře,MONTH(Ne1Úno+10)=2),Ne1Úno+10,""))</f>
        <v>43502</v>
      </c>
      <c r="N6" s="36">
        <f ca="1">IF(DAY(Ne1Úno)=1,IF(AND(YEAR(Ne1Úno+4)=RokKalendáře,MONTH(Ne1Úno+4)=2),Ne1Úno+4,""),IF(AND(YEAR(Ne1Úno+11)=RokKalendáře,MONTH(Ne1Úno+11)=2),Ne1Úno+11,""))</f>
        <v>43503</v>
      </c>
      <c r="O6" s="36">
        <f ca="1">IF(DAY(Ne1Úno)=1,IF(AND(YEAR(Ne1Úno+5)=RokKalendáře,MONTH(Ne1Úno+5)=2),Ne1Úno+5,""),IF(AND(YEAR(Ne1Úno+12)=RokKalendáře,MONTH(Ne1Úno+12)=2),Ne1Úno+12,""))</f>
        <v>43504</v>
      </c>
      <c r="P6" s="36">
        <f ca="1">IF(DAY(Ne1Úno)=1,IF(AND(YEAR(Ne1Úno+6)=RokKalendáře,MONTH(Ne1Úno+6)=2),Ne1Úno+6,""),IF(AND(YEAR(Ne1Úno+13)=RokKalendáře,MONTH(Ne1Úno+13)=2),Ne1Úno+13,""))</f>
        <v>43505</v>
      </c>
      <c r="Q6" s="36">
        <f ca="1">IF(DAY(Ne1Úno)=1,IF(AND(YEAR(Ne1Úno+7)=RokKalendáře,MONTH(Ne1Úno+7)=2),Ne1Úno+7,""),IF(AND(YEAR(Ne1Úno+14)=RokKalendáře,MONTH(Ne1Úno+14)=2),Ne1Úno+14,""))</f>
        <v>43506</v>
      </c>
      <c r="R6" s="2"/>
      <c r="S6" s="5"/>
      <c r="U6" s="13" t="s">
        <v>20</v>
      </c>
      <c r="Z6" s="2"/>
      <c r="AH6" s="2"/>
      <c r="AP6" s="2"/>
    </row>
    <row r="7" spans="1:42" ht="15" customHeight="1" x14ac:dyDescent="0.2">
      <c r="B7" s="2"/>
      <c r="C7" s="36">
        <f ca="1">IF(DAY(Ne1Led)=1,IF(AND(YEAR(Ne1Led+8)=RokKalendáře,MONTH(Ne1Led+8)=1),Ne1Led+8,""),IF(AND(YEAR(Ne1Led+15)=RokKalendáře,MONTH(Ne1Led+15)=1),Ne1Led+15,""))</f>
        <v>43479</v>
      </c>
      <c r="D7" s="36">
        <f ca="1">IF(DAY(Ne1Led)=1,IF(AND(YEAR(Ne1Led+9)=RokKalendáře,MONTH(Ne1Led+9)=1),Ne1Led+9,""),IF(AND(YEAR(Ne1Led+16)=RokKalendáře,MONTH(Ne1Led+16)=1),Ne1Led+16,""))</f>
        <v>43480</v>
      </c>
      <c r="E7" s="36">
        <f ca="1">IF(DAY(Ne1Led)=1,IF(AND(YEAR(Ne1Led+10)=RokKalendáře,MONTH(Ne1Led+10)=1),Ne1Led+10,""),IF(AND(YEAR(Ne1Led+17)=RokKalendáře,MONTH(Ne1Led+17)=1),Ne1Led+17,""))</f>
        <v>43481</v>
      </c>
      <c r="F7" s="36">
        <f ca="1">IF(DAY(Ne1Led)=1,IF(AND(YEAR(Ne1Led+11)=RokKalendáře,MONTH(Ne1Led+11)=1),Ne1Led+11,""),IF(AND(YEAR(Ne1Led+18)=RokKalendáře,MONTH(Ne1Led+18)=1),Ne1Led+18,""))</f>
        <v>43482</v>
      </c>
      <c r="G7" s="36">
        <f ca="1">IF(DAY(Ne1Led)=1,IF(AND(YEAR(Ne1Led+12)=RokKalendáře,MONTH(Ne1Led+12)=1),Ne1Led+12,""),IF(AND(YEAR(Ne1Led+19)=RokKalendáře,MONTH(Ne1Led+19)=1),Ne1Led+19,""))</f>
        <v>43483</v>
      </c>
      <c r="H7" s="36">
        <f ca="1">IF(DAY(Ne1Led)=1,IF(AND(YEAR(Ne1Led+13)=RokKalendáře,MONTH(Ne1Led+13)=1),Ne1Led+13,""),IF(AND(YEAR(Ne1Led+20)=RokKalendáře,MONTH(Ne1Led+20)=1),Ne1Led+20,""))</f>
        <v>43484</v>
      </c>
      <c r="I7" s="36">
        <f ca="1">IF(DAY(Ne1Led)=1,IF(AND(YEAR(Ne1Led+14)=RokKalendáře,MONTH(Ne1Led+14)=1),Ne1Led+14,""),IF(AND(YEAR(Ne1Led+21)=RokKalendáře,MONTH(Ne1Led+21)=1),Ne1Led+21,""))</f>
        <v>43485</v>
      </c>
      <c r="J7" s="20"/>
      <c r="K7" s="36">
        <f ca="1">IF(DAY(Ne1Úno)=1,IF(AND(YEAR(Ne1Úno+8)=RokKalendáře,MONTH(Ne1Úno+8)=2),Ne1Úno+8,""),IF(AND(YEAR(Ne1Úno+15)=RokKalendáře,MONTH(Ne1Úno+15)=2),Ne1Úno+15,""))</f>
        <v>43507</v>
      </c>
      <c r="L7" s="36">
        <f ca="1">IF(DAY(Ne1Úno)=1,IF(AND(YEAR(Ne1Úno+9)=RokKalendáře,MONTH(Ne1Úno+9)=2),Ne1Úno+9,""),IF(AND(YEAR(Ne1Úno+16)=RokKalendáře,MONTH(Ne1Úno+16)=2),Ne1Úno+16,""))</f>
        <v>43508</v>
      </c>
      <c r="M7" s="36">
        <f ca="1">IF(DAY(Ne1Úno)=1,IF(AND(YEAR(Ne1Úno+10)=RokKalendáře,MONTH(Ne1Úno+10)=2),Ne1Úno+10,""),IF(AND(YEAR(Ne1Úno+17)=RokKalendáře,MONTH(Ne1Úno+17)=2),Ne1Úno+17,""))</f>
        <v>43509</v>
      </c>
      <c r="N7" s="36">
        <f ca="1">IF(DAY(Ne1Úno)=1,IF(AND(YEAR(Ne1Úno+11)=RokKalendáře,MONTH(Ne1Úno+11)=2),Ne1Úno+11,""),IF(AND(YEAR(Ne1Úno+18)=RokKalendáře,MONTH(Ne1Úno+18)=2),Ne1Úno+18,""))</f>
        <v>43510</v>
      </c>
      <c r="O7" s="36">
        <f ca="1">IF(DAY(Ne1Úno)=1,IF(AND(YEAR(Ne1Úno+12)=RokKalendáře,MONTH(Ne1Úno+12)=2),Ne1Úno+12,""),IF(AND(YEAR(Ne1Úno+19)=RokKalendáře,MONTH(Ne1Úno+19)=2),Ne1Úno+19,""))</f>
        <v>43511</v>
      </c>
      <c r="P7" s="36">
        <f ca="1">IF(DAY(Ne1Úno)=1,IF(AND(YEAR(Ne1Úno+13)=RokKalendáře,MONTH(Ne1Úno+13)=2),Ne1Úno+13,""),IF(AND(YEAR(Ne1Úno+20)=RokKalendáře,MONTH(Ne1Úno+20)=2),Ne1Úno+20,""))</f>
        <v>43512</v>
      </c>
      <c r="Q7" s="36">
        <f ca="1">IF(DAY(Ne1Úno)=1,IF(AND(YEAR(Ne1Úno+14)=RokKalendáře,MONTH(Ne1Úno+14)=2),Ne1Úno+14,""),IF(AND(YEAR(Ne1Úno+21)=RokKalendáře,MONTH(Ne1Úno+21)=2),Ne1Úno+21,""))</f>
        <v>43513</v>
      </c>
      <c r="R7" s="2"/>
      <c r="S7" s="5"/>
      <c r="U7" s="18" t="s">
        <v>21</v>
      </c>
      <c r="Z7" s="2"/>
      <c r="AH7" s="2"/>
      <c r="AP7" s="2"/>
    </row>
    <row r="8" spans="1:42" ht="15" customHeight="1" x14ac:dyDescent="0.2">
      <c r="B8" s="2"/>
      <c r="C8" s="36">
        <f ca="1">IF(DAY(Ne1Led)=1,IF(AND(YEAR(Ne1Led+15)=RokKalendáře,MONTH(Ne1Led+15)=1),Ne1Led+15,""),IF(AND(YEAR(Ne1Led+22)=RokKalendáře,MONTH(Ne1Led+22)=1),Ne1Led+22,""))</f>
        <v>43486</v>
      </c>
      <c r="D8" s="36">
        <f ca="1">IF(DAY(Ne1Led)=1,IF(AND(YEAR(Ne1Led+16)=RokKalendáře,MONTH(Ne1Led+16)=1),Ne1Led+16,""),IF(AND(YEAR(Ne1Led+23)=RokKalendáře,MONTH(Ne1Led+23)=1),Ne1Led+23,""))</f>
        <v>43487</v>
      </c>
      <c r="E8" s="36">
        <f ca="1">IF(DAY(Ne1Led)=1,IF(AND(YEAR(Ne1Led+17)=RokKalendáře,MONTH(Ne1Led+17)=1),Ne1Led+17,""),IF(AND(YEAR(Ne1Led+24)=RokKalendáře,MONTH(Ne1Led+24)=1),Ne1Led+24,""))</f>
        <v>43488</v>
      </c>
      <c r="F8" s="36">
        <f ca="1">IF(DAY(Ne1Led)=1,IF(AND(YEAR(Ne1Led+18)=RokKalendáře,MONTH(Ne1Led+18)=1),Ne1Led+18,""),IF(AND(YEAR(Ne1Led+25)=RokKalendáře,MONTH(Ne1Led+25)=1),Ne1Led+25,""))</f>
        <v>43489</v>
      </c>
      <c r="G8" s="36">
        <f ca="1">IF(DAY(Ne1Led)=1,IF(AND(YEAR(Ne1Led+19)=RokKalendáře,MONTH(Ne1Led+19)=1),Ne1Led+19,""),IF(AND(YEAR(Ne1Led+26)=RokKalendáře,MONTH(Ne1Led+26)=1),Ne1Led+26,""))</f>
        <v>43490</v>
      </c>
      <c r="H8" s="36">
        <f ca="1">IF(DAY(Ne1Led)=1,IF(AND(YEAR(Ne1Led+20)=RokKalendáře,MONTH(Ne1Led+20)=1),Ne1Led+20,""),IF(AND(YEAR(Ne1Led+27)=RokKalendáře,MONTH(Ne1Led+27)=1),Ne1Led+27,""))</f>
        <v>43491</v>
      </c>
      <c r="I8" s="36">
        <f ca="1">IF(DAY(Ne1Led)=1,IF(AND(YEAR(Ne1Led+21)=RokKalendáře,MONTH(Ne1Led+21)=1),Ne1Led+21,""),IF(AND(YEAR(Ne1Led+28)=RokKalendáře,MONTH(Ne1Led+28)=1),Ne1Led+28,""))</f>
        <v>43492</v>
      </c>
      <c r="J8" s="20"/>
      <c r="K8" s="36">
        <f ca="1">IF(DAY(Ne1Úno)=1,IF(AND(YEAR(Ne1Úno+15)=RokKalendáře,MONTH(Ne1Úno+15)=2),Ne1Úno+15,""),IF(AND(YEAR(Ne1Úno+22)=RokKalendáře,MONTH(Ne1Úno+22)=2),Ne1Úno+22,""))</f>
        <v>43514</v>
      </c>
      <c r="L8" s="36">
        <f ca="1">IF(DAY(Ne1Úno)=1,IF(AND(YEAR(Ne1Úno+16)=RokKalendáře,MONTH(Ne1Úno+16)=2),Ne1Úno+16,""),IF(AND(YEAR(Ne1Úno+23)=RokKalendáře,MONTH(Ne1Úno+23)=2),Ne1Úno+23,""))</f>
        <v>43515</v>
      </c>
      <c r="M8" s="36">
        <f ca="1">IF(DAY(Ne1Úno)=1,IF(AND(YEAR(Ne1Úno+17)=RokKalendáře,MONTH(Ne1Úno+17)=2),Ne1Úno+17,""),IF(AND(YEAR(Ne1Úno+24)=RokKalendáře,MONTH(Ne1Úno+24)=2),Ne1Úno+24,""))</f>
        <v>43516</v>
      </c>
      <c r="N8" s="36">
        <f ca="1">IF(DAY(Ne1Úno)=1,IF(AND(YEAR(Ne1Úno+18)=RokKalendáře,MONTH(Ne1Úno+18)=2),Ne1Úno+18,""),IF(AND(YEAR(Ne1Úno+25)=RokKalendáře,MONTH(Ne1Úno+25)=2),Ne1Úno+25,""))</f>
        <v>43517</v>
      </c>
      <c r="O8" s="36">
        <f ca="1">IF(DAY(Ne1Úno)=1,IF(AND(YEAR(Ne1Úno+19)=RokKalendáře,MONTH(Ne1Úno+19)=2),Ne1Úno+19,""),IF(AND(YEAR(Ne1Úno+26)=RokKalendáře,MONTH(Ne1Úno+26)=2),Ne1Úno+26,""))</f>
        <v>43518</v>
      </c>
      <c r="P8" s="36">
        <f ca="1">IF(DAY(Ne1Úno)=1,IF(AND(YEAR(Ne1Úno+20)=RokKalendáře,MONTH(Ne1Úno+20)=2),Ne1Úno+20,""),IF(AND(YEAR(Ne1Úno+27)=RokKalendáře,MONTH(Ne1Úno+27)=2),Ne1Úno+27,""))</f>
        <v>43519</v>
      </c>
      <c r="Q8" s="36">
        <f ca="1">IF(DAY(Ne1Úno)=1,IF(AND(YEAR(Ne1Úno+21)=RokKalendáře,MONTH(Ne1Úno+21)=2),Ne1Úno+21,""),IF(AND(YEAR(Ne1Úno+28)=RokKalendáře,MONTH(Ne1Úno+28)=2),Ne1Úno+28,""))</f>
        <v>43520</v>
      </c>
      <c r="R8" s="2"/>
      <c r="S8" s="5"/>
      <c r="U8" s="11"/>
      <c r="Z8" s="2"/>
      <c r="AH8" s="2"/>
      <c r="AP8" s="2"/>
    </row>
    <row r="9" spans="1:42" ht="15" customHeight="1" x14ac:dyDescent="0.2">
      <c r="B9" s="2"/>
      <c r="C9" s="36">
        <f ca="1">IF(DAY(Ne1Led)=1,IF(AND(YEAR(Ne1Led+22)=RokKalendáře,MONTH(Ne1Led+22)=1),Ne1Led+22,""),IF(AND(YEAR(Ne1Led+29)=RokKalendáře,MONTH(Ne1Led+29)=1),Ne1Led+29,""))</f>
        <v>43493</v>
      </c>
      <c r="D9" s="36">
        <f ca="1">IF(DAY(Ne1Led)=1,IF(AND(YEAR(Ne1Led+23)=RokKalendáře,MONTH(Ne1Led+23)=1),Ne1Led+23,""),IF(AND(YEAR(Ne1Led+30)=RokKalendáře,MONTH(Ne1Led+30)=1),Ne1Led+30,""))</f>
        <v>43494</v>
      </c>
      <c r="E9" s="36">
        <f ca="1">IF(DAY(Ne1Led)=1,IF(AND(YEAR(Ne1Led+24)=RokKalendáře,MONTH(Ne1Led+24)=1),Ne1Led+24,""),IF(AND(YEAR(Ne1Led+31)=RokKalendáře,MONTH(Ne1Led+31)=1),Ne1Led+31,""))</f>
        <v>43495</v>
      </c>
      <c r="F9" s="36">
        <f ca="1">IF(DAY(Ne1Led)=1,IF(AND(YEAR(Ne1Led+25)=RokKalendáře,MONTH(Ne1Led+25)=1),Ne1Led+25,""),IF(AND(YEAR(Ne1Led+32)=RokKalendáře,MONTH(Ne1Led+32)=1),Ne1Led+32,""))</f>
        <v>43496</v>
      </c>
      <c r="G9" s="36" t="str">
        <f ca="1">IF(DAY(Ne1Led)=1,IF(AND(YEAR(Ne1Led+26)=RokKalendáře,MONTH(Ne1Led+26)=1),Ne1Led+26,""),IF(AND(YEAR(Ne1Led+33)=RokKalendáře,MONTH(Ne1Led+33)=1),Ne1Led+33,""))</f>
        <v/>
      </c>
      <c r="H9" s="36" t="str">
        <f ca="1">IF(DAY(Ne1Led)=1,IF(AND(YEAR(Ne1Led+27)=RokKalendáře,MONTH(Ne1Led+27)=1),Ne1Led+27,""),IF(AND(YEAR(Ne1Led+34)=RokKalendáře,MONTH(Ne1Led+34)=1),Ne1Led+34,""))</f>
        <v/>
      </c>
      <c r="I9" s="36" t="str">
        <f ca="1">IF(DAY(Ne1Led)=1,IF(AND(YEAR(Ne1Led+28)=RokKalendáře,MONTH(Ne1Led+28)=1),Ne1Led+28,""),IF(AND(YEAR(Ne1Led+35)=RokKalendáře,MONTH(Ne1Led+35)=1),Ne1Led+35,""))</f>
        <v/>
      </c>
      <c r="J9" s="20"/>
      <c r="K9" s="36">
        <f ca="1">IF(DAY(Ne1Úno)=1,IF(AND(YEAR(Ne1Úno+22)=RokKalendáře,MONTH(Ne1Úno+22)=2),Ne1Úno+22,""),IF(AND(YEAR(Ne1Úno+29)=RokKalendáře,MONTH(Ne1Úno+29)=2),Ne1Úno+29,""))</f>
        <v>43521</v>
      </c>
      <c r="L9" s="36">
        <f ca="1">IF(DAY(Ne1Úno)=1,IF(AND(YEAR(Ne1Úno+23)=RokKalendáře,MONTH(Ne1Úno+23)=2),Ne1Úno+23,""),IF(AND(YEAR(Ne1Úno+30)=RokKalendáře,MONTH(Ne1Úno+30)=2),Ne1Úno+30,""))</f>
        <v>43522</v>
      </c>
      <c r="M9" s="36">
        <f ca="1">IF(DAY(Ne1Úno)=1,IF(AND(YEAR(Ne1Úno+24)=RokKalendáře,MONTH(Ne1Úno+24)=2),Ne1Úno+24,""),IF(AND(YEAR(Ne1Úno+31)=RokKalendáře,MONTH(Ne1Úno+31)=2),Ne1Úno+31,""))</f>
        <v>43523</v>
      </c>
      <c r="N9" s="36">
        <f ca="1">IF(DAY(Ne1Úno)=1,IF(AND(YEAR(Ne1Úno+25)=RokKalendáře,MONTH(Ne1Úno+25)=2),Ne1Úno+25,""),IF(AND(YEAR(Ne1Úno+32)=RokKalendáře,MONTH(Ne1Úno+32)=2),Ne1Úno+32,""))</f>
        <v>43524</v>
      </c>
      <c r="O9" s="36" t="str">
        <f ca="1">IF(DAY(Ne1Úno)=1,IF(AND(YEAR(Ne1Úno+26)=RokKalendáře,MONTH(Ne1Úno+26)=2),Ne1Úno+26,""),IF(AND(YEAR(Ne1Úno+33)=RokKalendáře,MONTH(Ne1Úno+33)=2),Ne1Úno+33,""))</f>
        <v/>
      </c>
      <c r="P9" s="36" t="str">
        <f ca="1">IF(DAY(Ne1Úno)=1,IF(AND(YEAR(Ne1Úno+27)=RokKalendáře,MONTH(Ne1Úno+27)=2),Ne1Úno+27,""),IF(AND(YEAR(Ne1Úno+34)=RokKalendáře,MONTH(Ne1Úno+34)=2),Ne1Úno+34,""))</f>
        <v/>
      </c>
      <c r="Q9" s="36" t="str">
        <f ca="1">IF(DAY(Ne1Úno)=1,IF(AND(YEAR(Ne1Úno+28)=RokKalendáře,MONTH(Ne1Úno+28)=2),Ne1Úno+28,""),IF(AND(YEAR(Ne1Úno+35)=RokKalendáře,MONTH(Ne1Úno+35)=2),Ne1Úno+35,""))</f>
        <v/>
      </c>
      <c r="R9" s="2"/>
      <c r="S9" s="5"/>
      <c r="U9" s="12" t="s">
        <v>22</v>
      </c>
      <c r="Z9" s="2"/>
      <c r="AH9" s="2"/>
      <c r="AP9" s="2"/>
    </row>
    <row r="10" spans="1:42" ht="15" customHeight="1" x14ac:dyDescent="0.2">
      <c r="B10" s="2"/>
      <c r="C10" s="36" t="str">
        <f ca="1">IF(DAY(Ne1Led)=1,IF(AND(YEAR(Ne1Led+29)=RokKalendáře,MONTH(Ne1Led+29)=1),Ne1Led+29,""),IF(AND(YEAR(Ne1Led+36)=RokKalendáře,MONTH(Ne1Led+36)=1),Ne1Led+36,""))</f>
        <v/>
      </c>
      <c r="D10" s="36" t="str">
        <f ca="1">IF(DAY(Ne1Led)=1,IF(AND(YEAR(Ne1Led+30)=RokKalendáře,MONTH(Ne1Led+30)=1),Ne1Led+30,""),IF(AND(YEAR(Ne1Led+37)=RokKalendáře,MONTH(Ne1Led+37)=1),Ne1Led+37,""))</f>
        <v/>
      </c>
      <c r="E10" s="36" t="str">
        <f ca="1">IF(DAY(Ne1Led)=1,IF(AND(YEAR(Ne1Led+31)=RokKalendáře,MONTH(Ne1Led+31)=1),Ne1Led+31,""),IF(AND(YEAR(Ne1Led+38)=RokKalendáře,MONTH(Ne1Led+38)=1),Ne1Led+38,""))</f>
        <v/>
      </c>
      <c r="F10" s="36" t="str">
        <f ca="1">IF(DAY(Ne1Led)=1,IF(AND(YEAR(Ne1Led+32)=RokKalendáře,MONTH(Ne1Led+32)=1),Ne1Led+32,""),IF(AND(YEAR(Ne1Led+39)=RokKalendáře,MONTH(Ne1Led+39)=1),Ne1Led+39,""))</f>
        <v/>
      </c>
      <c r="G10" s="36" t="str">
        <f ca="1">IF(DAY(Ne1Led)=1,IF(AND(YEAR(Ne1Led+33)=RokKalendáře,MONTH(Ne1Led+33)=1),Ne1Led+33,""),IF(AND(YEAR(Ne1Led+40)=RokKalendáře,MONTH(Ne1Led+40)=1),Ne1Led+40,""))</f>
        <v/>
      </c>
      <c r="H10" s="36" t="str">
        <f ca="1">IF(DAY(Ne1Led)=1,IF(AND(YEAR(Ne1Led+34)=RokKalendáře,MONTH(Ne1Led+34)=1),Ne1Led+34,""),IF(AND(YEAR(Ne1Led+41)=RokKalendáře,MONTH(Ne1Led+41)=1),Ne1Led+41,""))</f>
        <v/>
      </c>
      <c r="I10" s="36" t="str">
        <f ca="1">IF(DAY(Ne1Led)=1,IF(AND(YEAR(Ne1Led+35)=RokKalendáře,MONTH(Ne1Led+35)=1),Ne1Led+35,""),IF(AND(YEAR(Ne1Led+42)=RokKalendáře,MONTH(Ne1Led+42)=1),Ne1Led+42,""))</f>
        <v/>
      </c>
      <c r="J10" s="20"/>
      <c r="K10" s="36" t="str">
        <f ca="1">IF(DAY(Ne1Úno)=1,IF(AND(YEAR(Ne1Úno+29)=RokKalendáře,MONTH(Ne1Úno+29)=2),Ne1Úno+29,""),IF(AND(YEAR(Ne1Úno+36)=RokKalendáře,MONTH(Ne1Úno+36)=2),Ne1Úno+36,""))</f>
        <v/>
      </c>
      <c r="L10" s="36" t="str">
        <f ca="1">IF(DAY(Ne1Úno)=1,IF(AND(YEAR(Ne1Úno+30)=RokKalendáře,MONTH(Ne1Úno+30)=2),Ne1Úno+30,""),IF(AND(YEAR(Ne1Úno+37)=RokKalendáře,MONTH(Ne1Úno+37)=2),Ne1Úno+37,""))</f>
        <v/>
      </c>
      <c r="M10" s="36" t="str">
        <f ca="1">IF(DAY(Ne1Úno)=1,IF(AND(YEAR(Ne1Úno+31)=RokKalendáře,MONTH(Ne1Úno+31)=2),Ne1Úno+31,""),IF(AND(YEAR(Ne1Úno+38)=RokKalendáře,MONTH(Ne1Úno+38)=2),Ne1Úno+38,""))</f>
        <v/>
      </c>
      <c r="N10" s="36" t="str">
        <f ca="1">IF(DAY(Ne1Úno)=1,IF(AND(YEAR(Ne1Úno+32)=RokKalendáře,MONTH(Ne1Úno+32)=2),Ne1Úno+32,""),IF(AND(YEAR(Ne1Úno+39)=RokKalendáře,MONTH(Ne1Úno+39)=2),Ne1Úno+39,""))</f>
        <v/>
      </c>
      <c r="O10" s="36" t="str">
        <f ca="1">IF(DAY(Ne1Úno)=1,IF(AND(YEAR(Ne1Úno+33)=RokKalendáře,MONTH(Ne1Úno+33)=2),Ne1Úno+33,""),IF(AND(YEAR(Ne1Úno+40)=RokKalendáře,MONTH(Ne1Úno+40)=2),Ne1Úno+40,""))</f>
        <v/>
      </c>
      <c r="P10" s="36" t="str">
        <f ca="1">IF(DAY(Ne1Úno)=1,IF(AND(YEAR(Ne1Úno+34)=RokKalendáře,MONTH(Ne1Úno+34)=2),Ne1Úno+34,""),IF(AND(YEAR(Ne1Úno+41)=RokKalendáře,MONTH(Ne1Úno+41)=2),Ne1Úno+41,""))</f>
        <v/>
      </c>
      <c r="Q10" s="36" t="str">
        <f ca="1">IF(DAY(Ne1Úno)=1,IF(AND(YEAR(Ne1Úno+35)=RokKalendáře,MONTH(Ne1Úno+35)=2),Ne1Úno+35,""),IF(AND(YEAR(Ne1Úno+42)=RokKalendáře,MONTH(Ne1Úno+42)=2),Ne1Úno+42,""))</f>
        <v/>
      </c>
      <c r="R10" s="2"/>
      <c r="S10" s="5"/>
      <c r="U10" s="18" t="s">
        <v>23</v>
      </c>
      <c r="Z10" s="2"/>
      <c r="AH10" s="2"/>
      <c r="AP10" s="2"/>
    </row>
    <row r="11" spans="1:42" ht="15" customHeight="1" x14ac:dyDescent="0.2">
      <c r="B11" s="2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1"/>
      <c r="S11" s="5"/>
      <c r="U11" s="11"/>
      <c r="Z11" s="2"/>
      <c r="AH11" s="2"/>
      <c r="AP11" s="2"/>
    </row>
    <row r="12" spans="1:42" s="22" customFormat="1" ht="15" customHeight="1" x14ac:dyDescent="0.25">
      <c r="A12" s="1"/>
      <c r="B12" s="2"/>
      <c r="C12" s="4" t="s">
        <v>2</v>
      </c>
      <c r="D12" s="3"/>
      <c r="E12" s="3"/>
      <c r="F12" s="3"/>
      <c r="G12" s="3"/>
      <c r="H12" s="3"/>
      <c r="I12" s="3"/>
      <c r="J12" s="21"/>
      <c r="K12" s="4" t="s">
        <v>12</v>
      </c>
      <c r="L12" s="3"/>
      <c r="M12" s="3"/>
      <c r="N12" s="3"/>
      <c r="O12" s="3"/>
      <c r="P12" s="3"/>
      <c r="Q12" s="3"/>
      <c r="R12" s="2"/>
      <c r="S12" s="38"/>
      <c r="T12"/>
      <c r="U12" s="12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</row>
    <row r="13" spans="1:42" ht="15" customHeight="1" x14ac:dyDescent="0.25">
      <c r="B13" s="2"/>
      <c r="C13" s="26" t="s">
        <v>1</v>
      </c>
      <c r="D13" s="26" t="s">
        <v>7</v>
      </c>
      <c r="E13" s="26" t="s">
        <v>9</v>
      </c>
      <c r="F13" s="26" t="s">
        <v>8</v>
      </c>
      <c r="G13" s="26" t="s">
        <v>1</v>
      </c>
      <c r="H13" s="26" t="s">
        <v>9</v>
      </c>
      <c r="I13" s="26" t="s">
        <v>10</v>
      </c>
      <c r="J13" s="19"/>
      <c r="K13" s="27" t="s">
        <v>1</v>
      </c>
      <c r="L13" s="27" t="s">
        <v>7</v>
      </c>
      <c r="M13" s="27" t="s">
        <v>9</v>
      </c>
      <c r="N13" s="27" t="s">
        <v>8</v>
      </c>
      <c r="O13" s="27" t="s">
        <v>1</v>
      </c>
      <c r="P13" s="27" t="s">
        <v>9</v>
      </c>
      <c r="Q13" s="27" t="s">
        <v>10</v>
      </c>
      <c r="R13" s="2"/>
      <c r="S13" s="5"/>
      <c r="U13" s="18"/>
      <c r="Z13" s="2"/>
      <c r="AH13" s="2"/>
      <c r="AP13" s="2"/>
    </row>
    <row r="14" spans="1:42" ht="15" customHeight="1" x14ac:dyDescent="0.2">
      <c r="B14" s="2"/>
      <c r="C14" s="36" t="str">
        <f ca="1">IF(DAY(Ne1Bře)=1,"",IF(AND(YEAR(Ne1Bře+1)=RokKalendáře,MONTH(Ne1Bře+1)=3),Ne1Bře+1,""))</f>
        <v/>
      </c>
      <c r="D14" s="36" t="str">
        <f ca="1">IF(DAY(Ne1Bře)=1,"",IF(AND(YEAR(Ne1Bře+2)=RokKalendáře,MONTH(Ne1Bře+2)=3),Ne1Bře+2,""))</f>
        <v/>
      </c>
      <c r="E14" s="36" t="str">
        <f ca="1">IF(DAY(Ne1Bře)=1,"",IF(AND(YEAR(Ne1Bře+3)=RokKalendáře,MONTH(Ne1Bře+3)=3),Ne1Bře+3,""))</f>
        <v/>
      </c>
      <c r="F14" s="36" t="str">
        <f ca="1">IF(DAY(Ne1Bře)=1,"",IF(AND(YEAR(Ne1Bře+4)=RokKalendáře,MONTH(Ne1Bře+4)=3),Ne1Bře+4,""))</f>
        <v/>
      </c>
      <c r="G14" s="36">
        <f ca="1">IF(DAY(Ne1Bře)=1,"",IF(AND(YEAR(Ne1Bře+5)=RokKalendáře,MONTH(Ne1Bře+5)=3),Ne1Bře+5,""))</f>
        <v>43525</v>
      </c>
      <c r="H14" s="36">
        <f ca="1">IF(DAY(Ne1Bře)=1,"",IF(AND(YEAR(Ne1Bře+6)=RokKalendáře,MONTH(Ne1Bře+6)=3),Ne1Bře+6,""))</f>
        <v>43526</v>
      </c>
      <c r="I14" s="36">
        <f ca="1">IF(DAY(Ne1Bře)=1,IF(AND(YEAR(Ne1Bře)=RokKalendáře,MONTH(Ne1Bře)=3),Ne1Bře,""),IF(AND(YEAR(Ne1Bře+7)=RokKalendáře,MONTH(Ne1Bře+7)=3),Ne1Bře+7,""))</f>
        <v>43527</v>
      </c>
      <c r="J14" s="20"/>
      <c r="K14" s="36">
        <f ca="1">IF(DAY(Ne1Dub)=1,"",IF(AND(YEAR(Ne1Dub+1)=RokKalendáře,MONTH(Ne1Dub+1)=4),Ne1Dub+1,""))</f>
        <v>43556</v>
      </c>
      <c r="L14" s="36">
        <f ca="1">IF(DAY(Ne1Dub)=1,"",IF(AND(YEAR(Ne1Dub+2)=RokKalendáře,MONTH(Ne1Dub+2)=4),Ne1Dub+2,""))</f>
        <v>43557</v>
      </c>
      <c r="M14" s="36">
        <f ca="1">IF(DAY(Ne1Dub)=1,"",IF(AND(YEAR(Ne1Dub+3)=RokKalendáře,MONTH(Ne1Dub+3)=4),Ne1Dub+3,""))</f>
        <v>43558</v>
      </c>
      <c r="N14" s="36">
        <f ca="1">IF(DAY(Ne1Dub)=1,"",IF(AND(YEAR(Ne1Dub+4)=RokKalendáře,MONTH(Ne1Dub+4)=4),Ne1Dub+4,""))</f>
        <v>43559</v>
      </c>
      <c r="O14" s="36">
        <f ca="1">IF(DAY(Ne1Dub)=1,"",IF(AND(YEAR(Ne1Dub+5)=RokKalendáře,MONTH(Ne1Dub+5)=4),Ne1Dub+5,""))</f>
        <v>43560</v>
      </c>
      <c r="P14" s="36">
        <f ca="1">IF(DAY(Ne1Dub)=1,"",IF(AND(YEAR(Ne1Dub+6)=RokKalendáře,MONTH(Ne1Dub+6)=4),Ne1Dub+6,""))</f>
        <v>43561</v>
      </c>
      <c r="Q14" s="36">
        <f ca="1">IF(DAY(Ne1Dub)=1,IF(AND(YEAR(Ne1Dub)=RokKalendáře,MONTH(Ne1Dub)=4),Ne1Dub,""),IF(AND(YEAR(Ne1Dub+7)=RokKalendáře,MONTH(Ne1Dub+7)=4),Ne1Dub+7,""))</f>
        <v>43562</v>
      </c>
      <c r="R14" s="2"/>
      <c r="S14" s="5"/>
      <c r="U14" s="11"/>
      <c r="Z14" s="2"/>
      <c r="AH14" s="2"/>
      <c r="AP14" s="2"/>
    </row>
    <row r="15" spans="1:42" ht="15" customHeight="1" x14ac:dyDescent="0.2">
      <c r="B15" s="2"/>
      <c r="C15" s="36">
        <f ca="1">IF(DAY(Ne1Bře)=1,IF(AND(YEAR(Ne1Bře+1)=RokKalendáře,MONTH(Ne1Bře+1)=3),Ne1Bře+1,""),IF(AND(YEAR(Ne1Bře+8)=RokKalendáře,MONTH(Ne1Bře+8)=3),Ne1Bře+8,""))</f>
        <v>43528</v>
      </c>
      <c r="D15" s="36">
        <f ca="1">IF(DAY(Ne1Bře)=1,IF(AND(YEAR(Ne1Bře+2)=RokKalendáře,MONTH(Ne1Bře+2)=3),Ne1Bře+2,""),IF(AND(YEAR(Ne1Bře+9)=RokKalendáře,MONTH(Ne1Bře+9)=3),Ne1Bře+9,""))</f>
        <v>43529</v>
      </c>
      <c r="E15" s="36">
        <f ca="1">IF(DAY(Ne1Bře)=1,IF(AND(YEAR(Ne1Bře+3)=RokKalendáře,MONTH(Ne1Bře+3)=3),Ne1Bře+3,""),IF(AND(YEAR(Ne1Bře+10)=RokKalendáře,MONTH(Ne1Bře+10)=3),Ne1Bře+10,""))</f>
        <v>43530</v>
      </c>
      <c r="F15" s="36">
        <f ca="1">IF(DAY(Ne1Bře)=1,IF(AND(YEAR(Ne1Bře+4)=RokKalendáře,MONTH(Ne1Bře+4)=3),Ne1Bře+4,""),IF(AND(YEAR(Ne1Bře+11)=RokKalendáře,MONTH(Ne1Bře+11)=3),Ne1Bře+11,""))</f>
        <v>43531</v>
      </c>
      <c r="G15" s="36">
        <f ca="1">IF(DAY(Ne1Bře)=1,IF(AND(YEAR(Ne1Bře+5)=RokKalendáře,MONTH(Ne1Bře+5)=3),Ne1Bře+5,""),IF(AND(YEAR(Ne1Bře+12)=RokKalendáře,MONTH(Ne1Bře+12)=3),Ne1Bře+12,""))</f>
        <v>43532</v>
      </c>
      <c r="H15" s="36">
        <f ca="1">IF(DAY(Ne1Bře)=1,IF(AND(YEAR(Ne1Bře+6)=RokKalendáře,MONTH(Ne1Bře+6)=3),Ne1Bře+6,""),IF(AND(YEAR(Ne1Bře+13)=RokKalendáře,MONTH(Ne1Bře+13)=3),Ne1Bře+13,""))</f>
        <v>43533</v>
      </c>
      <c r="I15" s="36">
        <f ca="1">IF(DAY(Ne1Bře)=1,IF(AND(YEAR(Ne1Bře+7)=RokKalendáře,MONTH(Ne1Bře+7)=3),Ne1Bře+7,""),IF(AND(YEAR(Ne1Bře+14)=RokKalendáře,MONTH(Ne1Bře+14)=3),Ne1Bře+14,""))</f>
        <v>43534</v>
      </c>
      <c r="J15" s="20"/>
      <c r="K15" s="36">
        <f ca="1">IF(DAY(Ne1Dub)=1,IF(AND(YEAR(Ne1Dub+1)=RokKalendáře,MONTH(Ne1Dub+1)=4),Ne1Dub+1,""),IF(AND(YEAR(Ne1Dub+8)=RokKalendáře,MONTH(Ne1Dub+8)=4),Ne1Dub+8,""))</f>
        <v>43563</v>
      </c>
      <c r="L15" s="36">
        <f ca="1">IF(DAY(Ne1Dub)=1,IF(AND(YEAR(Ne1Dub+2)=RokKalendáře,MONTH(Ne1Dub+2)=4),Ne1Dub+2,""),IF(AND(YEAR(Ne1Dub+9)=RokKalendáře,MONTH(Ne1Dub+9)=4),Ne1Dub+9,""))</f>
        <v>43564</v>
      </c>
      <c r="M15" s="36">
        <f ca="1">IF(DAY(Ne1Dub)=1,IF(AND(YEAR(Ne1Dub+3)=RokKalendáře,MONTH(Ne1Dub+3)=4),Ne1Dub+3,""),IF(AND(YEAR(Ne1Dub+10)=RokKalendáře,MONTH(Ne1Dub+10)=4),Ne1Dub+10,""))</f>
        <v>43565</v>
      </c>
      <c r="N15" s="36">
        <f ca="1">IF(DAY(Ne1Dub)=1,IF(AND(YEAR(Ne1Dub+4)=RokKalendáře,MONTH(Ne1Dub+4)=4),Ne1Dub+4,""),IF(AND(YEAR(Ne1Dub+11)=RokKalendáře,MONTH(Ne1Dub+11)=4),Ne1Dub+11,""))</f>
        <v>43566</v>
      </c>
      <c r="O15" s="36">
        <f ca="1">IF(DAY(Ne1Dub)=1,IF(AND(YEAR(Ne1Dub+5)=RokKalendáře,MONTH(Ne1Dub+5)=4),Ne1Dub+5,""),IF(AND(YEAR(Ne1Dub+12)=RokKalendáře,MONTH(Ne1Dub+12)=4),Ne1Dub+12,""))</f>
        <v>43567</v>
      </c>
      <c r="P15" s="36">
        <f ca="1">IF(DAY(Ne1Dub)=1,IF(AND(YEAR(Ne1Dub+6)=RokKalendáře,MONTH(Ne1Dub+6)=4),Ne1Dub+6,""),IF(AND(YEAR(Ne1Dub+13)=RokKalendáře,MONTH(Ne1Dub+13)=4),Ne1Dub+13,""))</f>
        <v>43568</v>
      </c>
      <c r="Q15" s="36">
        <f ca="1">IF(DAY(Ne1Dub)=1,IF(AND(YEAR(Ne1Dub+7)=RokKalendáře,MONTH(Ne1Dub+7)=4),Ne1Dub+7,""),IF(AND(YEAR(Ne1Dub+14)=RokKalendáře,MONTH(Ne1Dub+14)=4),Ne1Dub+14,""))</f>
        <v>43569</v>
      </c>
      <c r="R15" s="2"/>
      <c r="S15" s="5"/>
      <c r="U15" s="12"/>
      <c r="Z15" s="2"/>
      <c r="AH15" s="2"/>
      <c r="AP15" s="2"/>
    </row>
    <row r="16" spans="1:42" ht="15" customHeight="1" x14ac:dyDescent="0.2">
      <c r="B16" s="2"/>
      <c r="C16" s="36">
        <f ca="1">IF(DAY(Ne1Bře)=1,IF(AND(YEAR(Ne1Bře+8)=RokKalendáře,MONTH(Ne1Bře+8)=3),Ne1Bře+8,""),IF(AND(YEAR(Ne1Bře+15)=RokKalendáře,MONTH(Ne1Bře+15)=3),Ne1Bře+15,""))</f>
        <v>43535</v>
      </c>
      <c r="D16" s="36">
        <f ca="1">IF(DAY(Ne1Bře)=1,IF(AND(YEAR(Ne1Bře+9)=RokKalendáře,MONTH(Ne1Bře+9)=3),Ne1Bře+9,""),IF(AND(YEAR(Ne1Bře+16)=RokKalendáře,MONTH(Ne1Bře+16)=3),Ne1Bře+16,""))</f>
        <v>43536</v>
      </c>
      <c r="E16" s="36">
        <f ca="1">IF(DAY(Ne1Bře)=1,IF(AND(YEAR(Ne1Bře+10)=RokKalendáře,MONTH(Ne1Bře+10)=3),Ne1Bře+10,""),IF(AND(YEAR(Ne1Bře+17)=RokKalendáře,MONTH(Ne1Bře+17)=3),Ne1Bře+17,""))</f>
        <v>43537</v>
      </c>
      <c r="F16" s="36">
        <f ca="1">IF(DAY(Ne1Bře)=1,IF(AND(YEAR(Ne1Bře+11)=RokKalendáře,MONTH(Ne1Bře+11)=3),Ne1Bře+11,""),IF(AND(YEAR(Ne1Bře+18)=RokKalendáře,MONTH(Ne1Bře+18)=3),Ne1Bře+18,""))</f>
        <v>43538</v>
      </c>
      <c r="G16" s="36">
        <f ca="1">IF(DAY(Ne1Bře)=1,IF(AND(YEAR(Ne1Bře+12)=RokKalendáře,MONTH(Ne1Bře+12)=3),Ne1Bře+12,""),IF(AND(YEAR(Ne1Bře+19)=RokKalendáře,MONTH(Ne1Bře+19)=3),Ne1Bře+19,""))</f>
        <v>43539</v>
      </c>
      <c r="H16" s="36">
        <f ca="1">IF(DAY(Ne1Bře)=1,IF(AND(YEAR(Ne1Bře+13)=RokKalendáře,MONTH(Ne1Bře+13)=3),Ne1Bře+13,""),IF(AND(YEAR(Ne1Bře+20)=RokKalendáře,MONTH(Ne1Bře+20)=3),Ne1Bře+20,""))</f>
        <v>43540</v>
      </c>
      <c r="I16" s="36">
        <f ca="1">IF(DAY(Ne1Bře)=1,IF(AND(YEAR(Ne1Bře+14)=RokKalendáře,MONTH(Ne1Bře+14)=3),Ne1Bře+14,""),IF(AND(YEAR(Ne1Bře+21)=RokKalendáře,MONTH(Ne1Bře+21)=3),Ne1Bře+21,""))</f>
        <v>43541</v>
      </c>
      <c r="J16" s="20"/>
      <c r="K16" s="36">
        <f ca="1">IF(DAY(Ne1Dub)=1,IF(AND(YEAR(Ne1Dub+8)=RokKalendáře,MONTH(Ne1Dub+8)=4),Ne1Dub+8,""),IF(AND(YEAR(Ne1Dub+15)=RokKalendáře,MONTH(Ne1Dub+15)=4),Ne1Dub+15,""))</f>
        <v>43570</v>
      </c>
      <c r="L16" s="36">
        <f ca="1">IF(DAY(Ne1Dub)=1,IF(AND(YEAR(Ne1Dub+9)=RokKalendáře,MONTH(Ne1Dub+9)=4),Ne1Dub+9,""),IF(AND(YEAR(Ne1Dub+16)=RokKalendáře,MONTH(Ne1Dub+16)=4),Ne1Dub+16,""))</f>
        <v>43571</v>
      </c>
      <c r="M16" s="36">
        <f ca="1">IF(DAY(Ne1Dub)=1,IF(AND(YEAR(Ne1Dub+10)=RokKalendáře,MONTH(Ne1Dub+10)=4),Ne1Dub+10,""),IF(AND(YEAR(Ne1Dub+17)=RokKalendáře,MONTH(Ne1Dub+17)=4),Ne1Dub+17,""))</f>
        <v>43572</v>
      </c>
      <c r="N16" s="36">
        <f ca="1">IF(DAY(Ne1Dub)=1,IF(AND(YEAR(Ne1Dub+11)=RokKalendáře,MONTH(Ne1Dub+11)=4),Ne1Dub+11,""),IF(AND(YEAR(Ne1Dub+18)=RokKalendáře,MONTH(Ne1Dub+18)=4),Ne1Dub+18,""))</f>
        <v>43573</v>
      </c>
      <c r="O16" s="36">
        <f ca="1">IF(DAY(Ne1Dub)=1,IF(AND(YEAR(Ne1Dub+12)=RokKalendáře,MONTH(Ne1Dub+12)=4),Ne1Dub+12,""),IF(AND(YEAR(Ne1Dub+19)=RokKalendáře,MONTH(Ne1Dub+19)=4),Ne1Dub+19,""))</f>
        <v>43574</v>
      </c>
      <c r="P16" s="36">
        <f ca="1">IF(DAY(Ne1Dub)=1,IF(AND(YEAR(Ne1Dub+13)=RokKalendáře,MONTH(Ne1Dub+13)=4),Ne1Dub+13,""),IF(AND(YEAR(Ne1Dub+20)=RokKalendáře,MONTH(Ne1Dub+20)=4),Ne1Dub+20,""))</f>
        <v>43575</v>
      </c>
      <c r="Q16" s="36">
        <f ca="1">IF(DAY(Ne1Dub)=1,IF(AND(YEAR(Ne1Dub+14)=RokKalendáře,MONTH(Ne1Dub+14)=4),Ne1Dub+14,""),IF(AND(YEAR(Ne1Dub+21)=RokKalendáře,MONTH(Ne1Dub+21)=4),Ne1Dub+21,""))</f>
        <v>43576</v>
      </c>
      <c r="R16" s="2"/>
      <c r="S16" s="5"/>
      <c r="U16" s="18"/>
      <c r="Z16" s="2"/>
      <c r="AH16" s="2"/>
      <c r="AP16" s="2"/>
    </row>
    <row r="17" spans="1:42" ht="15" customHeight="1" x14ac:dyDescent="0.2">
      <c r="B17" s="2"/>
      <c r="C17" s="36">
        <f ca="1">IF(DAY(Ne1Bře)=1,IF(AND(YEAR(Ne1Bře+15)=RokKalendáře,MONTH(Ne1Bře+15)=3),Ne1Bře+15,""),IF(AND(YEAR(Ne1Bře+22)=RokKalendáře,MONTH(Ne1Bře+22)=3),Ne1Bře+22,""))</f>
        <v>43542</v>
      </c>
      <c r="D17" s="36">
        <f ca="1">IF(DAY(Ne1Bře)=1,IF(AND(YEAR(Ne1Bře+16)=RokKalendáře,MONTH(Ne1Bře+16)=3),Ne1Bře+16,""),IF(AND(YEAR(Ne1Bře+23)=RokKalendáře,MONTH(Ne1Bře+23)=3),Ne1Bře+23,""))</f>
        <v>43543</v>
      </c>
      <c r="E17" s="36">
        <f ca="1">IF(DAY(Ne1Bře)=1,IF(AND(YEAR(Ne1Bře+17)=RokKalendáře,MONTH(Ne1Bře+17)=3),Ne1Bře+17,""),IF(AND(YEAR(Ne1Bře+24)=RokKalendáře,MONTH(Ne1Bře+24)=3),Ne1Bře+24,""))</f>
        <v>43544</v>
      </c>
      <c r="F17" s="36">
        <f ca="1">IF(DAY(Ne1Bře)=1,IF(AND(YEAR(Ne1Bře+18)=RokKalendáře,MONTH(Ne1Bře+18)=3),Ne1Bře+18,""),IF(AND(YEAR(Ne1Bře+25)=RokKalendáře,MONTH(Ne1Bře+25)=3),Ne1Bře+25,""))</f>
        <v>43545</v>
      </c>
      <c r="G17" s="36">
        <f ca="1">IF(DAY(Ne1Bře)=1,IF(AND(YEAR(Ne1Bře+19)=RokKalendáře,MONTH(Ne1Bře+19)=3),Ne1Bře+19,""),IF(AND(YEAR(Ne1Bře+26)=RokKalendáře,MONTH(Ne1Bře+26)=3),Ne1Bře+26,""))</f>
        <v>43546</v>
      </c>
      <c r="H17" s="36">
        <f ca="1">IF(DAY(Ne1Bře)=1,IF(AND(YEAR(Ne1Bře+20)=RokKalendáře,MONTH(Ne1Bře+20)=3),Ne1Bře+20,""),IF(AND(YEAR(Ne1Bře+27)=RokKalendáře,MONTH(Ne1Bře+27)=3),Ne1Bře+27,""))</f>
        <v>43547</v>
      </c>
      <c r="I17" s="36">
        <f ca="1">IF(DAY(Ne1Bře)=1,IF(AND(YEAR(Ne1Bře+21)=RokKalendáře,MONTH(Ne1Bře+21)=3),Ne1Bře+21,""),IF(AND(YEAR(Ne1Bře+28)=RokKalendáře,MONTH(Ne1Bře+28)=3),Ne1Bře+28,""))</f>
        <v>43548</v>
      </c>
      <c r="J17" s="20"/>
      <c r="K17" s="36">
        <f ca="1">IF(DAY(Ne1Dub)=1,IF(AND(YEAR(Ne1Dub+15)=RokKalendáře,MONTH(Ne1Dub+15)=4),Ne1Dub+15,""),IF(AND(YEAR(Ne1Dub+22)=RokKalendáře,MONTH(Ne1Dub+22)=4),Ne1Dub+22,""))</f>
        <v>43577</v>
      </c>
      <c r="L17" s="36">
        <f ca="1">IF(DAY(Ne1Dub)=1,IF(AND(YEAR(Ne1Dub+16)=RokKalendáře,MONTH(Ne1Dub+16)=4),Ne1Dub+16,""),IF(AND(YEAR(Ne1Dub+23)=RokKalendáře,MONTH(Ne1Dub+23)=4),Ne1Dub+23,""))</f>
        <v>43578</v>
      </c>
      <c r="M17" s="36">
        <f ca="1">IF(DAY(Ne1Dub)=1,IF(AND(YEAR(Ne1Dub+17)=RokKalendáře,MONTH(Ne1Dub+17)=4),Ne1Dub+17,""),IF(AND(YEAR(Ne1Dub+24)=RokKalendáře,MONTH(Ne1Dub+24)=4),Ne1Dub+24,""))</f>
        <v>43579</v>
      </c>
      <c r="N17" s="36">
        <f ca="1">IF(DAY(Ne1Dub)=1,IF(AND(YEAR(Ne1Dub+18)=RokKalendáře,MONTH(Ne1Dub+18)=4),Ne1Dub+18,""),IF(AND(YEAR(Ne1Dub+25)=RokKalendáře,MONTH(Ne1Dub+25)=4),Ne1Dub+25,""))</f>
        <v>43580</v>
      </c>
      <c r="O17" s="36">
        <f ca="1">IF(DAY(Ne1Dub)=1,IF(AND(YEAR(Ne1Dub+19)=RokKalendáře,MONTH(Ne1Dub+19)=4),Ne1Dub+19,""),IF(AND(YEAR(Ne1Dub+26)=RokKalendáře,MONTH(Ne1Dub+26)=4),Ne1Dub+26,""))</f>
        <v>43581</v>
      </c>
      <c r="P17" s="36">
        <f ca="1">IF(DAY(Ne1Dub)=1,IF(AND(YEAR(Ne1Dub+20)=RokKalendáře,MONTH(Ne1Dub+20)=4),Ne1Dub+20,""),IF(AND(YEAR(Ne1Dub+27)=RokKalendáře,MONTH(Ne1Dub+27)=4),Ne1Dub+27,""))</f>
        <v>43582</v>
      </c>
      <c r="Q17" s="36">
        <f ca="1">IF(DAY(Ne1Dub)=1,IF(AND(YEAR(Ne1Dub+21)=RokKalendáře,MONTH(Ne1Dub+21)=4),Ne1Dub+21,""),IF(AND(YEAR(Ne1Dub+28)=RokKalendáře,MONTH(Ne1Dub+28)=4),Ne1Dub+28,""))</f>
        <v>43583</v>
      </c>
      <c r="R17" s="2"/>
      <c r="S17" s="5"/>
      <c r="U17" s="11"/>
      <c r="Z17" s="2"/>
      <c r="AH17" s="2"/>
      <c r="AP17" s="2"/>
    </row>
    <row r="18" spans="1:42" ht="15" customHeight="1" x14ac:dyDescent="0.2">
      <c r="B18" s="2"/>
      <c r="C18" s="36">
        <f ca="1">IF(DAY(Ne1Bře)=1,IF(AND(YEAR(Ne1Bře+22)=RokKalendáře,MONTH(Ne1Bře+22)=3),Ne1Bře+22,""),IF(AND(YEAR(Ne1Bře+29)=RokKalendáře,MONTH(Ne1Bře+29)=3),Ne1Bře+29,""))</f>
        <v>43549</v>
      </c>
      <c r="D18" s="36">
        <f ca="1">IF(DAY(Ne1Bře)=1,IF(AND(YEAR(Ne1Bře+23)=RokKalendáře,MONTH(Ne1Bře+23)=3),Ne1Bře+23,""),IF(AND(YEAR(Ne1Bře+30)=RokKalendáře,MONTH(Ne1Bře+30)=3),Ne1Bře+30,""))</f>
        <v>43550</v>
      </c>
      <c r="E18" s="36">
        <f ca="1">IF(DAY(Ne1Bře)=1,IF(AND(YEAR(Ne1Bře+24)=RokKalendáře,MONTH(Ne1Bře+24)=3),Ne1Bře+24,""),IF(AND(YEAR(Ne1Bře+31)=RokKalendáře,MONTH(Ne1Bře+31)=3),Ne1Bře+31,""))</f>
        <v>43551</v>
      </c>
      <c r="F18" s="36">
        <f ca="1">IF(DAY(Ne1Bře)=1,IF(AND(YEAR(Ne1Bře+25)=RokKalendáře,MONTH(Ne1Bře+25)=3),Ne1Bře+25,""),IF(AND(YEAR(Ne1Bře+32)=RokKalendáře,MONTH(Ne1Bře+32)=3),Ne1Bře+32,""))</f>
        <v>43552</v>
      </c>
      <c r="G18" s="36">
        <f ca="1">IF(DAY(Ne1Bře)=1,IF(AND(YEAR(Ne1Bře+26)=RokKalendáře,MONTH(Ne1Bře+26)=3),Ne1Bře+26,""),IF(AND(YEAR(Ne1Bře+33)=RokKalendáře,MONTH(Ne1Bře+33)=3),Ne1Bře+33,""))</f>
        <v>43553</v>
      </c>
      <c r="H18" s="36">
        <f ca="1">IF(DAY(Ne1Bře)=1,IF(AND(YEAR(Ne1Bře+27)=RokKalendáře,MONTH(Ne1Bře+27)=3),Ne1Bře+27,""),IF(AND(YEAR(Ne1Bře+34)=RokKalendáře,MONTH(Ne1Bře+34)=3),Ne1Bře+34,""))</f>
        <v>43554</v>
      </c>
      <c r="I18" s="36">
        <f ca="1">IF(DAY(Ne1Bře)=1,IF(AND(YEAR(Ne1Bře+28)=RokKalendáře,MONTH(Ne1Bře+28)=3),Ne1Bře+28,""),IF(AND(YEAR(Ne1Bře+35)=RokKalendáře,MONTH(Ne1Bře+35)=3),Ne1Bře+35,""))</f>
        <v>43555</v>
      </c>
      <c r="J18" s="20"/>
      <c r="K18" s="36">
        <f ca="1">IF(DAY(Ne1Dub)=1,IF(AND(YEAR(Ne1Dub+22)=RokKalendáře,MONTH(Ne1Dub+22)=4),Ne1Dub+22,""),IF(AND(YEAR(Ne1Dub+29)=RokKalendáře,MONTH(Ne1Dub+29)=4),Ne1Dub+29,""))</f>
        <v>43584</v>
      </c>
      <c r="L18" s="36">
        <f ca="1">IF(DAY(Ne1Dub)=1,IF(AND(YEAR(Ne1Dub+23)=RokKalendáře,MONTH(Ne1Dub+23)=4),Ne1Dub+23,""),IF(AND(YEAR(Ne1Dub+30)=RokKalendáře,MONTH(Ne1Dub+30)=4),Ne1Dub+30,""))</f>
        <v>43585</v>
      </c>
      <c r="M18" s="36" t="str">
        <f ca="1">IF(DAY(Ne1Dub)=1,IF(AND(YEAR(Ne1Dub+24)=RokKalendáře,MONTH(Ne1Dub+24)=4),Ne1Dub+24,""),IF(AND(YEAR(Ne1Dub+31)=RokKalendáře,MONTH(Ne1Dub+31)=4),Ne1Dub+31,""))</f>
        <v/>
      </c>
      <c r="N18" s="36" t="str">
        <f ca="1">IF(DAY(Ne1Dub)=1,IF(AND(YEAR(Ne1Dub+25)=RokKalendáře,MONTH(Ne1Dub+25)=4),Ne1Dub+25,""),IF(AND(YEAR(Ne1Dub+32)=RokKalendáře,MONTH(Ne1Dub+32)=4),Ne1Dub+32,""))</f>
        <v/>
      </c>
      <c r="O18" s="36" t="str">
        <f ca="1">IF(DAY(Ne1Dub)=1,IF(AND(YEAR(Ne1Dub+26)=RokKalendáře,MONTH(Ne1Dub+26)=4),Ne1Dub+26,""),IF(AND(YEAR(Ne1Dub+33)=RokKalendáře,MONTH(Ne1Dub+33)=4),Ne1Dub+33,""))</f>
        <v/>
      </c>
      <c r="P18" s="36" t="str">
        <f ca="1">IF(DAY(Ne1Dub)=1,IF(AND(YEAR(Ne1Dub+27)=RokKalendáře,MONTH(Ne1Dub+27)=4),Ne1Dub+27,""),IF(AND(YEAR(Ne1Dub+34)=RokKalendáře,MONTH(Ne1Dub+34)=4),Ne1Dub+34,""))</f>
        <v/>
      </c>
      <c r="Q18" s="36" t="str">
        <f ca="1">IF(DAY(Ne1Dub)=1,IF(AND(YEAR(Ne1Dub+28)=RokKalendáře,MONTH(Ne1Dub+28)=4),Ne1Dub+28,""),IF(AND(YEAR(Ne1Dub+35)=RokKalendáře,MONTH(Ne1Dub+35)=4),Ne1Dub+35,""))</f>
        <v/>
      </c>
      <c r="R18" s="2"/>
      <c r="S18" s="5"/>
      <c r="U18" s="12"/>
      <c r="Z18" s="2"/>
      <c r="AH18" s="2"/>
      <c r="AP18" s="2"/>
    </row>
    <row r="19" spans="1:42" ht="15" customHeight="1" x14ac:dyDescent="0.2">
      <c r="B19" s="2"/>
      <c r="C19" s="36" t="str">
        <f ca="1">IF(DAY(Ne1Bře)=1,IF(AND(YEAR(Ne1Bře+29)=RokKalendáře,MONTH(Ne1Bře+29)=3),Ne1Bře+29,""),IF(AND(YEAR(Ne1Bře+36)=RokKalendáře,MONTH(Ne1Bře+36)=3),Ne1Bře+36,""))</f>
        <v/>
      </c>
      <c r="D19" s="36" t="str">
        <f ca="1">IF(DAY(Ne1Bře)=1,IF(AND(YEAR(Ne1Bře+30)=RokKalendáře,MONTH(Ne1Bře+30)=3),Ne1Bře+30,""),IF(AND(YEAR(Ne1Bře+37)=RokKalendáře,MONTH(Ne1Bře+37)=3),Ne1Bře+37,""))</f>
        <v/>
      </c>
      <c r="E19" s="36" t="str">
        <f ca="1">IF(DAY(Ne1Bře)=1,IF(AND(YEAR(Ne1Bře+31)=RokKalendáře,MONTH(Ne1Bře+31)=3),Ne1Bře+31,""),IF(AND(YEAR(Ne1Bře+38)=RokKalendáře,MONTH(Ne1Bře+38)=3),Ne1Bře+38,""))</f>
        <v/>
      </c>
      <c r="F19" s="36" t="str">
        <f ca="1">IF(DAY(Ne1Bře)=1,IF(AND(YEAR(Ne1Bře+32)=RokKalendáře,MONTH(Ne1Bře+32)=3),Ne1Bře+32,""),IF(AND(YEAR(Ne1Bře+39)=RokKalendáře,MONTH(Ne1Bře+39)=3),Ne1Bře+39,""))</f>
        <v/>
      </c>
      <c r="G19" s="36" t="str">
        <f ca="1">IF(DAY(Ne1Bře)=1,IF(AND(YEAR(Ne1Bře+33)=RokKalendáře,MONTH(Ne1Bře+33)=3),Ne1Bře+33,""),IF(AND(YEAR(Ne1Bře+40)=RokKalendáře,MONTH(Ne1Bře+40)=3),Ne1Bře+40,""))</f>
        <v/>
      </c>
      <c r="H19" s="36" t="str">
        <f ca="1">IF(DAY(Ne1Bře)=1,IF(AND(YEAR(Ne1Bře+34)=RokKalendáře,MONTH(Ne1Bře+34)=3),Ne1Bře+34,""),IF(AND(YEAR(Ne1Bře+41)=RokKalendáře,MONTH(Ne1Bře+41)=3),Ne1Bře+41,""))</f>
        <v/>
      </c>
      <c r="I19" s="36" t="str">
        <f ca="1">IF(DAY(Ne1Bře)=1,IF(AND(YEAR(Ne1Bře+35)=RokKalendáře,MONTH(Ne1Bře+35)=3),Ne1Bře+35,""),IF(AND(YEAR(Ne1Bře+42)=RokKalendáře,MONTH(Ne1Bře+42)=3),Ne1Bře+42,""))</f>
        <v/>
      </c>
      <c r="J19" s="20"/>
      <c r="K19" s="36" t="str">
        <f ca="1">IF(DAY(Ne1Dub)=1,IF(AND(YEAR(Ne1Dub+29)=RokKalendáře,MONTH(Ne1Dub+29)=4),Ne1Dub+29,""),IF(AND(YEAR(Ne1Dub+36)=RokKalendáře,MONTH(Ne1Dub+36)=4),Ne1Dub+36,""))</f>
        <v/>
      </c>
      <c r="L19" s="36" t="str">
        <f ca="1">IF(DAY(Ne1Dub)=1,IF(AND(YEAR(Ne1Dub+30)=RokKalendáře,MONTH(Ne1Dub+30)=4),Ne1Dub+30,""),IF(AND(YEAR(Ne1Dub+37)=RokKalendáře,MONTH(Ne1Dub+37)=4),Ne1Dub+37,""))</f>
        <v/>
      </c>
      <c r="M19" s="36" t="str">
        <f ca="1">IF(DAY(Ne1Dub)=1,IF(AND(YEAR(Ne1Dub+31)=RokKalendáře,MONTH(Ne1Dub+31)=4),Ne1Dub+31,""),IF(AND(YEAR(Ne1Dub+38)=RokKalendáře,MONTH(Ne1Dub+38)=4),Ne1Dub+38,""))</f>
        <v/>
      </c>
      <c r="N19" s="36" t="str">
        <f ca="1">IF(DAY(Ne1Dub)=1,IF(AND(YEAR(Ne1Dub+32)=RokKalendáře,MONTH(Ne1Dub+32)=4),Ne1Dub+32,""),IF(AND(YEAR(Ne1Dub+39)=RokKalendáře,MONTH(Ne1Dub+39)=4),Ne1Dub+39,""))</f>
        <v/>
      </c>
      <c r="O19" s="36" t="str">
        <f ca="1">IF(DAY(Ne1Dub)=1,IF(AND(YEAR(Ne1Dub+33)=RokKalendáře,MONTH(Ne1Dub+33)=4),Ne1Dub+33,""),IF(AND(YEAR(Ne1Dub+40)=RokKalendáře,MONTH(Ne1Dub+40)=4),Ne1Dub+40,""))</f>
        <v/>
      </c>
      <c r="P19" s="36" t="str">
        <f ca="1">IF(DAY(Ne1Dub)=1,IF(AND(YEAR(Ne1Dub+34)=RokKalendáře,MONTH(Ne1Dub+34)=4),Ne1Dub+34,""),IF(AND(YEAR(Ne1Dub+41)=RokKalendáře,MONTH(Ne1Dub+41)=4),Ne1Dub+41,""))</f>
        <v/>
      </c>
      <c r="Q19" s="36" t="str">
        <f ca="1">IF(DAY(Ne1Dub)=1,IF(AND(YEAR(Ne1Dub+35)=RokKalendáře,MONTH(Ne1Dub+35)=4),Ne1Dub+35,""),IF(AND(YEAR(Ne1Dub+42)=RokKalendáře,MONTH(Ne1Dub+42)=4),Ne1Dub+42,""))</f>
        <v/>
      </c>
      <c r="R19" s="2"/>
      <c r="S19" s="5"/>
      <c r="U19" s="18"/>
      <c r="Z19" s="2"/>
      <c r="AH19" s="2"/>
      <c r="AP19" s="2"/>
    </row>
    <row r="20" spans="1:42" ht="15" customHeight="1" x14ac:dyDescent="0.2">
      <c r="B20" s="2"/>
      <c r="J20" s="20"/>
      <c r="R20" s="2"/>
      <c r="S20" s="5"/>
      <c r="U20" s="11"/>
      <c r="Z20" s="2"/>
      <c r="AH20" s="2"/>
      <c r="AP20" s="2"/>
    </row>
    <row r="21" spans="1:42" s="22" customFormat="1" ht="15" customHeight="1" x14ac:dyDescent="0.25">
      <c r="A21" s="1"/>
      <c r="B21" s="2"/>
      <c r="C21" s="4" t="s">
        <v>3</v>
      </c>
      <c r="D21" s="3"/>
      <c r="E21" s="3"/>
      <c r="F21" s="3"/>
      <c r="G21" s="3"/>
      <c r="H21" s="3"/>
      <c r="I21" s="3"/>
      <c r="J21" s="20"/>
      <c r="K21" s="4" t="s">
        <v>13</v>
      </c>
      <c r="L21" s="3"/>
      <c r="M21" s="3"/>
      <c r="N21" s="3"/>
      <c r="O21" s="3"/>
      <c r="P21" s="3"/>
      <c r="Q21" s="3"/>
      <c r="R21" s="2"/>
      <c r="S21" s="38"/>
      <c r="T21"/>
      <c r="U21" s="12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</row>
    <row r="22" spans="1:42" ht="15" customHeight="1" x14ac:dyDescent="0.2">
      <c r="B22" s="2"/>
      <c r="C22" s="28" t="s">
        <v>1</v>
      </c>
      <c r="D22" s="28" t="s">
        <v>7</v>
      </c>
      <c r="E22" s="28" t="s">
        <v>9</v>
      </c>
      <c r="F22" s="28" t="s">
        <v>8</v>
      </c>
      <c r="G22" s="28" t="s">
        <v>1</v>
      </c>
      <c r="H22" s="28" t="s">
        <v>9</v>
      </c>
      <c r="I22" s="28" t="s">
        <v>10</v>
      </c>
      <c r="J22" s="21"/>
      <c r="K22" s="29" t="s">
        <v>1</v>
      </c>
      <c r="L22" s="29" t="s">
        <v>7</v>
      </c>
      <c r="M22" s="29" t="s">
        <v>9</v>
      </c>
      <c r="N22" s="29" t="s">
        <v>8</v>
      </c>
      <c r="O22" s="29" t="s">
        <v>1</v>
      </c>
      <c r="P22" s="29" t="s">
        <v>9</v>
      </c>
      <c r="Q22" s="29" t="s">
        <v>10</v>
      </c>
      <c r="R22" s="2"/>
      <c r="S22" s="5"/>
      <c r="U22" s="18"/>
      <c r="Z22" s="2"/>
      <c r="AH22" s="2"/>
      <c r="AP22" s="2"/>
    </row>
    <row r="23" spans="1:42" ht="15" customHeight="1" x14ac:dyDescent="0.25">
      <c r="B23" s="2"/>
      <c r="C23" s="36" t="str">
        <f ca="1">IF(DAY(Ne1Kvě)=1,"",IF(AND(YEAR(Ne1Kvě+1)=RokKalendáře,MONTH(Ne1Kvě+1)=5),Ne1Kvě+1,""))</f>
        <v/>
      </c>
      <c r="D23" s="36" t="str">
        <f ca="1">IF(DAY(Ne1Kvě)=1,"",IF(AND(YEAR(Ne1Kvě+2)=RokKalendáře,MONTH(Ne1Kvě+2)=5),Ne1Kvě+2,""))</f>
        <v/>
      </c>
      <c r="E23" s="36">
        <f ca="1">IF(DAY(Ne1Kvě)=1,"",IF(AND(YEAR(Ne1Kvě+3)=RokKalendáře,MONTH(Ne1Kvě+3)=5),Ne1Kvě+3,""))</f>
        <v>43586</v>
      </c>
      <c r="F23" s="36">
        <f ca="1">IF(DAY(Ne1Kvě)=1,"",IF(AND(YEAR(Ne1Kvě+4)=RokKalendáře,MONTH(Ne1Kvě+4)=5),Ne1Kvě+4,""))</f>
        <v>43587</v>
      </c>
      <c r="G23" s="36">
        <f ca="1">IF(DAY(Ne1Kvě)=1,"",IF(AND(YEAR(Ne1Kvě+5)=RokKalendáře,MONTH(Ne1Kvě+5)=5),Ne1Kvě+5,""))</f>
        <v>43588</v>
      </c>
      <c r="H23" s="36">
        <f ca="1">IF(DAY(Ne1Kvě)=1,"",IF(AND(YEAR(Ne1Kvě+6)=RokKalendáře,MONTH(Ne1Kvě+6)=5),Ne1Kvě+6,""))</f>
        <v>43589</v>
      </c>
      <c r="I23" s="36">
        <f ca="1">IF(DAY(Ne1Kvě)=1,IF(AND(YEAR(Ne1Kvě)=RokKalendáře,MONTH(Ne1Kvě)=5),Ne1Kvě,""),IF(AND(YEAR(Ne1Kvě+7)=RokKalendáře,MONTH(Ne1Kvě+7)=5),Ne1Kvě+7,""))</f>
        <v>43590</v>
      </c>
      <c r="J23" s="19"/>
      <c r="K23" s="36" t="str">
        <f ca="1">IF(DAY(Ne1Čer)=1,"",IF(AND(YEAR(Ne1Čer+1)=RokKalendáře,MONTH(Ne1Čer+1)=6),Ne1Čer+1,""))</f>
        <v/>
      </c>
      <c r="L23" s="36" t="str">
        <f ca="1">IF(DAY(Ne1Čer)=1,"",IF(AND(YEAR(Ne1Čer+2)=RokKalendáře,MONTH(Ne1Čer+2)=6),Ne1Čer+2,""))</f>
        <v/>
      </c>
      <c r="M23" s="36" t="str">
        <f ca="1">IF(DAY(Ne1Čer)=1,"",IF(AND(YEAR(Ne1Čer+3)=RokKalendáře,MONTH(Ne1Čer+3)=6),Ne1Čer+3,""))</f>
        <v/>
      </c>
      <c r="N23" s="36" t="str">
        <f ca="1">IF(DAY(Ne1Čer)=1,"",IF(AND(YEAR(Ne1Čer+4)=RokKalendáře,MONTH(Ne1Čer+4)=6),Ne1Čer+4,""))</f>
        <v/>
      </c>
      <c r="O23" s="36" t="str">
        <f ca="1">IF(DAY(Ne1Čer)=1,"",IF(AND(YEAR(Ne1Čer+5)=RokKalendáře,MONTH(Ne1Čer+5)=6),Ne1Čer+5,""))</f>
        <v/>
      </c>
      <c r="P23" s="36">
        <f ca="1">IF(DAY(Ne1Čer)=1,"",IF(AND(YEAR(Ne1Čer+6)=RokKalendáře,MONTH(Ne1Čer+6)=6),Ne1Čer+6,""))</f>
        <v>43617</v>
      </c>
      <c r="Q23" s="36">
        <f ca="1">IF(DAY(Ne1Čer)=1,IF(AND(YEAR(Ne1Čer)=RokKalendáře,MONTH(Ne1Čer)=6),Ne1Čer,""),IF(AND(YEAR(Ne1Čer+7)=RokKalendáře,MONTH(Ne1Čer+7)=6),Ne1Čer+7,""))</f>
        <v>43618</v>
      </c>
      <c r="R23" s="2"/>
      <c r="S23" s="5"/>
      <c r="U23" s="11"/>
      <c r="Z23" s="2"/>
      <c r="AH23" s="2"/>
      <c r="AP23" s="2"/>
    </row>
    <row r="24" spans="1:42" ht="15" customHeight="1" x14ac:dyDescent="0.2">
      <c r="B24" s="2"/>
      <c r="C24" s="36">
        <f ca="1">IF(DAY(Ne1Kvě)=1,IF(AND(YEAR(Ne1Kvě+1)=RokKalendáře,MONTH(Ne1Kvě+1)=5),Ne1Kvě+1,""),IF(AND(YEAR(Ne1Kvě+8)=RokKalendáře,MONTH(Ne1Kvě+8)=5),Ne1Kvě+8,""))</f>
        <v>43591</v>
      </c>
      <c r="D24" s="36">
        <f ca="1">IF(DAY(Ne1Kvě)=1,IF(AND(YEAR(Ne1Kvě+2)=RokKalendáře,MONTH(Ne1Kvě+2)=5),Ne1Kvě+2,""),IF(AND(YEAR(Ne1Kvě+9)=RokKalendáře,MONTH(Ne1Kvě+9)=5),Ne1Kvě+9,""))</f>
        <v>43592</v>
      </c>
      <c r="E24" s="36">
        <f ca="1">IF(DAY(Ne1Kvě)=1,IF(AND(YEAR(Ne1Kvě+3)=RokKalendáře,MONTH(Ne1Kvě+3)=5),Ne1Kvě+3,""),IF(AND(YEAR(Ne1Kvě+10)=RokKalendáře,MONTH(Ne1Kvě+10)=5),Ne1Kvě+10,""))</f>
        <v>43593</v>
      </c>
      <c r="F24" s="36">
        <f ca="1">IF(DAY(Ne1Kvě)=1,IF(AND(YEAR(Ne1Kvě+4)=RokKalendáře,MONTH(Ne1Kvě+4)=5),Ne1Kvě+4,""),IF(AND(YEAR(Ne1Kvě+11)=RokKalendáře,MONTH(Ne1Kvě+11)=5),Ne1Kvě+11,""))</f>
        <v>43594</v>
      </c>
      <c r="G24" s="36">
        <f ca="1">IF(DAY(Ne1Kvě)=1,IF(AND(YEAR(Ne1Kvě+5)=RokKalendáře,MONTH(Ne1Kvě+5)=5),Ne1Kvě+5,""),IF(AND(YEAR(Ne1Kvě+12)=RokKalendáře,MONTH(Ne1Kvě+12)=5),Ne1Kvě+12,""))</f>
        <v>43595</v>
      </c>
      <c r="H24" s="36">
        <f ca="1">IF(DAY(Ne1Kvě)=1,IF(AND(YEAR(Ne1Kvě+6)=RokKalendáře,MONTH(Ne1Kvě+6)=5),Ne1Kvě+6,""),IF(AND(YEAR(Ne1Kvě+13)=RokKalendáře,MONTH(Ne1Kvě+13)=5),Ne1Kvě+13,""))</f>
        <v>43596</v>
      </c>
      <c r="I24" s="36">
        <f ca="1">IF(DAY(Ne1Kvě)=1,IF(AND(YEAR(Ne1Kvě+7)=RokKalendáře,MONTH(Ne1Kvě+7)=5),Ne1Kvě+7,""),IF(AND(YEAR(Ne1Kvě+14)=RokKalendáře,MONTH(Ne1Kvě+14)=5),Ne1Kvě+14,""))</f>
        <v>43597</v>
      </c>
      <c r="J24" s="20"/>
      <c r="K24" s="36">
        <f ca="1">IF(DAY(Ne1Čer)=1,IF(AND(YEAR(Ne1Čer+1)=RokKalendáře,MONTH(Ne1Čer+1)=6),Ne1Čer+1,""),IF(AND(YEAR(Ne1Čer+8)=RokKalendáře,MONTH(Ne1Čer+8)=6),Ne1Čer+8,""))</f>
        <v>43619</v>
      </c>
      <c r="L24" s="36">
        <f ca="1">IF(DAY(Ne1Čer)=1,IF(AND(YEAR(Ne1Čer+2)=RokKalendáře,MONTH(Ne1Čer+2)=6),Ne1Čer+2,""),IF(AND(YEAR(Ne1Čer+9)=RokKalendáře,MONTH(Ne1Čer+9)=6),Ne1Čer+9,""))</f>
        <v>43620</v>
      </c>
      <c r="M24" s="36">
        <f ca="1">IF(DAY(Ne1Čer)=1,IF(AND(YEAR(Ne1Čer+3)=RokKalendáře,MONTH(Ne1Čer+3)=6),Ne1Čer+3,""),IF(AND(YEAR(Ne1Čer+10)=RokKalendáře,MONTH(Ne1Čer+10)=6),Ne1Čer+10,""))</f>
        <v>43621</v>
      </c>
      <c r="N24" s="36">
        <f ca="1">IF(DAY(Ne1Čer)=1,IF(AND(YEAR(Ne1Čer+4)=RokKalendáře,MONTH(Ne1Čer+4)=6),Ne1Čer+4,""),IF(AND(YEAR(Ne1Čer+11)=RokKalendáře,MONTH(Ne1Čer+11)=6),Ne1Čer+11,""))</f>
        <v>43622</v>
      </c>
      <c r="O24" s="36">
        <f ca="1">IF(DAY(Ne1Čer)=1,IF(AND(YEAR(Ne1Čer+5)=RokKalendáře,MONTH(Ne1Čer+5)=6),Ne1Čer+5,""),IF(AND(YEAR(Ne1Čer+12)=RokKalendáře,MONTH(Ne1Čer+12)=6),Ne1Čer+12,""))</f>
        <v>43623</v>
      </c>
      <c r="P24" s="36">
        <f ca="1">IF(DAY(Ne1Čer)=1,IF(AND(YEAR(Ne1Čer+6)=RokKalendáře,MONTH(Ne1Čer+6)=6),Ne1Čer+6,""),IF(AND(YEAR(Ne1Čer+13)=RokKalendáře,MONTH(Ne1Čer+13)=6),Ne1Čer+13,""))</f>
        <v>43624</v>
      </c>
      <c r="Q24" s="36">
        <f ca="1">IF(DAY(Ne1Čer)=1,IF(AND(YEAR(Ne1Čer+7)=RokKalendáře,MONTH(Ne1Čer+7)=6),Ne1Čer+7,""),IF(AND(YEAR(Ne1Čer+14)=RokKalendáře,MONTH(Ne1Čer+14)=6),Ne1Čer+14,""))</f>
        <v>43625</v>
      </c>
      <c r="R24" s="2"/>
      <c r="S24" s="5"/>
      <c r="U24" s="12"/>
      <c r="Z24" s="2"/>
      <c r="AH24" s="2"/>
      <c r="AP24" s="2"/>
    </row>
    <row r="25" spans="1:42" ht="15" customHeight="1" x14ac:dyDescent="0.2">
      <c r="B25" s="2"/>
      <c r="C25" s="36">
        <f ca="1">IF(DAY(Ne1Kvě)=1,IF(AND(YEAR(Ne1Kvě+8)=RokKalendáře,MONTH(Ne1Kvě+8)=5),Ne1Kvě+8,""),IF(AND(YEAR(Ne1Kvě+15)=RokKalendáře,MONTH(Ne1Kvě+15)=5),Ne1Kvě+15,""))</f>
        <v>43598</v>
      </c>
      <c r="D25" s="36">
        <f ca="1">IF(DAY(Ne1Kvě)=1,IF(AND(YEAR(Ne1Kvě+9)=RokKalendáře,MONTH(Ne1Kvě+9)=5),Ne1Kvě+9,""),IF(AND(YEAR(Ne1Kvě+16)=RokKalendáře,MONTH(Ne1Kvě+16)=5),Ne1Kvě+16,""))</f>
        <v>43599</v>
      </c>
      <c r="E25" s="36">
        <f ca="1">IF(DAY(Ne1Kvě)=1,IF(AND(YEAR(Ne1Kvě+10)=RokKalendáře,MONTH(Ne1Kvě+10)=5),Ne1Kvě+10,""),IF(AND(YEAR(Ne1Kvě+17)=RokKalendáře,MONTH(Ne1Kvě+17)=5),Ne1Kvě+17,""))</f>
        <v>43600</v>
      </c>
      <c r="F25" s="36">
        <f ca="1">IF(DAY(Ne1Kvě)=1,IF(AND(YEAR(Ne1Kvě+11)=RokKalendáře,MONTH(Ne1Kvě+11)=5),Ne1Kvě+11,""),IF(AND(YEAR(Ne1Kvě+18)=RokKalendáře,MONTH(Ne1Kvě+18)=5),Ne1Kvě+18,""))</f>
        <v>43601</v>
      </c>
      <c r="G25" s="36">
        <f ca="1">IF(DAY(Ne1Kvě)=1,IF(AND(YEAR(Ne1Kvě+12)=RokKalendáře,MONTH(Ne1Kvě+12)=5),Ne1Kvě+12,""),IF(AND(YEAR(Ne1Kvě+19)=RokKalendáře,MONTH(Ne1Kvě+19)=5),Ne1Kvě+19,""))</f>
        <v>43602</v>
      </c>
      <c r="H25" s="36">
        <f ca="1">IF(DAY(Ne1Kvě)=1,IF(AND(YEAR(Ne1Kvě+13)=RokKalendáře,MONTH(Ne1Kvě+13)=5),Ne1Kvě+13,""),IF(AND(YEAR(Ne1Kvě+20)=RokKalendáře,MONTH(Ne1Kvě+20)=5),Ne1Kvě+20,""))</f>
        <v>43603</v>
      </c>
      <c r="I25" s="36">
        <f ca="1">IF(DAY(Ne1Kvě)=1,IF(AND(YEAR(Ne1Kvě+14)=RokKalendáře,MONTH(Ne1Kvě+14)=5),Ne1Kvě+14,""),IF(AND(YEAR(Ne1Kvě+21)=RokKalendáře,MONTH(Ne1Kvě+21)=5),Ne1Kvě+21,""))</f>
        <v>43604</v>
      </c>
      <c r="J25" s="20"/>
      <c r="K25" s="36">
        <f ca="1">IF(DAY(Ne1Čer)=1,IF(AND(YEAR(Ne1Čer+8)=RokKalendáře,MONTH(Ne1Čer+8)=6),Ne1Čer+8,""),IF(AND(YEAR(Ne1Čer+15)=RokKalendáře,MONTH(Ne1Čer+15)=6),Ne1Čer+15,""))</f>
        <v>43626</v>
      </c>
      <c r="L25" s="36">
        <f ca="1">IF(DAY(Ne1Čer)=1,IF(AND(YEAR(Ne1Čer+9)=RokKalendáře,MONTH(Ne1Čer+9)=6),Ne1Čer+9,""),IF(AND(YEAR(Ne1Čer+16)=RokKalendáře,MONTH(Ne1Čer+16)=6),Ne1Čer+16,""))</f>
        <v>43627</v>
      </c>
      <c r="M25" s="36">
        <f ca="1">IF(DAY(Ne1Čer)=1,IF(AND(YEAR(Ne1Čer+10)=RokKalendáře,MONTH(Ne1Čer+10)=6),Ne1Čer+10,""),IF(AND(YEAR(Ne1Čer+17)=RokKalendáře,MONTH(Ne1Čer+17)=6),Ne1Čer+17,""))</f>
        <v>43628</v>
      </c>
      <c r="N25" s="36">
        <f ca="1">IF(DAY(Ne1Čer)=1,IF(AND(YEAR(Ne1Čer+11)=RokKalendáře,MONTH(Ne1Čer+11)=6),Ne1Čer+11,""),IF(AND(YEAR(Ne1Čer+18)=RokKalendáře,MONTH(Ne1Čer+18)=6),Ne1Čer+18,""))</f>
        <v>43629</v>
      </c>
      <c r="O25" s="36">
        <f ca="1">IF(DAY(Ne1Čer)=1,IF(AND(YEAR(Ne1Čer+12)=RokKalendáře,MONTH(Ne1Čer+12)=6),Ne1Čer+12,""),IF(AND(YEAR(Ne1Čer+19)=RokKalendáře,MONTH(Ne1Čer+19)=6),Ne1Čer+19,""))</f>
        <v>43630</v>
      </c>
      <c r="P25" s="36">
        <f ca="1">IF(DAY(Ne1Čer)=1,IF(AND(YEAR(Ne1Čer+13)=RokKalendáře,MONTH(Ne1Čer+13)=6),Ne1Čer+13,""),IF(AND(YEAR(Ne1Čer+20)=RokKalendáře,MONTH(Ne1Čer+20)=6),Ne1Čer+20,""))</f>
        <v>43631</v>
      </c>
      <c r="Q25" s="36">
        <f ca="1">IF(DAY(Ne1Čer)=1,IF(AND(YEAR(Ne1Čer+14)=RokKalendáře,MONTH(Ne1Čer+14)=6),Ne1Čer+14,""),IF(AND(YEAR(Ne1Čer+21)=RokKalendáře,MONTH(Ne1Čer+21)=6),Ne1Čer+21,""))</f>
        <v>43632</v>
      </c>
      <c r="R25" s="2"/>
      <c r="S25" s="5"/>
      <c r="U25" s="18"/>
      <c r="Z25" s="2"/>
      <c r="AH25" s="2"/>
      <c r="AP25" s="2"/>
    </row>
    <row r="26" spans="1:42" ht="15" customHeight="1" x14ac:dyDescent="0.2">
      <c r="B26" s="2"/>
      <c r="C26" s="36">
        <f ca="1">IF(DAY(Ne1Kvě)=1,IF(AND(YEAR(Ne1Kvě+15)=RokKalendáře,MONTH(Ne1Kvě+15)=5),Ne1Kvě+15,""),IF(AND(YEAR(Ne1Kvě+22)=RokKalendáře,MONTH(Ne1Kvě+22)=5),Ne1Kvě+22,""))</f>
        <v>43605</v>
      </c>
      <c r="D26" s="36">
        <f ca="1">IF(DAY(Ne1Kvě)=1,IF(AND(YEAR(Ne1Kvě+16)=RokKalendáře,MONTH(Ne1Kvě+16)=5),Ne1Kvě+16,""),IF(AND(YEAR(Ne1Kvě+23)=RokKalendáře,MONTH(Ne1Kvě+23)=5),Ne1Kvě+23,""))</f>
        <v>43606</v>
      </c>
      <c r="E26" s="36">
        <f ca="1">IF(DAY(Ne1Kvě)=1,IF(AND(YEAR(Ne1Kvě+17)=RokKalendáře,MONTH(Ne1Kvě+17)=5),Ne1Kvě+17,""),IF(AND(YEAR(Ne1Kvě+24)=RokKalendáře,MONTH(Ne1Kvě+24)=5),Ne1Kvě+24,""))</f>
        <v>43607</v>
      </c>
      <c r="F26" s="36">
        <f ca="1">IF(DAY(Ne1Kvě)=1,IF(AND(YEAR(Ne1Kvě+18)=RokKalendáře,MONTH(Ne1Kvě+18)=5),Ne1Kvě+18,""),IF(AND(YEAR(Ne1Kvě+25)=RokKalendáře,MONTH(Ne1Kvě+25)=5),Ne1Kvě+25,""))</f>
        <v>43608</v>
      </c>
      <c r="G26" s="36">
        <f ca="1">IF(DAY(Ne1Kvě)=1,IF(AND(YEAR(Ne1Kvě+19)=RokKalendáře,MONTH(Ne1Kvě+19)=5),Ne1Kvě+19,""),IF(AND(YEAR(Ne1Kvě+26)=RokKalendáře,MONTH(Ne1Kvě+26)=5),Ne1Kvě+26,""))</f>
        <v>43609</v>
      </c>
      <c r="H26" s="36">
        <f ca="1">IF(DAY(Ne1Kvě)=1,IF(AND(YEAR(Ne1Kvě+20)=RokKalendáře,MONTH(Ne1Kvě+20)=5),Ne1Kvě+20,""),IF(AND(YEAR(Ne1Kvě+27)=RokKalendáře,MONTH(Ne1Kvě+27)=5),Ne1Kvě+27,""))</f>
        <v>43610</v>
      </c>
      <c r="I26" s="36">
        <f ca="1">IF(DAY(Ne1Kvě)=1,IF(AND(YEAR(Ne1Kvě+21)=RokKalendáře,MONTH(Ne1Kvě+21)=5),Ne1Kvě+21,""),IF(AND(YEAR(Ne1Kvě+28)=RokKalendáře,MONTH(Ne1Kvě+28)=5),Ne1Kvě+28,""))</f>
        <v>43611</v>
      </c>
      <c r="J26" s="20"/>
      <c r="K26" s="36">
        <f ca="1">IF(DAY(Ne1Čer)=1,IF(AND(YEAR(Ne1Čer+15)=RokKalendáře,MONTH(Ne1Čer+15)=6),Ne1Čer+15,""),IF(AND(YEAR(Ne1Čer+22)=RokKalendáře,MONTH(Ne1Čer+22)=6),Ne1Čer+22,""))</f>
        <v>43633</v>
      </c>
      <c r="L26" s="36">
        <f ca="1">IF(DAY(Ne1Čer)=1,IF(AND(YEAR(Ne1Čer+16)=RokKalendáře,MONTH(Ne1Čer+16)=6),Ne1Čer+16,""),IF(AND(YEAR(Ne1Čer+23)=RokKalendáře,MONTH(Ne1Čer+23)=6),Ne1Čer+23,""))</f>
        <v>43634</v>
      </c>
      <c r="M26" s="36">
        <f ca="1">IF(DAY(Ne1Čer)=1,IF(AND(YEAR(Ne1Čer+17)=RokKalendáře,MONTH(Ne1Čer+17)=6),Ne1Čer+17,""),IF(AND(YEAR(Ne1Čer+24)=RokKalendáře,MONTH(Ne1Čer+24)=6),Ne1Čer+24,""))</f>
        <v>43635</v>
      </c>
      <c r="N26" s="36">
        <f ca="1">IF(DAY(Ne1Čer)=1,IF(AND(YEAR(Ne1Čer+18)=RokKalendáře,MONTH(Ne1Čer+18)=6),Ne1Čer+18,""),IF(AND(YEAR(Ne1Čer+25)=RokKalendáře,MONTH(Ne1Čer+25)=6),Ne1Čer+25,""))</f>
        <v>43636</v>
      </c>
      <c r="O26" s="36">
        <f ca="1">IF(DAY(Ne1Čer)=1,IF(AND(YEAR(Ne1Čer+19)=RokKalendáře,MONTH(Ne1Čer+19)=6),Ne1Čer+19,""),IF(AND(YEAR(Ne1Čer+26)=RokKalendáře,MONTH(Ne1Čer+26)=6),Ne1Čer+26,""))</f>
        <v>43637</v>
      </c>
      <c r="P26" s="36">
        <f ca="1">IF(DAY(Ne1Čer)=1,IF(AND(YEAR(Ne1Čer+20)=RokKalendáře,MONTH(Ne1Čer+20)=6),Ne1Čer+20,""),IF(AND(YEAR(Ne1Čer+27)=RokKalendáře,MONTH(Ne1Čer+27)=6),Ne1Čer+27,""))</f>
        <v>43638</v>
      </c>
      <c r="Q26" s="36">
        <f ca="1">IF(DAY(Ne1Čer)=1,IF(AND(YEAR(Ne1Čer+21)=RokKalendáře,MONTH(Ne1Čer+21)=6),Ne1Čer+21,""),IF(AND(YEAR(Ne1Čer+28)=RokKalendáře,MONTH(Ne1Čer+28)=6),Ne1Čer+28,""))</f>
        <v>43639</v>
      </c>
      <c r="R26" s="2"/>
      <c r="S26" s="5"/>
      <c r="U26" s="11"/>
      <c r="Z26" s="2"/>
      <c r="AH26" s="2"/>
      <c r="AP26" s="2"/>
    </row>
    <row r="27" spans="1:42" ht="15" customHeight="1" x14ac:dyDescent="0.2">
      <c r="B27" s="2"/>
      <c r="C27" s="36">
        <f ca="1">IF(DAY(Ne1Kvě)=1,IF(AND(YEAR(Ne1Kvě+22)=RokKalendáře,MONTH(Ne1Kvě+22)=5),Ne1Kvě+22,""),IF(AND(YEAR(Ne1Kvě+29)=RokKalendáře,MONTH(Ne1Kvě+29)=5),Ne1Kvě+29,""))</f>
        <v>43612</v>
      </c>
      <c r="D27" s="36">
        <f ca="1">IF(DAY(Ne1Kvě)=1,IF(AND(YEAR(Ne1Kvě+23)=RokKalendáře,MONTH(Ne1Kvě+23)=5),Ne1Kvě+23,""),IF(AND(YEAR(Ne1Kvě+30)=RokKalendáře,MONTH(Ne1Kvě+30)=5),Ne1Kvě+30,""))</f>
        <v>43613</v>
      </c>
      <c r="E27" s="36">
        <f ca="1">IF(DAY(Ne1Kvě)=1,IF(AND(YEAR(Ne1Kvě+24)=RokKalendáře,MONTH(Ne1Kvě+24)=5),Ne1Kvě+24,""),IF(AND(YEAR(Ne1Kvě+31)=RokKalendáře,MONTH(Ne1Kvě+31)=5),Ne1Kvě+31,""))</f>
        <v>43614</v>
      </c>
      <c r="F27" s="36">
        <f ca="1">IF(DAY(Ne1Kvě)=1,IF(AND(YEAR(Ne1Kvě+25)=RokKalendáře,MONTH(Ne1Kvě+25)=5),Ne1Kvě+25,""),IF(AND(YEAR(Ne1Kvě+32)=RokKalendáře,MONTH(Ne1Kvě+32)=5),Ne1Kvě+32,""))</f>
        <v>43615</v>
      </c>
      <c r="G27" s="36">
        <f ca="1">IF(DAY(Ne1Kvě)=1,IF(AND(YEAR(Ne1Kvě+26)=RokKalendáře,MONTH(Ne1Kvě+26)=5),Ne1Kvě+26,""),IF(AND(YEAR(Ne1Kvě+33)=RokKalendáře,MONTH(Ne1Kvě+33)=5),Ne1Kvě+33,""))</f>
        <v>43616</v>
      </c>
      <c r="H27" s="36" t="str">
        <f ca="1">IF(DAY(Ne1Kvě)=1,IF(AND(YEAR(Ne1Kvě+27)=RokKalendáře,MONTH(Ne1Kvě+27)=5),Ne1Kvě+27,""),IF(AND(YEAR(Ne1Kvě+34)=RokKalendáře,MONTH(Ne1Kvě+34)=5),Ne1Kvě+34,""))</f>
        <v/>
      </c>
      <c r="I27" s="36" t="str">
        <f ca="1">IF(DAY(Ne1Kvě)=1,IF(AND(YEAR(Ne1Kvě+28)=RokKalendáře,MONTH(Ne1Kvě+28)=5),Ne1Kvě+28,""),IF(AND(YEAR(Ne1Kvě+35)=RokKalendáře,MONTH(Ne1Kvě+35)=5),Ne1Kvě+35,""))</f>
        <v/>
      </c>
      <c r="J27" s="20"/>
      <c r="K27" s="36">
        <f ca="1">IF(DAY(Ne1Čer)=1,IF(AND(YEAR(Ne1Čer+22)=RokKalendáře,MONTH(Ne1Čer+22)=6),Ne1Čer+22,""),IF(AND(YEAR(Ne1Čer+29)=RokKalendáře,MONTH(Ne1Čer+29)=6),Ne1Čer+29,""))</f>
        <v>43640</v>
      </c>
      <c r="L27" s="36">
        <f ca="1">IF(DAY(Ne1Čer)=1,IF(AND(YEAR(Ne1Čer+23)=RokKalendáře,MONTH(Ne1Čer+23)=6),Ne1Čer+23,""),IF(AND(YEAR(Ne1Čer+30)=RokKalendáře,MONTH(Ne1Čer+30)=6),Ne1Čer+30,""))</f>
        <v>43641</v>
      </c>
      <c r="M27" s="36">
        <f ca="1">IF(DAY(Ne1Čer)=1,IF(AND(YEAR(Ne1Čer+24)=RokKalendáře,MONTH(Ne1Čer+24)=6),Ne1Čer+24,""),IF(AND(YEAR(Ne1Čer+31)=RokKalendáře,MONTH(Ne1Čer+31)=6),Ne1Čer+31,""))</f>
        <v>43642</v>
      </c>
      <c r="N27" s="36">
        <f ca="1">IF(DAY(Ne1Čer)=1,IF(AND(YEAR(Ne1Čer+25)=RokKalendáře,MONTH(Ne1Čer+25)=6),Ne1Čer+25,""),IF(AND(YEAR(Ne1Čer+32)=RokKalendáře,MONTH(Ne1Čer+32)=6),Ne1Čer+32,""))</f>
        <v>43643</v>
      </c>
      <c r="O27" s="36">
        <f ca="1">IF(DAY(Ne1Čer)=1,IF(AND(YEAR(Ne1Čer+26)=RokKalendáře,MONTH(Ne1Čer+26)=6),Ne1Čer+26,""),IF(AND(YEAR(Ne1Čer+33)=RokKalendáře,MONTH(Ne1Čer+33)=6),Ne1Čer+33,""))</f>
        <v>43644</v>
      </c>
      <c r="P27" s="36">
        <f ca="1">IF(DAY(Ne1Čer)=1,IF(AND(YEAR(Ne1Čer+27)=RokKalendáře,MONTH(Ne1Čer+27)=6),Ne1Čer+27,""),IF(AND(YEAR(Ne1Čer+34)=RokKalendáře,MONTH(Ne1Čer+34)=6),Ne1Čer+34,""))</f>
        <v>43645</v>
      </c>
      <c r="Q27" s="36">
        <f ca="1">IF(DAY(Ne1Čer)=1,IF(AND(YEAR(Ne1Čer+28)=RokKalendáře,MONTH(Ne1Čer+28)=6),Ne1Čer+28,""),IF(AND(YEAR(Ne1Čer+35)=RokKalendáře,MONTH(Ne1Čer+35)=6),Ne1Čer+35,""))</f>
        <v>43646</v>
      </c>
      <c r="R27" s="2"/>
      <c r="S27" s="5"/>
      <c r="U27" s="12"/>
      <c r="Z27" s="2"/>
      <c r="AH27" s="2"/>
      <c r="AP27" s="2"/>
    </row>
    <row r="28" spans="1:42" ht="15" customHeight="1" x14ac:dyDescent="0.2">
      <c r="B28" s="2"/>
      <c r="C28" s="36" t="str">
        <f ca="1">IF(DAY(Ne1Kvě)=1,IF(AND(YEAR(Ne1Kvě+29)=RokKalendáře,MONTH(Ne1Kvě+29)=5),Ne1Kvě+29,""),IF(AND(YEAR(Ne1Kvě+36)=RokKalendáře,MONTH(Ne1Kvě+36)=5),Ne1Kvě+36,""))</f>
        <v/>
      </c>
      <c r="D28" s="36" t="str">
        <f ca="1">IF(DAY(Ne1Kvě)=1,IF(AND(YEAR(Ne1Kvě+30)=RokKalendáře,MONTH(Ne1Kvě+30)=5),Ne1Kvě+30,""),IF(AND(YEAR(Ne1Kvě+37)=RokKalendáře,MONTH(Ne1Kvě+37)=5),Ne1Kvě+37,""))</f>
        <v/>
      </c>
      <c r="E28" s="36" t="str">
        <f ca="1">IF(DAY(Ne1Kvě)=1,IF(AND(YEAR(Ne1Kvě+31)=RokKalendáře,MONTH(Ne1Kvě+31)=5),Ne1Kvě+31,""),IF(AND(YEAR(Ne1Kvě+38)=RokKalendáře,MONTH(Ne1Kvě+38)=5),Ne1Kvě+38,""))</f>
        <v/>
      </c>
      <c r="F28" s="36" t="str">
        <f ca="1">IF(DAY(Ne1Kvě)=1,IF(AND(YEAR(Ne1Kvě+32)=RokKalendáře,MONTH(Ne1Kvě+32)=5),Ne1Kvě+32,""),IF(AND(YEAR(Ne1Kvě+39)=RokKalendáře,MONTH(Ne1Kvě+39)=5),Ne1Kvě+39,""))</f>
        <v/>
      </c>
      <c r="G28" s="36" t="str">
        <f ca="1">IF(DAY(Ne1Kvě)=1,IF(AND(YEAR(Ne1Kvě+33)=RokKalendáře,MONTH(Ne1Kvě+33)=5),Ne1Kvě+33,""),IF(AND(YEAR(Ne1Kvě+40)=RokKalendáře,MONTH(Ne1Kvě+40)=5),Ne1Kvě+40,""))</f>
        <v/>
      </c>
      <c r="H28" s="36" t="str">
        <f ca="1">IF(DAY(Ne1Kvě)=1,IF(AND(YEAR(Ne1Kvě+34)=RokKalendáře,MONTH(Ne1Kvě+34)=5),Ne1Kvě+34,""),IF(AND(YEAR(Ne1Kvě+41)=RokKalendáře,MONTH(Ne1Kvě+41)=5),Ne1Kvě+41,""))</f>
        <v/>
      </c>
      <c r="I28" s="36" t="str">
        <f ca="1">IF(DAY(Ne1Kvě)=1,IF(AND(YEAR(Ne1Kvě+35)=RokKalendáře,MONTH(Ne1Kvě+35)=5),Ne1Kvě+35,""),IF(AND(YEAR(Ne1Kvě+42)=RokKalendáře,MONTH(Ne1Kvě+42)=5),Ne1Kvě+42,""))</f>
        <v/>
      </c>
      <c r="J28" s="20"/>
      <c r="K28" s="36" t="str">
        <f ca="1">IF(DAY(Ne1Čer)=1,IF(AND(YEAR(Ne1Čer+29)=RokKalendáře,MONTH(Ne1Čer+29)=6),Ne1Čer+29,""),IF(AND(YEAR(Ne1Čer+36)=RokKalendáře,MONTH(Ne1Čer+36)=6),Ne1Čer+36,""))</f>
        <v/>
      </c>
      <c r="L28" s="36" t="str">
        <f ca="1">IF(DAY(Ne1Čer)=1,IF(AND(YEAR(Ne1Čer+30)=RokKalendáře,MONTH(Ne1Čer+30)=6),Ne1Čer+30,""),IF(AND(YEAR(Ne1Čer+37)=RokKalendáře,MONTH(Ne1Čer+37)=6),Ne1Čer+37,""))</f>
        <v/>
      </c>
      <c r="M28" s="36" t="str">
        <f ca="1">IF(DAY(Ne1Čer)=1,IF(AND(YEAR(Ne1Čer+31)=RokKalendáře,MONTH(Ne1Čer+31)=6),Ne1Čer+31,""),IF(AND(YEAR(Ne1Čer+38)=RokKalendáře,MONTH(Ne1Čer+38)=6),Ne1Čer+38,""))</f>
        <v/>
      </c>
      <c r="N28" s="36" t="str">
        <f ca="1">IF(DAY(Ne1Čer)=1,IF(AND(YEAR(Ne1Čer+32)=RokKalendáře,MONTH(Ne1Čer+32)=6),Ne1Čer+32,""),IF(AND(YEAR(Ne1Čer+39)=RokKalendáře,MONTH(Ne1Čer+39)=6),Ne1Čer+39,""))</f>
        <v/>
      </c>
      <c r="O28" s="36" t="str">
        <f ca="1">IF(DAY(Ne1Čer)=1,IF(AND(YEAR(Ne1Čer+33)=RokKalendáře,MONTH(Ne1Čer+33)=6),Ne1Čer+33,""),IF(AND(YEAR(Ne1Čer+40)=RokKalendáře,MONTH(Ne1Čer+40)=6),Ne1Čer+40,""))</f>
        <v/>
      </c>
      <c r="P28" s="36" t="str">
        <f ca="1">IF(DAY(Ne1Čer)=1,IF(AND(YEAR(Ne1Čer+34)=RokKalendáře,MONTH(Ne1Čer+34)=6),Ne1Čer+34,""),IF(AND(YEAR(Ne1Čer+41)=RokKalendáře,MONTH(Ne1Čer+41)=6),Ne1Čer+41,""))</f>
        <v/>
      </c>
      <c r="Q28" s="36" t="str">
        <f ca="1">IF(DAY(Ne1Čer)=1,IF(AND(YEAR(Ne1Čer+35)=RokKalendáře,MONTH(Ne1Čer+35)=6),Ne1Čer+35,""),IF(AND(YEAR(Ne1Čer+42)=RokKalendáře,MONTH(Ne1Čer+42)=6),Ne1Čer+42,""))</f>
        <v/>
      </c>
      <c r="R28" s="2"/>
      <c r="S28" s="5"/>
      <c r="U28" s="18"/>
      <c r="Z28" s="2"/>
      <c r="AH28" s="2"/>
      <c r="AP28" s="2"/>
    </row>
    <row r="29" spans="1:42" ht="15" customHeight="1" x14ac:dyDescent="0.2">
      <c r="B29" s="2"/>
      <c r="J29" s="20"/>
      <c r="R29" s="2"/>
      <c r="S29" s="5"/>
      <c r="U29" s="11"/>
      <c r="Z29" s="2"/>
      <c r="AH29" s="2"/>
      <c r="AP29" s="2"/>
    </row>
    <row r="30" spans="1:42" ht="15" customHeight="1" x14ac:dyDescent="0.25">
      <c r="B30" s="2"/>
      <c r="C30" s="4" t="s">
        <v>4</v>
      </c>
      <c r="D30" s="3"/>
      <c r="E30" s="3"/>
      <c r="F30" s="3"/>
      <c r="G30" s="3"/>
      <c r="H30" s="3"/>
      <c r="I30" s="3"/>
      <c r="J30" s="20"/>
      <c r="K30" s="4" t="s">
        <v>14</v>
      </c>
      <c r="L30" s="3"/>
      <c r="M30" s="3"/>
      <c r="N30" s="3"/>
      <c r="O30" s="3"/>
      <c r="P30" s="3"/>
      <c r="Q30" s="3"/>
      <c r="S30" s="7"/>
      <c r="U30" s="12"/>
      <c r="V30" s="2"/>
      <c r="W30" s="2"/>
      <c r="X30" s="2"/>
      <c r="Y30" s="2"/>
      <c r="Z30" s="2"/>
      <c r="AH30" s="2"/>
      <c r="AP30" s="2"/>
    </row>
    <row r="31" spans="1:42" ht="15" customHeight="1" x14ac:dyDescent="0.2">
      <c r="C31" s="30" t="s">
        <v>1</v>
      </c>
      <c r="D31" s="30" t="s">
        <v>7</v>
      </c>
      <c r="E31" s="30" t="s">
        <v>9</v>
      </c>
      <c r="F31" s="30" t="s">
        <v>8</v>
      </c>
      <c r="G31" s="30" t="s">
        <v>1</v>
      </c>
      <c r="H31" s="30" t="s">
        <v>9</v>
      </c>
      <c r="I31" s="30" t="s">
        <v>10</v>
      </c>
      <c r="J31" s="20"/>
      <c r="K31" s="31" t="s">
        <v>1</v>
      </c>
      <c r="L31" s="31" t="s">
        <v>7</v>
      </c>
      <c r="M31" s="31" t="s">
        <v>9</v>
      </c>
      <c r="N31" s="31" t="s">
        <v>8</v>
      </c>
      <c r="O31" s="31" t="s">
        <v>1</v>
      </c>
      <c r="P31" s="31" t="s">
        <v>9</v>
      </c>
      <c r="Q31" s="31" t="s">
        <v>10</v>
      </c>
      <c r="S31" s="5"/>
      <c r="U31" s="18"/>
    </row>
    <row r="32" spans="1:42" ht="15" customHeight="1" x14ac:dyDescent="0.2">
      <c r="C32" s="36">
        <f ca="1">IF(DAY(Ne1Čvc)=1,"",IF(AND(YEAR(Ne1Čvc+1)=RokKalendáře,MONTH(Ne1Čvc+1)=7),Ne1Čvc+1,""))</f>
        <v>43647</v>
      </c>
      <c r="D32" s="36">
        <f ca="1">IF(DAY(Ne1Čvc)=1,"",IF(AND(YEAR(Ne1Čvc+2)=RokKalendáře,MONTH(Ne1Čvc+2)=7),Ne1Čvc+2,""))</f>
        <v>43648</v>
      </c>
      <c r="E32" s="36">
        <f ca="1">IF(DAY(Ne1Čvc)=1,"",IF(AND(YEAR(Ne1Čvc+3)=RokKalendáře,MONTH(Ne1Čvc+3)=7),Ne1Čvc+3,""))</f>
        <v>43649</v>
      </c>
      <c r="F32" s="36">
        <f ca="1">IF(DAY(Ne1Čvc)=1,"",IF(AND(YEAR(Ne1Čvc+4)=RokKalendáře,MONTH(Ne1Čvc+4)=7),Ne1Čvc+4,""))</f>
        <v>43650</v>
      </c>
      <c r="G32" s="36">
        <f ca="1">IF(DAY(Ne1Čvc)=1,"",IF(AND(YEAR(Ne1Čvc+5)=RokKalendáře,MONTH(Ne1Čvc+5)=7),Ne1Čvc+5,""))</f>
        <v>43651</v>
      </c>
      <c r="H32" s="36">
        <f ca="1">IF(DAY(Ne1Čvc)=1,"",IF(AND(YEAR(Ne1Čvc+6)=RokKalendáře,MONTH(Ne1Čvc+6)=7),Ne1Čvc+6,""))</f>
        <v>43652</v>
      </c>
      <c r="I32" s="36">
        <f ca="1">IF(DAY(Ne1Čvc)=1,IF(AND(YEAR(Ne1Čvc)=RokKalendáře,MONTH(Ne1Čvc)=7),Ne1Čvc,""),IF(AND(YEAR(Ne1Čvc+7)=RokKalendáře,MONTH(Ne1Čvc+7)=7),Ne1Čvc+7,""))</f>
        <v>43653</v>
      </c>
      <c r="J32" s="21"/>
      <c r="K32" s="36" t="str">
        <f ca="1">IF(DAY(Ne1Srp)=1,"",IF(AND(YEAR(Ne1Srp+1)=RokKalendáře,MONTH(Ne1Srp+1)=8),Ne1Srp+1,""))</f>
        <v/>
      </c>
      <c r="L32" s="36" t="str">
        <f ca="1">IF(DAY(Ne1Srp)=1,"",IF(AND(YEAR(Ne1Srp+2)=RokKalendáře,MONTH(Ne1Srp+2)=8),Ne1Srp+2,""))</f>
        <v/>
      </c>
      <c r="M32" s="36" t="str">
        <f ca="1">IF(DAY(Ne1Srp)=1,"",IF(AND(YEAR(Ne1Srp+3)=RokKalendáře,MONTH(Ne1Srp+3)=8),Ne1Srp+3,""))</f>
        <v/>
      </c>
      <c r="N32" s="36">
        <f ca="1">IF(DAY(Ne1Srp)=1,"",IF(AND(YEAR(Ne1Srp+4)=RokKalendáře,MONTH(Ne1Srp+4)=8),Ne1Srp+4,""))</f>
        <v>43678</v>
      </c>
      <c r="O32" s="36">
        <f ca="1">IF(DAY(Ne1Srp)=1,"",IF(AND(YEAR(Ne1Srp+5)=RokKalendáře,MONTH(Ne1Srp+5)=8),Ne1Srp+5,""))</f>
        <v>43679</v>
      </c>
      <c r="P32" s="36">
        <f ca="1">IF(DAY(Ne1Srp)=1,"",IF(AND(YEAR(Ne1Srp+6)=RokKalendáře,MONTH(Ne1Srp+6)=8),Ne1Srp+6,""))</f>
        <v>43680</v>
      </c>
      <c r="Q32" s="36">
        <f ca="1">IF(DAY(Ne1Srp)=1,IF(AND(YEAR(Ne1Srp)=RokKalendáře,MONTH(Ne1Srp)=8),Ne1Srp,""),IF(AND(YEAR(Ne1Srp+7)=RokKalendáře,MONTH(Ne1Srp+7)=8),Ne1Srp+7,""))</f>
        <v>43681</v>
      </c>
      <c r="S32" s="5"/>
      <c r="U32" s="11"/>
    </row>
    <row r="33" spans="3:21" ht="15" customHeight="1" x14ac:dyDescent="0.2">
      <c r="C33" s="36">
        <f ca="1">IF(DAY(Ne1Čvc)=1,IF(AND(YEAR(Ne1Čvc+1)=RokKalendáře,MONTH(Ne1Čvc+1)=7),Ne1Čvc+1,""),IF(AND(YEAR(Ne1Čvc+8)=RokKalendáře,MONTH(Ne1Čvc+8)=7),Ne1Čvc+8,""))</f>
        <v>43654</v>
      </c>
      <c r="D33" s="36">
        <f ca="1">IF(DAY(Ne1Čvc)=1,IF(AND(YEAR(Ne1Čvc+2)=RokKalendáře,MONTH(Ne1Čvc+2)=7),Ne1Čvc+2,""),IF(AND(YEAR(Ne1Čvc+9)=RokKalendáře,MONTH(Ne1Čvc+9)=7),Ne1Čvc+9,""))</f>
        <v>43655</v>
      </c>
      <c r="E33" s="36">
        <f ca="1">IF(DAY(Ne1Čvc)=1,IF(AND(YEAR(Ne1Čvc+3)=RokKalendáře,MONTH(Ne1Čvc+3)=7),Ne1Čvc+3,""),IF(AND(YEAR(Ne1Čvc+10)=RokKalendáře,MONTH(Ne1Čvc+10)=7),Ne1Čvc+10,""))</f>
        <v>43656</v>
      </c>
      <c r="F33" s="36">
        <f ca="1">IF(DAY(Ne1Čvc)=1,IF(AND(YEAR(Ne1Čvc+4)=RokKalendáře,MONTH(Ne1Čvc+4)=7),Ne1Čvc+4,""),IF(AND(YEAR(Ne1Čvc+11)=RokKalendáře,MONTH(Ne1Čvc+11)=7),Ne1Čvc+11,""))</f>
        <v>43657</v>
      </c>
      <c r="G33" s="36">
        <f ca="1">IF(DAY(Ne1Čvc)=1,IF(AND(YEAR(Ne1Čvc+5)=RokKalendáře,MONTH(Ne1Čvc+5)=7),Ne1Čvc+5,""),IF(AND(YEAR(Ne1Čvc+12)=RokKalendáře,MONTH(Ne1Čvc+12)=7),Ne1Čvc+12,""))</f>
        <v>43658</v>
      </c>
      <c r="H33" s="36">
        <f ca="1">IF(DAY(Ne1Čvc)=1,IF(AND(YEAR(Ne1Čvc+6)=RokKalendáře,MONTH(Ne1Čvc+6)=7),Ne1Čvc+6,""),IF(AND(YEAR(Ne1Čvc+13)=RokKalendáře,MONTH(Ne1Čvc+13)=7),Ne1Čvc+13,""))</f>
        <v>43659</v>
      </c>
      <c r="I33" s="36">
        <f ca="1">IF(DAY(Ne1Čvc)=1,IF(AND(YEAR(Ne1Čvc+7)=RokKalendáře,MONTH(Ne1Čvc+7)=7),Ne1Čvc+7,""),IF(AND(YEAR(Ne1Čvc+14)=RokKalendáře,MONTH(Ne1Čvc+14)=7),Ne1Čvc+14,""))</f>
        <v>43660</v>
      </c>
      <c r="J33" s="22"/>
      <c r="K33" s="36">
        <f ca="1">IF(DAY(Ne1Srp)=1,IF(AND(YEAR(Ne1Srp+1)=RokKalendáře,MONTH(Ne1Srp+1)=8),Ne1Srp+1,""),IF(AND(YEAR(Ne1Srp+8)=RokKalendáře,MONTH(Ne1Srp+8)=8),Ne1Srp+8,""))</f>
        <v>43682</v>
      </c>
      <c r="L33" s="36">
        <f ca="1">IF(DAY(Ne1Srp)=1,IF(AND(YEAR(Ne1Srp+2)=RokKalendáře,MONTH(Ne1Srp+2)=8),Ne1Srp+2,""),IF(AND(YEAR(Ne1Srp+9)=RokKalendáře,MONTH(Ne1Srp+9)=8),Ne1Srp+9,""))</f>
        <v>43683</v>
      </c>
      <c r="M33" s="36">
        <f ca="1">IF(DAY(Ne1Srp)=1,IF(AND(YEAR(Ne1Srp+3)=RokKalendáře,MONTH(Ne1Srp+3)=8),Ne1Srp+3,""),IF(AND(YEAR(Ne1Srp+10)=RokKalendáře,MONTH(Ne1Srp+10)=8),Ne1Srp+10,""))</f>
        <v>43684</v>
      </c>
      <c r="N33" s="36">
        <f ca="1">IF(DAY(Ne1Srp)=1,IF(AND(YEAR(Ne1Srp+4)=RokKalendáře,MONTH(Ne1Srp+4)=8),Ne1Srp+4,""),IF(AND(YEAR(Ne1Srp+11)=RokKalendáře,MONTH(Ne1Srp+11)=8),Ne1Srp+11,""))</f>
        <v>43685</v>
      </c>
      <c r="O33" s="36">
        <f ca="1">IF(DAY(Ne1Srp)=1,IF(AND(YEAR(Ne1Srp+5)=RokKalendáře,MONTH(Ne1Srp+5)=8),Ne1Srp+5,""),IF(AND(YEAR(Ne1Srp+12)=RokKalendáře,MONTH(Ne1Srp+12)=8),Ne1Srp+12,""))</f>
        <v>43686</v>
      </c>
      <c r="P33" s="36">
        <f ca="1">IF(DAY(Ne1Srp)=1,IF(AND(YEAR(Ne1Srp+6)=RokKalendáře,MONTH(Ne1Srp+6)=8),Ne1Srp+6,""),IF(AND(YEAR(Ne1Srp+13)=RokKalendáře,MONTH(Ne1Srp+13)=8),Ne1Srp+13,""))</f>
        <v>43687</v>
      </c>
      <c r="Q33" s="36">
        <f ca="1">IF(DAY(Ne1Srp)=1,IF(AND(YEAR(Ne1Srp+7)=RokKalendáře,MONTH(Ne1Srp+7)=8),Ne1Srp+7,""),IF(AND(YEAR(Ne1Srp+14)=RokKalendáře,MONTH(Ne1Srp+14)=8),Ne1Srp+14,""))</f>
        <v>43688</v>
      </c>
      <c r="S33" s="5"/>
      <c r="U33" s="12"/>
    </row>
    <row r="34" spans="3:21" ht="15" customHeight="1" x14ac:dyDescent="0.2">
      <c r="C34" s="36">
        <f ca="1">IF(DAY(Ne1Čvc)=1,IF(AND(YEAR(Ne1Čvc+8)=RokKalendáře,MONTH(Ne1Čvc+8)=7),Ne1Čvc+8,""),IF(AND(YEAR(Ne1Čvc+15)=RokKalendáře,MONTH(Ne1Čvc+15)=7),Ne1Čvc+15,""))</f>
        <v>43661</v>
      </c>
      <c r="D34" s="36">
        <f ca="1">IF(DAY(Ne1Čvc)=1,IF(AND(YEAR(Ne1Čvc+9)=RokKalendáře,MONTH(Ne1Čvc+9)=7),Ne1Čvc+9,""),IF(AND(YEAR(Ne1Čvc+16)=RokKalendáře,MONTH(Ne1Čvc+16)=7),Ne1Čvc+16,""))</f>
        <v>43662</v>
      </c>
      <c r="E34" s="36">
        <f ca="1">IF(DAY(Ne1Čvc)=1,IF(AND(YEAR(Ne1Čvc+10)=RokKalendáře,MONTH(Ne1Čvc+10)=7),Ne1Čvc+10,""),IF(AND(YEAR(Ne1Čvc+17)=RokKalendáře,MONTH(Ne1Čvc+17)=7),Ne1Čvc+17,""))</f>
        <v>43663</v>
      </c>
      <c r="F34" s="36">
        <f ca="1">IF(DAY(Ne1Čvc)=1,IF(AND(YEAR(Ne1Čvc+11)=RokKalendáře,MONTH(Ne1Čvc+11)=7),Ne1Čvc+11,""),IF(AND(YEAR(Ne1Čvc+18)=RokKalendáře,MONTH(Ne1Čvc+18)=7),Ne1Čvc+18,""))</f>
        <v>43664</v>
      </c>
      <c r="G34" s="36">
        <f ca="1">IF(DAY(Ne1Čvc)=1,IF(AND(YEAR(Ne1Čvc+12)=RokKalendáře,MONTH(Ne1Čvc+12)=7),Ne1Čvc+12,""),IF(AND(YEAR(Ne1Čvc+19)=RokKalendáře,MONTH(Ne1Čvc+19)=7),Ne1Čvc+19,""))</f>
        <v>43665</v>
      </c>
      <c r="H34" s="36">
        <f ca="1">IF(DAY(Ne1Čvc)=1,IF(AND(YEAR(Ne1Čvc+13)=RokKalendáře,MONTH(Ne1Čvc+13)=7),Ne1Čvc+13,""),IF(AND(YEAR(Ne1Čvc+20)=RokKalendáře,MONTH(Ne1Čvc+20)=7),Ne1Čvc+20,""))</f>
        <v>43666</v>
      </c>
      <c r="I34" s="36">
        <f ca="1">IF(DAY(Ne1Čvc)=1,IF(AND(YEAR(Ne1Čvc+14)=RokKalendáře,MONTH(Ne1Čvc+14)=7),Ne1Čvc+14,""),IF(AND(YEAR(Ne1Čvc+21)=RokKalendáře,MONTH(Ne1Čvc+21)=7),Ne1Čvc+21,""))</f>
        <v>43667</v>
      </c>
      <c r="J34" s="22"/>
      <c r="K34" s="36">
        <f ca="1">IF(DAY(Ne1Srp)=1,IF(AND(YEAR(Ne1Srp+8)=RokKalendáře,MONTH(Ne1Srp+8)=8),Ne1Srp+8,""),IF(AND(YEAR(Ne1Srp+15)=RokKalendáře,MONTH(Ne1Srp+15)=8),Ne1Srp+15,""))</f>
        <v>43689</v>
      </c>
      <c r="L34" s="36">
        <f ca="1">IF(DAY(Ne1Srp)=1,IF(AND(YEAR(Ne1Srp+9)=RokKalendáře,MONTH(Ne1Srp+9)=8),Ne1Srp+9,""),IF(AND(YEAR(Ne1Srp+16)=RokKalendáře,MONTH(Ne1Srp+16)=8),Ne1Srp+16,""))</f>
        <v>43690</v>
      </c>
      <c r="M34" s="36">
        <f ca="1">IF(DAY(Ne1Srp)=1,IF(AND(YEAR(Ne1Srp+10)=RokKalendáře,MONTH(Ne1Srp+10)=8),Ne1Srp+10,""),IF(AND(YEAR(Ne1Srp+17)=RokKalendáře,MONTH(Ne1Srp+17)=8),Ne1Srp+17,""))</f>
        <v>43691</v>
      </c>
      <c r="N34" s="36">
        <f ca="1">IF(DAY(Ne1Srp)=1,IF(AND(YEAR(Ne1Srp+11)=RokKalendáře,MONTH(Ne1Srp+11)=8),Ne1Srp+11,""),IF(AND(YEAR(Ne1Srp+18)=RokKalendáře,MONTH(Ne1Srp+18)=8),Ne1Srp+18,""))</f>
        <v>43692</v>
      </c>
      <c r="O34" s="36">
        <f ca="1">IF(DAY(Ne1Srp)=1,IF(AND(YEAR(Ne1Srp+12)=RokKalendáře,MONTH(Ne1Srp+12)=8),Ne1Srp+12,""),IF(AND(YEAR(Ne1Srp+19)=RokKalendáře,MONTH(Ne1Srp+19)=8),Ne1Srp+19,""))</f>
        <v>43693</v>
      </c>
      <c r="P34" s="36">
        <f ca="1">IF(DAY(Ne1Srp)=1,IF(AND(YEAR(Ne1Srp+13)=RokKalendáře,MONTH(Ne1Srp+13)=8),Ne1Srp+13,""),IF(AND(YEAR(Ne1Srp+20)=RokKalendáře,MONTH(Ne1Srp+20)=8),Ne1Srp+20,""))</f>
        <v>43694</v>
      </c>
      <c r="Q34" s="36">
        <f ca="1">IF(DAY(Ne1Srp)=1,IF(AND(YEAR(Ne1Srp+14)=RokKalendáře,MONTH(Ne1Srp+14)=8),Ne1Srp+14,""),IF(AND(YEAR(Ne1Srp+21)=RokKalendáře,MONTH(Ne1Srp+21)=8),Ne1Srp+21,""))</f>
        <v>43695</v>
      </c>
      <c r="S34" s="5"/>
      <c r="U34" s="18"/>
    </row>
    <row r="35" spans="3:21" ht="15" customHeight="1" x14ac:dyDescent="0.2">
      <c r="C35" s="36">
        <f ca="1">IF(DAY(Ne1Čvc)=1,IF(AND(YEAR(Ne1Čvc+15)=RokKalendáře,MONTH(Ne1Čvc+15)=7),Ne1Čvc+15,""),IF(AND(YEAR(Ne1Čvc+22)=RokKalendáře,MONTH(Ne1Čvc+22)=7),Ne1Čvc+22,""))</f>
        <v>43668</v>
      </c>
      <c r="D35" s="36">
        <f ca="1">IF(DAY(Ne1Čvc)=1,IF(AND(YEAR(Ne1Čvc+16)=RokKalendáře,MONTH(Ne1Čvc+16)=7),Ne1Čvc+16,""),IF(AND(YEAR(Ne1Čvc+23)=RokKalendáře,MONTH(Ne1Čvc+23)=7),Ne1Čvc+23,""))</f>
        <v>43669</v>
      </c>
      <c r="E35" s="36">
        <f ca="1">IF(DAY(Ne1Čvc)=1,IF(AND(YEAR(Ne1Čvc+17)=RokKalendáře,MONTH(Ne1Čvc+17)=7),Ne1Čvc+17,""),IF(AND(YEAR(Ne1Čvc+24)=RokKalendáře,MONTH(Ne1Čvc+24)=7),Ne1Čvc+24,""))</f>
        <v>43670</v>
      </c>
      <c r="F35" s="36">
        <f ca="1">IF(DAY(Ne1Čvc)=1,IF(AND(YEAR(Ne1Čvc+18)=RokKalendáře,MONTH(Ne1Čvc+18)=7),Ne1Čvc+18,""),IF(AND(YEAR(Ne1Čvc+25)=RokKalendáře,MONTH(Ne1Čvc+25)=7),Ne1Čvc+25,""))</f>
        <v>43671</v>
      </c>
      <c r="G35" s="36">
        <f ca="1">IF(DAY(Ne1Čvc)=1,IF(AND(YEAR(Ne1Čvc+19)=RokKalendáře,MONTH(Ne1Čvc+19)=7),Ne1Čvc+19,""),IF(AND(YEAR(Ne1Čvc+26)=RokKalendáře,MONTH(Ne1Čvc+26)=7),Ne1Čvc+26,""))</f>
        <v>43672</v>
      </c>
      <c r="H35" s="36">
        <f ca="1">IF(DAY(Ne1Čvc)=1,IF(AND(YEAR(Ne1Čvc+20)=RokKalendáře,MONTH(Ne1Čvc+20)=7),Ne1Čvc+20,""),IF(AND(YEAR(Ne1Čvc+27)=RokKalendáře,MONTH(Ne1Čvc+27)=7),Ne1Čvc+27,""))</f>
        <v>43673</v>
      </c>
      <c r="I35" s="36">
        <f ca="1">IF(DAY(Ne1Čvc)=1,IF(AND(YEAR(Ne1Čvc+21)=RokKalendáře,MONTH(Ne1Čvc+21)=7),Ne1Čvc+21,""),IF(AND(YEAR(Ne1Čvc+28)=RokKalendáře,MONTH(Ne1Čvc+28)=7),Ne1Čvc+28,""))</f>
        <v>43674</v>
      </c>
      <c r="J35" s="22"/>
      <c r="K35" s="36">
        <f ca="1">IF(DAY(Ne1Srp)=1,IF(AND(YEAR(Ne1Srp+15)=RokKalendáře,MONTH(Ne1Srp+15)=8),Ne1Srp+15,""),IF(AND(YEAR(Ne1Srp+22)=RokKalendáře,MONTH(Ne1Srp+22)=8),Ne1Srp+22,""))</f>
        <v>43696</v>
      </c>
      <c r="L35" s="36">
        <f ca="1">IF(DAY(Ne1Srp)=1,IF(AND(YEAR(Ne1Srp+16)=RokKalendáře,MONTH(Ne1Srp+16)=8),Ne1Srp+16,""),IF(AND(YEAR(Ne1Srp+23)=RokKalendáře,MONTH(Ne1Srp+23)=8),Ne1Srp+23,""))</f>
        <v>43697</v>
      </c>
      <c r="M35" s="36">
        <f ca="1">IF(DAY(Ne1Srp)=1,IF(AND(YEAR(Ne1Srp+17)=RokKalendáře,MONTH(Ne1Srp+17)=8),Ne1Srp+17,""),IF(AND(YEAR(Ne1Srp+24)=RokKalendáře,MONTH(Ne1Srp+24)=8),Ne1Srp+24,""))</f>
        <v>43698</v>
      </c>
      <c r="N35" s="36">
        <f ca="1">IF(DAY(Ne1Srp)=1,IF(AND(YEAR(Ne1Srp+18)=RokKalendáře,MONTH(Ne1Srp+18)=8),Ne1Srp+18,""),IF(AND(YEAR(Ne1Srp+25)=RokKalendáře,MONTH(Ne1Srp+25)=8),Ne1Srp+25,""))</f>
        <v>43699</v>
      </c>
      <c r="O35" s="36">
        <f ca="1">IF(DAY(Ne1Srp)=1,IF(AND(YEAR(Ne1Srp+19)=RokKalendáře,MONTH(Ne1Srp+19)=8),Ne1Srp+19,""),IF(AND(YEAR(Ne1Srp+26)=RokKalendáře,MONTH(Ne1Srp+26)=8),Ne1Srp+26,""))</f>
        <v>43700</v>
      </c>
      <c r="P35" s="36">
        <f ca="1">IF(DAY(Ne1Srp)=1,IF(AND(YEAR(Ne1Srp+20)=RokKalendáře,MONTH(Ne1Srp+20)=8),Ne1Srp+20,""),IF(AND(YEAR(Ne1Srp+27)=RokKalendáře,MONTH(Ne1Srp+27)=8),Ne1Srp+27,""))</f>
        <v>43701</v>
      </c>
      <c r="Q35" s="36">
        <f ca="1">IF(DAY(Ne1Srp)=1,IF(AND(YEAR(Ne1Srp+21)=RokKalendáře,MONTH(Ne1Srp+21)=8),Ne1Srp+21,""),IF(AND(YEAR(Ne1Srp+28)=RokKalendáře,MONTH(Ne1Srp+28)=8),Ne1Srp+28,""))</f>
        <v>43702</v>
      </c>
      <c r="S35" s="5"/>
      <c r="U35" s="11"/>
    </row>
    <row r="36" spans="3:21" ht="15" customHeight="1" x14ac:dyDescent="0.2">
      <c r="C36" s="36">
        <f ca="1">IF(DAY(Ne1Čvc)=1,IF(AND(YEAR(Ne1Čvc+22)=RokKalendáře,MONTH(Ne1Čvc+22)=7),Ne1Čvc+22,""),IF(AND(YEAR(Ne1Čvc+29)=RokKalendáře,MONTH(Ne1Čvc+29)=7),Ne1Čvc+29,""))</f>
        <v>43675</v>
      </c>
      <c r="D36" s="36">
        <f ca="1">IF(DAY(Ne1Čvc)=1,IF(AND(YEAR(Ne1Čvc+23)=RokKalendáře,MONTH(Ne1Čvc+23)=7),Ne1Čvc+23,""),IF(AND(YEAR(Ne1Čvc+30)=RokKalendáře,MONTH(Ne1Čvc+30)=7),Ne1Čvc+30,""))</f>
        <v>43676</v>
      </c>
      <c r="E36" s="36">
        <f ca="1">IF(DAY(Ne1Čvc)=1,IF(AND(YEAR(Ne1Čvc+24)=RokKalendáře,MONTH(Ne1Čvc+24)=7),Ne1Čvc+24,""),IF(AND(YEAR(Ne1Čvc+31)=RokKalendáře,MONTH(Ne1Čvc+31)=7),Ne1Čvc+31,""))</f>
        <v>43677</v>
      </c>
      <c r="F36" s="36" t="str">
        <f ca="1">IF(DAY(Ne1Čvc)=1,IF(AND(YEAR(Ne1Čvc+25)=RokKalendáře,MONTH(Ne1Čvc+25)=7),Ne1Čvc+25,""),IF(AND(YEAR(Ne1Čvc+32)=RokKalendáře,MONTH(Ne1Čvc+32)=7),Ne1Čvc+32,""))</f>
        <v/>
      </c>
      <c r="G36" s="36" t="str">
        <f ca="1">IF(DAY(Ne1Čvc)=1,IF(AND(YEAR(Ne1Čvc+26)=RokKalendáře,MONTH(Ne1Čvc+26)=7),Ne1Čvc+26,""),IF(AND(YEAR(Ne1Čvc+33)=RokKalendáře,MONTH(Ne1Čvc+33)=7),Ne1Čvc+33,""))</f>
        <v/>
      </c>
      <c r="H36" s="36" t="str">
        <f ca="1">IF(DAY(Ne1Čvc)=1,IF(AND(YEAR(Ne1Čvc+27)=RokKalendáře,MONTH(Ne1Čvc+27)=7),Ne1Čvc+27,""),IF(AND(YEAR(Ne1Čvc+34)=RokKalendáře,MONTH(Ne1Čvc+34)=7),Ne1Čvc+34,""))</f>
        <v/>
      </c>
      <c r="I36" s="36" t="str">
        <f ca="1">IF(DAY(Ne1Čvc)=1,IF(AND(YEAR(Ne1Čvc+28)=RokKalendáře,MONTH(Ne1Čvc+28)=7),Ne1Čvc+28,""),IF(AND(YEAR(Ne1Čvc+35)=RokKalendáře,MONTH(Ne1Čvc+35)=7),Ne1Čvc+35,""))</f>
        <v/>
      </c>
      <c r="J36" s="22"/>
      <c r="K36" s="36">
        <f ca="1">IF(DAY(Ne1Srp)=1,IF(AND(YEAR(Ne1Srp+22)=RokKalendáře,MONTH(Ne1Srp+22)=8),Ne1Srp+22,""),IF(AND(YEAR(Ne1Srp+29)=RokKalendáře,MONTH(Ne1Srp+29)=8),Ne1Srp+29,""))</f>
        <v>43703</v>
      </c>
      <c r="L36" s="36">
        <f ca="1">IF(DAY(Ne1Srp)=1,IF(AND(YEAR(Ne1Srp+23)=RokKalendáře,MONTH(Ne1Srp+23)=8),Ne1Srp+23,""),IF(AND(YEAR(Ne1Srp+30)=RokKalendáře,MONTH(Ne1Srp+30)=8),Ne1Srp+30,""))</f>
        <v>43704</v>
      </c>
      <c r="M36" s="36">
        <f ca="1">IF(DAY(Ne1Srp)=1,IF(AND(YEAR(Ne1Srp+24)=RokKalendáře,MONTH(Ne1Srp+24)=8),Ne1Srp+24,""),IF(AND(YEAR(Ne1Srp+31)=RokKalendáře,MONTH(Ne1Srp+31)=8),Ne1Srp+31,""))</f>
        <v>43705</v>
      </c>
      <c r="N36" s="36">
        <f ca="1">IF(DAY(Ne1Srp)=1,IF(AND(YEAR(Ne1Srp+25)=RokKalendáře,MONTH(Ne1Srp+25)=8),Ne1Srp+25,""),IF(AND(YEAR(Ne1Srp+32)=RokKalendáře,MONTH(Ne1Srp+32)=8),Ne1Srp+32,""))</f>
        <v>43706</v>
      </c>
      <c r="O36" s="36">
        <f ca="1">IF(DAY(Ne1Srp)=1,IF(AND(YEAR(Ne1Srp+26)=RokKalendáře,MONTH(Ne1Srp+26)=8),Ne1Srp+26,""),IF(AND(YEAR(Ne1Srp+33)=RokKalendáře,MONTH(Ne1Srp+33)=8),Ne1Srp+33,""))</f>
        <v>43707</v>
      </c>
      <c r="P36" s="36">
        <f ca="1">IF(DAY(Ne1Srp)=1,IF(AND(YEAR(Ne1Srp+27)=RokKalendáře,MONTH(Ne1Srp+27)=8),Ne1Srp+27,""),IF(AND(YEAR(Ne1Srp+34)=RokKalendáře,MONTH(Ne1Srp+34)=8),Ne1Srp+34,""))</f>
        <v>43708</v>
      </c>
      <c r="Q36" s="36" t="str">
        <f ca="1">IF(DAY(Ne1Srp)=1,IF(AND(YEAR(Ne1Srp+28)=RokKalendáře,MONTH(Ne1Srp+28)=8),Ne1Srp+28,""),IF(AND(YEAR(Ne1Srp+35)=RokKalendáře,MONTH(Ne1Srp+35)=8),Ne1Srp+35,""))</f>
        <v/>
      </c>
      <c r="S36" s="5"/>
      <c r="U36" s="12"/>
    </row>
    <row r="37" spans="3:21" ht="15" customHeight="1" x14ac:dyDescent="0.2">
      <c r="C37" s="36" t="str">
        <f ca="1">IF(DAY(Ne1Čvc)=1,IF(AND(YEAR(Ne1Čvc+29)=RokKalendáře,MONTH(Ne1Čvc+29)=7),Ne1Čvc+29,""),IF(AND(YEAR(Ne1Čvc+36)=RokKalendáře,MONTH(Ne1Čvc+36)=7),Ne1Čvc+36,""))</f>
        <v/>
      </c>
      <c r="D37" s="36" t="str">
        <f ca="1">IF(DAY(Ne1Čvc)=1,IF(AND(YEAR(Ne1Čvc+30)=RokKalendáře,MONTH(Ne1Čvc+30)=7),Ne1Čvc+30,""),IF(AND(YEAR(Ne1Čvc+37)=RokKalendáře,MONTH(Ne1Čvc+37)=7),Ne1Čvc+37,""))</f>
        <v/>
      </c>
      <c r="E37" s="36" t="str">
        <f ca="1">IF(DAY(Ne1Čvc)=1,IF(AND(YEAR(Ne1Čvc+31)=RokKalendáře,MONTH(Ne1Čvc+31)=7),Ne1Čvc+31,""),IF(AND(YEAR(Ne1Čvc+38)=RokKalendáře,MONTH(Ne1Čvc+38)=7),Ne1Čvc+38,""))</f>
        <v/>
      </c>
      <c r="F37" s="36" t="str">
        <f ca="1">IF(DAY(Ne1Čvc)=1,IF(AND(YEAR(Ne1Čvc+32)=RokKalendáře,MONTH(Ne1Čvc+32)=7),Ne1Čvc+32,""),IF(AND(YEAR(Ne1Čvc+39)=RokKalendáře,MONTH(Ne1Čvc+39)=7),Ne1Čvc+39,""))</f>
        <v/>
      </c>
      <c r="G37" s="36" t="str">
        <f ca="1">IF(DAY(Ne1Čvc)=1,IF(AND(YEAR(Ne1Čvc+33)=RokKalendáře,MONTH(Ne1Čvc+33)=7),Ne1Čvc+33,""),IF(AND(YEAR(Ne1Čvc+40)=RokKalendáře,MONTH(Ne1Čvc+40)=7),Ne1Čvc+40,""))</f>
        <v/>
      </c>
      <c r="H37" s="36" t="str">
        <f ca="1">IF(DAY(Ne1Čvc)=1,IF(AND(YEAR(Ne1Čvc+34)=RokKalendáře,MONTH(Ne1Čvc+34)=7),Ne1Čvc+34,""),IF(AND(YEAR(Ne1Čvc+41)=RokKalendáře,MONTH(Ne1Čvc+41)=7),Ne1Čvc+41,""))</f>
        <v/>
      </c>
      <c r="I37" s="36" t="str">
        <f ca="1">IF(DAY(Ne1Čvc)=1,IF(AND(YEAR(Ne1Čvc+35)=RokKalendáře,MONTH(Ne1Čvc+35)=7),Ne1Čvc+35,""),IF(AND(YEAR(Ne1Čvc+42)=RokKalendáře,MONTH(Ne1Čvc+42)=7),Ne1Čvc+42,""))</f>
        <v/>
      </c>
      <c r="J37" s="22"/>
      <c r="K37" s="36" t="str">
        <f ca="1">IF(DAY(Ne1Srp)=1,IF(AND(YEAR(Ne1Srp+29)=RokKalendáře,MONTH(Ne1Srp+29)=8),Ne1Srp+29,""),IF(AND(YEAR(Ne1Srp+36)=RokKalendáře,MONTH(Ne1Srp+36)=8),Ne1Srp+36,""))</f>
        <v/>
      </c>
      <c r="L37" s="36" t="str">
        <f ca="1">IF(DAY(Ne1Srp)=1,IF(AND(YEAR(Ne1Srp+30)=RokKalendáře,MONTH(Ne1Srp+30)=8),Ne1Srp+30,""),IF(AND(YEAR(Ne1Srp+37)=RokKalendáře,MONTH(Ne1Srp+37)=8),Ne1Srp+37,""))</f>
        <v/>
      </c>
      <c r="M37" s="36" t="str">
        <f ca="1">IF(DAY(Ne1Srp)=1,IF(AND(YEAR(Ne1Srp+31)=RokKalendáře,MONTH(Ne1Srp+31)=8),Ne1Srp+31,""),IF(AND(YEAR(Ne1Srp+38)=RokKalendáře,MONTH(Ne1Srp+38)=8),Ne1Srp+38,""))</f>
        <v/>
      </c>
      <c r="N37" s="36" t="str">
        <f ca="1">IF(DAY(Ne1Srp)=1,IF(AND(YEAR(Ne1Srp+32)=RokKalendáře,MONTH(Ne1Srp+32)=8),Ne1Srp+32,""),IF(AND(YEAR(Ne1Srp+39)=RokKalendáře,MONTH(Ne1Srp+39)=8),Ne1Srp+39,""))</f>
        <v/>
      </c>
      <c r="O37" s="36" t="str">
        <f ca="1">IF(DAY(Ne1Srp)=1,IF(AND(YEAR(Ne1Srp+33)=RokKalendáře,MONTH(Ne1Srp+33)=8),Ne1Srp+33,""),IF(AND(YEAR(Ne1Srp+40)=RokKalendáře,MONTH(Ne1Srp+40)=8),Ne1Srp+40,""))</f>
        <v/>
      </c>
      <c r="P37" s="36" t="str">
        <f ca="1">IF(DAY(Ne1Srp)=1,IF(AND(YEAR(Ne1Srp+34)=RokKalendáře,MONTH(Ne1Srp+34)=8),Ne1Srp+34,""),IF(AND(YEAR(Ne1Srp+41)=RokKalendáře,MONTH(Ne1Srp+41)=8),Ne1Srp+41,""))</f>
        <v/>
      </c>
      <c r="Q37" s="36" t="str">
        <f ca="1">IF(DAY(Ne1Srp)=1,IF(AND(YEAR(Ne1Srp+35)=RokKalendáře,MONTH(Ne1Srp+35)=8),Ne1Srp+35,""),IF(AND(YEAR(Ne1Srp+42)=RokKalendáře,MONTH(Ne1Srp+42)=8),Ne1Srp+42,""))</f>
        <v/>
      </c>
      <c r="S37" s="5"/>
      <c r="U37" s="18"/>
    </row>
    <row r="38" spans="3:21" ht="15" customHeight="1" x14ac:dyDescent="0.2">
      <c r="C38" s="20"/>
      <c r="D38" s="20"/>
      <c r="E38" s="20"/>
      <c r="F38" s="20"/>
      <c r="G38" s="20"/>
      <c r="H38" s="20"/>
      <c r="I38" s="20"/>
      <c r="J38" s="22"/>
      <c r="K38" s="20"/>
      <c r="L38" s="20"/>
      <c r="M38" s="20"/>
      <c r="N38" s="20"/>
      <c r="O38" s="20"/>
      <c r="P38" s="20"/>
      <c r="Q38" s="20"/>
      <c r="R38" s="22"/>
      <c r="S38" s="5"/>
      <c r="U38" s="11"/>
    </row>
    <row r="39" spans="3:21" ht="15" customHeight="1" x14ac:dyDescent="0.25">
      <c r="C39" s="4" t="s">
        <v>5</v>
      </c>
      <c r="D39" s="3"/>
      <c r="E39" s="3"/>
      <c r="F39" s="3"/>
      <c r="G39" s="3"/>
      <c r="H39" s="3"/>
      <c r="I39" s="3"/>
      <c r="J39" s="22"/>
      <c r="K39" s="4" t="s">
        <v>15</v>
      </c>
      <c r="L39" s="3"/>
      <c r="M39" s="3"/>
      <c r="N39" s="3"/>
      <c r="O39" s="3"/>
      <c r="P39" s="3"/>
      <c r="Q39" s="3"/>
      <c r="S39" s="5"/>
      <c r="U39" s="12"/>
    </row>
    <row r="40" spans="3:21" ht="15" customHeight="1" x14ac:dyDescent="0.2">
      <c r="C40" s="32" t="s">
        <v>1</v>
      </c>
      <c r="D40" s="32" t="s">
        <v>7</v>
      </c>
      <c r="E40" s="32" t="s">
        <v>9</v>
      </c>
      <c r="F40" s="32" t="s">
        <v>8</v>
      </c>
      <c r="G40" s="32" t="s">
        <v>1</v>
      </c>
      <c r="H40" s="32" t="s">
        <v>9</v>
      </c>
      <c r="I40" s="32" t="s">
        <v>10</v>
      </c>
      <c r="J40" s="22"/>
      <c r="K40" s="33" t="s">
        <v>1</v>
      </c>
      <c r="L40" s="33" t="s">
        <v>7</v>
      </c>
      <c r="M40" s="33" t="s">
        <v>9</v>
      </c>
      <c r="N40" s="33" t="s">
        <v>8</v>
      </c>
      <c r="O40" s="33" t="s">
        <v>1</v>
      </c>
      <c r="P40" s="33" t="s">
        <v>9</v>
      </c>
      <c r="Q40" s="33" t="s">
        <v>10</v>
      </c>
      <c r="S40" s="5"/>
      <c r="U40" s="18"/>
    </row>
    <row r="41" spans="3:21" ht="15" customHeight="1" x14ac:dyDescent="0.2">
      <c r="C41" s="36" t="str">
        <f ca="1">IF(DAY(Ne1Zář)=1,"",IF(AND(YEAR(Ne1Zář+1)=RokKalendáře,MONTH(Ne1Zář+1)=9),Ne1Zář+1,""))</f>
        <v/>
      </c>
      <c r="D41" s="36" t="str">
        <f ca="1">IF(DAY(Ne1Zář)=1,"",IF(AND(YEAR(Ne1Zář+2)=RokKalendáře,MONTH(Ne1Zář+2)=9),Ne1Zář+2,""))</f>
        <v/>
      </c>
      <c r="E41" s="36" t="str">
        <f ca="1">IF(DAY(Ne1Zář)=1,"",IF(AND(YEAR(Ne1Zář+3)=RokKalendáře,MONTH(Ne1Zář+3)=9),Ne1Zář+3,""))</f>
        <v/>
      </c>
      <c r="F41" s="36" t="str">
        <f ca="1">IF(DAY(Ne1Zář)=1,"",IF(AND(YEAR(Ne1Zář+4)=RokKalendáře,MONTH(Ne1Zář+4)=9),Ne1Zář+4,""))</f>
        <v/>
      </c>
      <c r="G41" s="36" t="str">
        <f ca="1">IF(DAY(Ne1Zář)=1,"",IF(AND(YEAR(Ne1Zář+5)=RokKalendáře,MONTH(Ne1Zář+5)=9),Ne1Zář+5,""))</f>
        <v/>
      </c>
      <c r="H41" s="36" t="str">
        <f ca="1">IF(DAY(Ne1Zář)=1,"",IF(AND(YEAR(Ne1Zář+6)=RokKalendáře,MONTH(Ne1Zář+6)=9),Ne1Zář+6,""))</f>
        <v/>
      </c>
      <c r="I41" s="36">
        <f ca="1">IF(DAY(Ne1Zář)=1,IF(AND(YEAR(Ne1Zář)=RokKalendáře,MONTH(Ne1Zář)=9),Ne1Zář,""),IF(AND(YEAR(Ne1Zář+7)=RokKalendáře,MONTH(Ne1Zář+7)=9),Ne1Zář+7,""))</f>
        <v>43709</v>
      </c>
      <c r="J41" s="22"/>
      <c r="K41" s="36" t="str">
        <f ca="1">IF(DAY(Ne1Říj)=1,"",IF(AND(YEAR(Ne1Říj+1)=RokKalendáře,MONTH(Ne1Říj+1)=10),Ne1Říj+1,""))</f>
        <v/>
      </c>
      <c r="L41" s="36">
        <f ca="1">IF(DAY(Ne1Říj)=1,"",IF(AND(YEAR(Ne1Říj+2)=RokKalendáře,MONTH(Ne1Říj+2)=10),Ne1Říj+2,""))</f>
        <v>43739</v>
      </c>
      <c r="M41" s="36">
        <f ca="1">IF(DAY(Ne1Říj)=1,"",IF(AND(YEAR(Ne1Říj+3)=RokKalendáře,MONTH(Ne1Říj+3)=10),Ne1Říj+3,""))</f>
        <v>43740</v>
      </c>
      <c r="N41" s="36">
        <f ca="1">IF(DAY(Ne1Říj)=1,"",IF(AND(YEAR(Ne1Říj+4)=RokKalendáře,MONTH(Ne1Říj+4)=10),Ne1Říj+4,""))</f>
        <v>43741</v>
      </c>
      <c r="O41" s="36">
        <f ca="1">IF(DAY(Ne1Říj)=1,"",IF(AND(YEAR(Ne1Říj+5)=RokKalendáře,MONTH(Ne1Říj+5)=10),Ne1Říj+5,""))</f>
        <v>43742</v>
      </c>
      <c r="P41" s="36">
        <f ca="1">IF(DAY(Ne1Říj)=1,"",IF(AND(YEAR(Ne1Říj+6)=RokKalendáře,MONTH(Ne1Říj+6)=10),Ne1Říj+6,""))</f>
        <v>43743</v>
      </c>
      <c r="Q41" s="36">
        <f ca="1">IF(DAY(Ne1Říj)=1,IF(AND(YEAR(Ne1Říj)=RokKalendáře,MONTH(Ne1Říj)=10),Ne1Říj,""),IF(AND(YEAR(Ne1Říj+7)=RokKalendáře,MONTH(Ne1Říj+7)=10),Ne1Říj+7,""))</f>
        <v>43744</v>
      </c>
      <c r="S41" s="5"/>
      <c r="U41" s="11"/>
    </row>
    <row r="42" spans="3:21" ht="15" customHeight="1" x14ac:dyDescent="0.2">
      <c r="C42" s="36">
        <f ca="1">IF(DAY(Ne1Zář)=1,IF(AND(YEAR(Ne1Zář+1)=RokKalendáře,MONTH(Ne1Zář+1)=9),Ne1Zář+1,""),IF(AND(YEAR(Ne1Zář+8)=RokKalendáře,MONTH(Ne1Zář+8)=9),Ne1Zář+8,""))</f>
        <v>43710</v>
      </c>
      <c r="D42" s="36">
        <f ca="1">IF(DAY(Ne1Zář)=1,IF(AND(YEAR(Ne1Zář+2)=RokKalendáře,MONTH(Ne1Zář+2)=9),Ne1Zář+2,""),IF(AND(YEAR(Ne1Zář+9)=RokKalendáře,MONTH(Ne1Zář+9)=9),Ne1Zář+9,""))</f>
        <v>43711</v>
      </c>
      <c r="E42" s="36">
        <f ca="1">IF(DAY(Ne1Zář)=1,IF(AND(YEAR(Ne1Zář+3)=RokKalendáře,MONTH(Ne1Zář+3)=9),Ne1Zář+3,""),IF(AND(YEAR(Ne1Zář+10)=RokKalendáře,MONTH(Ne1Zář+10)=9),Ne1Zář+10,""))</f>
        <v>43712</v>
      </c>
      <c r="F42" s="36">
        <f ca="1">IF(DAY(Ne1Zář)=1,IF(AND(YEAR(Ne1Zář+4)=RokKalendáře,MONTH(Ne1Zář+4)=9),Ne1Zář+4,""),IF(AND(YEAR(Ne1Zář+11)=RokKalendáře,MONTH(Ne1Zář+11)=9),Ne1Zář+11,""))</f>
        <v>43713</v>
      </c>
      <c r="G42" s="36">
        <f ca="1">IF(DAY(Ne1Zář)=1,IF(AND(YEAR(Ne1Zář+5)=RokKalendáře,MONTH(Ne1Zář+5)=9),Ne1Zář+5,""),IF(AND(YEAR(Ne1Zář+12)=RokKalendáře,MONTH(Ne1Zář+12)=9),Ne1Zář+12,""))</f>
        <v>43714</v>
      </c>
      <c r="H42" s="36">
        <f ca="1">IF(DAY(Ne1Zář)=1,IF(AND(YEAR(Ne1Zář+6)=RokKalendáře,MONTH(Ne1Zář+6)=9),Ne1Zář+6,""),IF(AND(YEAR(Ne1Zář+13)=RokKalendáře,MONTH(Ne1Zář+13)=9),Ne1Zář+13,""))</f>
        <v>43715</v>
      </c>
      <c r="I42" s="36">
        <f ca="1">IF(DAY(Ne1Zář)=1,IF(AND(YEAR(Ne1Zář+7)=RokKalendáře,MONTH(Ne1Zář+7)=9),Ne1Zář+7,""),IF(AND(YEAR(Ne1Zář+14)=RokKalendáře,MONTH(Ne1Zář+14)=9),Ne1Zář+14,""))</f>
        <v>43716</v>
      </c>
      <c r="J42" s="22"/>
      <c r="K42" s="36">
        <f ca="1">IF(DAY(Ne1Říj)=1,IF(AND(YEAR(Ne1Říj+1)=RokKalendáře,MONTH(Ne1Říj+1)=10),Ne1Říj+1,""),IF(AND(YEAR(Ne1Říj+8)=RokKalendáře,MONTH(Ne1Říj+8)=10),Ne1Říj+8,""))</f>
        <v>43745</v>
      </c>
      <c r="L42" s="36">
        <f ca="1">IF(DAY(Ne1Říj)=1,IF(AND(YEAR(Ne1Říj+2)=RokKalendáře,MONTH(Ne1Říj+2)=10),Ne1Říj+2,""),IF(AND(YEAR(Ne1Říj+9)=RokKalendáře,MONTH(Ne1Říj+9)=10),Ne1Říj+9,""))</f>
        <v>43746</v>
      </c>
      <c r="M42" s="36">
        <f ca="1">IF(DAY(Ne1Říj)=1,IF(AND(YEAR(Ne1Říj+3)=RokKalendáře,MONTH(Ne1Říj+3)=10),Ne1Říj+3,""),IF(AND(YEAR(Ne1Říj+10)=RokKalendáře,MONTH(Ne1Říj+10)=10),Ne1Říj+10,""))</f>
        <v>43747</v>
      </c>
      <c r="N42" s="36">
        <f ca="1">IF(DAY(Ne1Říj)=1,IF(AND(YEAR(Ne1Říj+4)=RokKalendáře,MONTH(Ne1Říj+4)=10),Ne1Říj+4,""),IF(AND(YEAR(Ne1Říj+11)=RokKalendáře,MONTH(Ne1Říj+11)=10),Ne1Říj+11,""))</f>
        <v>43748</v>
      </c>
      <c r="O42" s="36">
        <f ca="1">IF(DAY(Ne1Říj)=1,IF(AND(YEAR(Ne1Říj+5)=RokKalendáře,MONTH(Ne1Říj+5)=10),Ne1Říj+5,""),IF(AND(YEAR(Ne1Říj+12)=RokKalendáře,MONTH(Ne1Říj+12)=10),Ne1Říj+12,""))</f>
        <v>43749</v>
      </c>
      <c r="P42" s="36">
        <f ca="1">IF(DAY(Ne1Říj)=1,IF(AND(YEAR(Ne1Říj+6)=RokKalendáře,MONTH(Ne1Říj+6)=10),Ne1Říj+6,""),IF(AND(YEAR(Ne1Říj+13)=RokKalendáře,MONTH(Ne1Říj+13)=10),Ne1Říj+13,""))</f>
        <v>43750</v>
      </c>
      <c r="Q42" s="36">
        <f ca="1">IF(DAY(Ne1Říj)=1,IF(AND(YEAR(Ne1Říj+7)=RokKalendáře,MONTH(Ne1Říj+7)=10),Ne1Říj+7,""),IF(AND(YEAR(Ne1Říj+14)=RokKalendáře,MONTH(Ne1Říj+14)=10),Ne1Říj+14,""))</f>
        <v>43751</v>
      </c>
      <c r="S42" s="5"/>
      <c r="U42" s="11"/>
    </row>
    <row r="43" spans="3:21" ht="15" customHeight="1" x14ac:dyDescent="0.2">
      <c r="C43" s="36">
        <f ca="1">IF(DAY(Ne1Zář)=1,IF(AND(YEAR(Ne1Zář+8)=RokKalendáře,MONTH(Ne1Zář+8)=9),Ne1Zář+8,""),IF(AND(YEAR(Ne1Zář+15)=RokKalendáře,MONTH(Ne1Zář+15)=9),Ne1Zář+15,""))</f>
        <v>43717</v>
      </c>
      <c r="D43" s="36">
        <f ca="1">IF(DAY(Ne1Zář)=1,IF(AND(YEAR(Ne1Zář+9)=RokKalendáře,MONTH(Ne1Zář+9)=9),Ne1Zář+9,""),IF(AND(YEAR(Ne1Zář+16)=RokKalendáře,MONTH(Ne1Zář+16)=9),Ne1Zář+16,""))</f>
        <v>43718</v>
      </c>
      <c r="E43" s="36">
        <f ca="1">IF(DAY(Ne1Zář)=1,IF(AND(YEAR(Ne1Zář+10)=RokKalendáře,MONTH(Ne1Zář+10)=9),Ne1Zář+10,""),IF(AND(YEAR(Ne1Zář+17)=RokKalendáře,MONTH(Ne1Zář+17)=9),Ne1Zář+17,""))</f>
        <v>43719</v>
      </c>
      <c r="F43" s="36">
        <f ca="1">IF(DAY(Ne1Zář)=1,IF(AND(YEAR(Ne1Zář+11)=RokKalendáře,MONTH(Ne1Zář+11)=9),Ne1Zář+11,""),IF(AND(YEAR(Ne1Zář+18)=RokKalendáře,MONTH(Ne1Zář+18)=9),Ne1Zář+18,""))</f>
        <v>43720</v>
      </c>
      <c r="G43" s="36">
        <f ca="1">IF(DAY(Ne1Zář)=1,IF(AND(YEAR(Ne1Zář+12)=RokKalendáře,MONTH(Ne1Zář+12)=9),Ne1Zář+12,""),IF(AND(YEAR(Ne1Zář+19)=RokKalendáře,MONTH(Ne1Zář+19)=9),Ne1Zář+19,""))</f>
        <v>43721</v>
      </c>
      <c r="H43" s="36">
        <f ca="1">IF(DAY(Ne1Zář)=1,IF(AND(YEAR(Ne1Zář+13)=RokKalendáře,MONTH(Ne1Zář+13)=9),Ne1Zář+13,""),IF(AND(YEAR(Ne1Zář+20)=RokKalendáře,MONTH(Ne1Zář+20)=9),Ne1Zář+20,""))</f>
        <v>43722</v>
      </c>
      <c r="I43" s="36">
        <f ca="1">IF(DAY(Ne1Zář)=1,IF(AND(YEAR(Ne1Zář+14)=RokKalendáře,MONTH(Ne1Zář+14)=9),Ne1Zář+14,""),IF(AND(YEAR(Ne1Zář+21)=RokKalendáře,MONTH(Ne1Zář+21)=9),Ne1Zář+21,""))</f>
        <v>43723</v>
      </c>
      <c r="J43" s="22"/>
      <c r="K43" s="36">
        <f ca="1">IF(DAY(Ne1Říj)=1,IF(AND(YEAR(Ne1Říj+8)=RokKalendáře,MONTH(Ne1Říj+8)=10),Ne1Říj+8,""),IF(AND(YEAR(Ne1Říj+15)=RokKalendáře,MONTH(Ne1Říj+15)=10),Ne1Říj+15,""))</f>
        <v>43752</v>
      </c>
      <c r="L43" s="36">
        <f ca="1">IF(DAY(Ne1Říj)=1,IF(AND(YEAR(Ne1Říj+9)=RokKalendáře,MONTH(Ne1Říj+9)=10),Ne1Říj+9,""),IF(AND(YEAR(Ne1Říj+16)=RokKalendáře,MONTH(Ne1Říj+16)=10),Ne1Říj+16,""))</f>
        <v>43753</v>
      </c>
      <c r="M43" s="36">
        <f ca="1">IF(DAY(Ne1Říj)=1,IF(AND(YEAR(Ne1Říj+10)=RokKalendáře,MONTH(Ne1Říj+10)=10),Ne1Říj+10,""),IF(AND(YEAR(Ne1Říj+17)=RokKalendáře,MONTH(Ne1Říj+17)=10),Ne1Říj+17,""))</f>
        <v>43754</v>
      </c>
      <c r="N43" s="36">
        <f ca="1">IF(DAY(Ne1Říj)=1,IF(AND(YEAR(Ne1Říj+11)=RokKalendáře,MONTH(Ne1Říj+11)=10),Ne1Říj+11,""),IF(AND(YEAR(Ne1Říj+18)=RokKalendáře,MONTH(Ne1Říj+18)=10),Ne1Říj+18,""))</f>
        <v>43755</v>
      </c>
      <c r="O43" s="36">
        <f ca="1">IF(DAY(Ne1Říj)=1,IF(AND(YEAR(Ne1Říj+12)=RokKalendáře,MONTH(Ne1Říj+12)=10),Ne1Říj+12,""),IF(AND(YEAR(Ne1Říj+19)=RokKalendáře,MONTH(Ne1Říj+19)=10),Ne1Říj+19,""))</f>
        <v>43756</v>
      </c>
      <c r="P43" s="36">
        <f ca="1">IF(DAY(Ne1Říj)=1,IF(AND(YEAR(Ne1Říj+13)=RokKalendáře,MONTH(Ne1Říj+13)=10),Ne1Říj+13,""),IF(AND(YEAR(Ne1Říj+20)=RokKalendáře,MONTH(Ne1Říj+20)=10),Ne1Říj+20,""))</f>
        <v>43757</v>
      </c>
      <c r="Q43" s="36">
        <f ca="1">IF(DAY(Ne1Říj)=1,IF(AND(YEAR(Ne1Říj+14)=RokKalendáře,MONTH(Ne1Říj+14)=10),Ne1Říj+14,""),IF(AND(YEAR(Ne1Říj+21)=RokKalendáře,MONTH(Ne1Říj+21)=10),Ne1Říj+21,""))</f>
        <v>43758</v>
      </c>
      <c r="S43" s="5"/>
      <c r="U43" s="18"/>
    </row>
    <row r="44" spans="3:21" ht="15" customHeight="1" x14ac:dyDescent="0.2">
      <c r="C44" s="36">
        <f ca="1">IF(DAY(Ne1Zář)=1,IF(AND(YEAR(Ne1Zář+15)=RokKalendáře,MONTH(Ne1Zář+15)=9),Ne1Zář+15,""),IF(AND(YEAR(Ne1Zář+22)=RokKalendáře,MONTH(Ne1Zář+22)=9),Ne1Zář+22,""))</f>
        <v>43724</v>
      </c>
      <c r="D44" s="36">
        <f ca="1">IF(DAY(Ne1Zář)=1,IF(AND(YEAR(Ne1Zář+16)=RokKalendáře,MONTH(Ne1Zář+16)=9),Ne1Zář+16,""),IF(AND(YEAR(Ne1Zář+23)=RokKalendáře,MONTH(Ne1Zář+23)=9),Ne1Zář+23,""))</f>
        <v>43725</v>
      </c>
      <c r="E44" s="36">
        <f ca="1">IF(DAY(Ne1Zář)=1,IF(AND(YEAR(Ne1Zář+17)=RokKalendáře,MONTH(Ne1Zář+17)=9),Ne1Zář+17,""),IF(AND(YEAR(Ne1Zář+24)=RokKalendáře,MONTH(Ne1Zář+24)=9),Ne1Zář+24,""))</f>
        <v>43726</v>
      </c>
      <c r="F44" s="36">
        <f ca="1">IF(DAY(Ne1Zář)=1,IF(AND(YEAR(Ne1Zář+18)=RokKalendáře,MONTH(Ne1Zář+18)=9),Ne1Zář+18,""),IF(AND(YEAR(Ne1Zář+25)=RokKalendáře,MONTH(Ne1Zář+25)=9),Ne1Zář+25,""))</f>
        <v>43727</v>
      </c>
      <c r="G44" s="36">
        <f ca="1">IF(DAY(Ne1Zář)=1,IF(AND(YEAR(Ne1Zář+19)=RokKalendáře,MONTH(Ne1Zář+19)=9),Ne1Zář+19,""),IF(AND(YEAR(Ne1Zář+26)=RokKalendáře,MONTH(Ne1Zář+26)=9),Ne1Zář+26,""))</f>
        <v>43728</v>
      </c>
      <c r="H44" s="36">
        <f ca="1">IF(DAY(Ne1Zář)=1,IF(AND(YEAR(Ne1Zář+20)=RokKalendáře,MONTH(Ne1Zář+20)=9),Ne1Zář+20,""),IF(AND(YEAR(Ne1Zář+27)=RokKalendáře,MONTH(Ne1Zář+27)=9),Ne1Zář+27,""))</f>
        <v>43729</v>
      </c>
      <c r="I44" s="36">
        <f ca="1">IF(DAY(Ne1Zář)=1,IF(AND(YEAR(Ne1Zář+21)=RokKalendáře,MONTH(Ne1Zář+21)=9),Ne1Zář+21,""),IF(AND(YEAR(Ne1Zář+28)=RokKalendáře,MONTH(Ne1Zář+28)=9),Ne1Zář+28,""))</f>
        <v>43730</v>
      </c>
      <c r="J44" s="22"/>
      <c r="K44" s="36">
        <f ca="1">IF(DAY(Ne1Říj)=1,IF(AND(YEAR(Ne1Říj+15)=RokKalendáře,MONTH(Ne1Říj+15)=10),Ne1Říj+15,""),IF(AND(YEAR(Ne1Říj+22)=RokKalendáře,MONTH(Ne1Říj+22)=10),Ne1Říj+22,""))</f>
        <v>43759</v>
      </c>
      <c r="L44" s="36">
        <f ca="1">IF(DAY(Ne1Říj)=1,IF(AND(YEAR(Ne1Říj+16)=RokKalendáře,MONTH(Ne1Říj+16)=10),Ne1Říj+16,""),IF(AND(YEAR(Ne1Říj+23)=RokKalendáře,MONTH(Ne1Říj+23)=10),Ne1Říj+23,""))</f>
        <v>43760</v>
      </c>
      <c r="M44" s="36">
        <f ca="1">IF(DAY(Ne1Říj)=1,IF(AND(YEAR(Ne1Říj+17)=RokKalendáře,MONTH(Ne1Říj+17)=10),Ne1Říj+17,""),IF(AND(YEAR(Ne1Říj+24)=RokKalendáře,MONTH(Ne1Říj+24)=10),Ne1Říj+24,""))</f>
        <v>43761</v>
      </c>
      <c r="N44" s="36">
        <f ca="1">IF(DAY(Ne1Říj)=1,IF(AND(YEAR(Ne1Říj+18)=RokKalendáře,MONTH(Ne1Říj+18)=10),Ne1Říj+18,""),IF(AND(YEAR(Ne1Říj+25)=RokKalendáře,MONTH(Ne1Říj+25)=10),Ne1Říj+25,""))</f>
        <v>43762</v>
      </c>
      <c r="O44" s="36">
        <f ca="1">IF(DAY(Ne1Říj)=1,IF(AND(YEAR(Ne1Říj+19)=RokKalendáře,MONTH(Ne1Říj+19)=10),Ne1Říj+19,""),IF(AND(YEAR(Ne1Říj+26)=RokKalendáře,MONTH(Ne1Říj+26)=10),Ne1Říj+26,""))</f>
        <v>43763</v>
      </c>
      <c r="P44" s="36">
        <f ca="1">IF(DAY(Ne1Říj)=1,IF(AND(YEAR(Ne1Říj+20)=RokKalendáře,MONTH(Ne1Říj+20)=10),Ne1Říj+20,""),IF(AND(YEAR(Ne1Říj+27)=RokKalendáře,MONTH(Ne1Říj+27)=10),Ne1Říj+27,""))</f>
        <v>43764</v>
      </c>
      <c r="Q44" s="36">
        <f ca="1">IF(DAY(Ne1Říj)=1,IF(AND(YEAR(Ne1Říj+21)=RokKalendáře,MONTH(Ne1Říj+21)=10),Ne1Říj+21,""),IF(AND(YEAR(Ne1Říj+28)=RokKalendáře,MONTH(Ne1Říj+28)=10),Ne1Říj+28,""))</f>
        <v>43765</v>
      </c>
      <c r="S44" s="5"/>
      <c r="U44" s="17" t="s">
        <v>24</v>
      </c>
    </row>
    <row r="45" spans="3:21" ht="15" customHeight="1" x14ac:dyDescent="0.2">
      <c r="C45" s="36">
        <f ca="1">IF(DAY(Ne1Zář)=1,IF(AND(YEAR(Ne1Zář+22)=RokKalendáře,MONTH(Ne1Zář+22)=9),Ne1Zář+22,""),IF(AND(YEAR(Ne1Zář+29)=RokKalendáře,MONTH(Ne1Zář+29)=9),Ne1Zář+29,""))</f>
        <v>43731</v>
      </c>
      <c r="D45" s="36">
        <f ca="1">IF(DAY(Ne1Zář)=1,IF(AND(YEAR(Ne1Zář+23)=RokKalendáře,MONTH(Ne1Zář+23)=9),Ne1Zář+23,""),IF(AND(YEAR(Ne1Zář+30)=RokKalendáře,MONTH(Ne1Zář+30)=9),Ne1Zář+30,""))</f>
        <v>43732</v>
      </c>
      <c r="E45" s="36">
        <f ca="1">IF(DAY(Ne1Zář)=1,IF(AND(YEAR(Ne1Zář+24)=RokKalendáře,MONTH(Ne1Zář+24)=9),Ne1Zář+24,""),IF(AND(YEAR(Ne1Zář+31)=RokKalendáře,MONTH(Ne1Zář+31)=9),Ne1Zář+31,""))</f>
        <v>43733</v>
      </c>
      <c r="F45" s="36">
        <f ca="1">IF(DAY(Ne1Zář)=1,IF(AND(YEAR(Ne1Zář+25)=RokKalendáře,MONTH(Ne1Zář+25)=9),Ne1Zář+25,""),IF(AND(YEAR(Ne1Zář+32)=RokKalendáře,MONTH(Ne1Zář+32)=9),Ne1Zář+32,""))</f>
        <v>43734</v>
      </c>
      <c r="G45" s="36">
        <f ca="1">IF(DAY(Ne1Zář)=1,IF(AND(YEAR(Ne1Zář+26)=RokKalendáře,MONTH(Ne1Zář+26)=9),Ne1Zář+26,""),IF(AND(YEAR(Ne1Zář+33)=RokKalendáře,MONTH(Ne1Zář+33)=9),Ne1Zář+33,""))</f>
        <v>43735</v>
      </c>
      <c r="H45" s="36">
        <f ca="1">IF(DAY(Ne1Zář)=1,IF(AND(YEAR(Ne1Zář+27)=RokKalendáře,MONTH(Ne1Zář+27)=9),Ne1Zář+27,""),IF(AND(YEAR(Ne1Zář+34)=RokKalendáře,MONTH(Ne1Zář+34)=9),Ne1Zář+34,""))</f>
        <v>43736</v>
      </c>
      <c r="I45" s="36">
        <f ca="1">IF(DAY(Ne1Zář)=1,IF(AND(YEAR(Ne1Zář+28)=RokKalendáře,MONTH(Ne1Zář+28)=9),Ne1Zář+28,""),IF(AND(YEAR(Ne1Zář+35)=RokKalendáře,MONTH(Ne1Zář+35)=9),Ne1Zář+35,""))</f>
        <v>43737</v>
      </c>
      <c r="J45" s="22"/>
      <c r="K45" s="36">
        <f ca="1">IF(DAY(Ne1Říj)=1,IF(AND(YEAR(Ne1Říj+22)=RokKalendáře,MONTH(Ne1Říj+22)=10),Ne1Říj+22,""),IF(AND(YEAR(Ne1Říj+29)=RokKalendáře,MONTH(Ne1Říj+29)=10),Ne1Říj+29,""))</f>
        <v>43766</v>
      </c>
      <c r="L45" s="36">
        <f ca="1">IF(DAY(Ne1Říj)=1,IF(AND(YEAR(Ne1Říj+23)=RokKalendáře,MONTH(Ne1Říj+23)=10),Ne1Říj+23,""),IF(AND(YEAR(Ne1Říj+30)=RokKalendáře,MONTH(Ne1Říj+30)=10),Ne1Říj+30,""))</f>
        <v>43767</v>
      </c>
      <c r="M45" s="36">
        <f ca="1">IF(DAY(Ne1Říj)=1,IF(AND(YEAR(Ne1Říj+24)=RokKalendáře,MONTH(Ne1Říj+24)=10),Ne1Říj+24,""),IF(AND(YEAR(Ne1Říj+31)=RokKalendáře,MONTH(Ne1Říj+31)=10),Ne1Říj+31,""))</f>
        <v>43768</v>
      </c>
      <c r="N45" s="36">
        <f ca="1">IF(DAY(Ne1Říj)=1,IF(AND(YEAR(Ne1Říj+25)=RokKalendáře,MONTH(Ne1Říj+25)=10),Ne1Říj+25,""),IF(AND(YEAR(Ne1Říj+32)=RokKalendáře,MONTH(Ne1Říj+32)=10),Ne1Říj+32,""))</f>
        <v>43769</v>
      </c>
      <c r="O45" s="36" t="str">
        <f ca="1">IF(DAY(Ne1Říj)=1,IF(AND(YEAR(Ne1Říj+26)=RokKalendáře,MONTH(Ne1Říj+26)=10),Ne1Říj+26,""),IF(AND(YEAR(Ne1Říj+33)=RokKalendáře,MONTH(Ne1Říj+33)=10),Ne1Říj+33,""))</f>
        <v/>
      </c>
      <c r="P45" s="36" t="str">
        <f ca="1">IF(DAY(Ne1Říj)=1,IF(AND(YEAR(Ne1Říj+27)=RokKalendáře,MONTH(Ne1Říj+27)=10),Ne1Říj+27,""),IF(AND(YEAR(Ne1Říj+34)=RokKalendáře,MONTH(Ne1Říj+34)=10),Ne1Říj+34,""))</f>
        <v/>
      </c>
      <c r="Q45" s="36" t="str">
        <f ca="1">IF(DAY(Ne1Říj)=1,IF(AND(YEAR(Ne1Říj+28)=RokKalendáře,MONTH(Ne1Říj+28)=10),Ne1Říj+28,""),IF(AND(YEAR(Ne1Říj+35)=RokKalendáře,MONTH(Ne1Říj+35)=10),Ne1Říj+35,""))</f>
        <v/>
      </c>
      <c r="S45" s="5"/>
      <c r="U45" s="10" t="s">
        <v>25</v>
      </c>
    </row>
    <row r="46" spans="3:21" ht="15" customHeight="1" x14ac:dyDescent="0.2">
      <c r="C46" s="36">
        <f ca="1">IF(DAY(Ne1Zář)=1,IF(AND(YEAR(Ne1Zář+29)=RokKalendáře,MONTH(Ne1Zář+29)=9),Ne1Zář+29,""),IF(AND(YEAR(Ne1Zář+36)=RokKalendáře,MONTH(Ne1Zář+36)=9),Ne1Zář+36,""))</f>
        <v>43738</v>
      </c>
      <c r="D46" s="36" t="str">
        <f ca="1">IF(DAY(Ne1Zář)=1,IF(AND(YEAR(Ne1Zář+30)=RokKalendáře,MONTH(Ne1Zář+30)=9),Ne1Zář+30,""),IF(AND(YEAR(Ne1Zář+37)=RokKalendáře,MONTH(Ne1Zář+37)=9),Ne1Zář+37,""))</f>
        <v/>
      </c>
      <c r="E46" s="36" t="str">
        <f ca="1">IF(DAY(Ne1Zář)=1,IF(AND(YEAR(Ne1Zář+31)=RokKalendáře,MONTH(Ne1Zář+31)=9),Ne1Zář+31,""),IF(AND(YEAR(Ne1Zář+38)=RokKalendáře,MONTH(Ne1Zář+38)=9),Ne1Zář+38,""))</f>
        <v/>
      </c>
      <c r="F46" s="36" t="str">
        <f ca="1">IF(DAY(Ne1Zář)=1,IF(AND(YEAR(Ne1Zář+32)=RokKalendáře,MONTH(Ne1Zář+32)=9),Ne1Zář+32,""),IF(AND(YEAR(Ne1Zář+39)=RokKalendáře,MONTH(Ne1Zář+39)=9),Ne1Zář+39,""))</f>
        <v/>
      </c>
      <c r="G46" s="36" t="str">
        <f ca="1">IF(DAY(Ne1Zář)=1,IF(AND(YEAR(Ne1Zář+33)=RokKalendáře,MONTH(Ne1Zář+33)=9),Ne1Zář+33,""),IF(AND(YEAR(Ne1Zář+40)=RokKalendáře,MONTH(Ne1Zář+40)=9),Ne1Zář+40,""))</f>
        <v/>
      </c>
      <c r="H46" s="36" t="str">
        <f ca="1">IF(DAY(Ne1Zář)=1,IF(AND(YEAR(Ne1Zář+34)=RokKalendáře,MONTH(Ne1Zář+34)=9),Ne1Zář+34,""),IF(AND(YEAR(Ne1Zář+41)=RokKalendáře,MONTH(Ne1Zář+41)=9),Ne1Zář+41,""))</f>
        <v/>
      </c>
      <c r="I46" s="36" t="str">
        <f ca="1">IF(DAY(Ne1Zář)=1,IF(AND(YEAR(Ne1Zář+35)=RokKalendáře,MONTH(Ne1Zář+35)=9),Ne1Zář+35,""),IF(AND(YEAR(Ne1Zář+42)=RokKalendáře,MONTH(Ne1Zář+42)=9),Ne1Zář+42,""))</f>
        <v/>
      </c>
      <c r="J46" s="22"/>
      <c r="K46" s="36" t="str">
        <f ca="1">IF(DAY(Ne1Říj)=1,IF(AND(YEAR(Ne1Říj+29)=RokKalendáře,MONTH(Ne1Říj+29)=10),Ne1Říj+29,""),IF(AND(YEAR(Ne1Říj+36)=RokKalendáře,MONTH(Ne1Říj+36)=10),Ne1Říj+36,""))</f>
        <v/>
      </c>
      <c r="L46" s="36" t="str">
        <f ca="1">IF(DAY(Ne1Říj)=1,IF(AND(YEAR(Ne1Říj+30)=RokKalendáře,MONTH(Ne1Říj+30)=10),Ne1Říj+30,""),IF(AND(YEAR(Ne1Říj+37)=RokKalendáře,MONTH(Ne1Říj+37)=10),Ne1Říj+37,""))</f>
        <v/>
      </c>
      <c r="M46" s="36" t="str">
        <f ca="1">IF(DAY(Ne1Říj)=1,IF(AND(YEAR(Ne1Říj+31)=RokKalendáře,MONTH(Ne1Říj+31)=10),Ne1Říj+31,""),IF(AND(YEAR(Ne1Říj+38)=RokKalendáře,MONTH(Ne1Říj+38)=10),Ne1Říj+38,""))</f>
        <v/>
      </c>
      <c r="N46" s="36" t="str">
        <f ca="1">IF(DAY(Ne1Říj)=1,IF(AND(YEAR(Ne1Říj+32)=RokKalendáře,MONTH(Ne1Říj+32)=10),Ne1Říj+32,""),IF(AND(YEAR(Ne1Říj+39)=RokKalendáře,MONTH(Ne1Říj+39)=10),Ne1Říj+39,""))</f>
        <v/>
      </c>
      <c r="O46" s="36" t="str">
        <f ca="1">IF(DAY(Ne1Říj)=1,IF(AND(YEAR(Ne1Říj+33)=RokKalendáře,MONTH(Ne1Říj+33)=10),Ne1Říj+33,""),IF(AND(YEAR(Ne1Říj+40)=RokKalendáře,MONTH(Ne1Říj+40)=10),Ne1Říj+40,""))</f>
        <v/>
      </c>
      <c r="P46" s="36" t="str">
        <f ca="1">IF(DAY(Ne1Říj)=1,IF(AND(YEAR(Ne1Říj+34)=RokKalendáře,MONTH(Ne1Říj+34)=10),Ne1Říj+34,""),IF(AND(YEAR(Ne1Říj+41)=RokKalendáře,MONTH(Ne1Říj+41)=10),Ne1Říj+41,""))</f>
        <v/>
      </c>
      <c r="Q46" s="36" t="str">
        <f ca="1">IF(DAY(Ne1Říj)=1,IF(AND(YEAR(Ne1Říj+35)=RokKalendáře,MONTH(Ne1Říj+35)=10),Ne1Říj+35,""),IF(AND(YEAR(Ne1Říj+42)=RokKalendáře,MONTH(Ne1Říj+42)=10),Ne1Říj+42,""))</f>
        <v/>
      </c>
      <c r="S46" s="5"/>
      <c r="U46" s="10"/>
    </row>
    <row r="47" spans="3:21" ht="15" customHeight="1" x14ac:dyDescent="0.2">
      <c r="C47" s="2"/>
      <c r="D47" s="2"/>
      <c r="E47" s="2"/>
      <c r="F47" s="2"/>
      <c r="G47" s="2"/>
      <c r="H47" s="2"/>
      <c r="I47" s="2"/>
      <c r="J47" s="22"/>
      <c r="S47" s="5"/>
      <c r="U47" s="10" t="s">
        <v>28</v>
      </c>
    </row>
    <row r="48" spans="3:21" ht="15" customHeight="1" x14ac:dyDescent="0.25">
      <c r="C48" s="4" t="s">
        <v>6</v>
      </c>
      <c r="D48" s="3"/>
      <c r="E48" s="3"/>
      <c r="F48" s="3"/>
      <c r="G48" s="3"/>
      <c r="H48" s="3"/>
      <c r="I48" s="3"/>
      <c r="J48" s="22"/>
      <c r="K48" s="4" t="s">
        <v>16</v>
      </c>
      <c r="L48" s="3"/>
      <c r="M48" s="3"/>
      <c r="N48" s="3"/>
      <c r="O48" s="3"/>
      <c r="P48" s="3"/>
      <c r="Q48" s="3"/>
      <c r="S48" s="5"/>
      <c r="U48" s="10" t="s">
        <v>26</v>
      </c>
    </row>
    <row r="49" spans="3:21" ht="15" customHeight="1" x14ac:dyDescent="0.2">
      <c r="C49" s="34" t="s">
        <v>1</v>
      </c>
      <c r="D49" s="34" t="s">
        <v>7</v>
      </c>
      <c r="E49" s="34" t="s">
        <v>9</v>
      </c>
      <c r="F49" s="34" t="s">
        <v>8</v>
      </c>
      <c r="G49" s="34" t="s">
        <v>1</v>
      </c>
      <c r="H49" s="34" t="s">
        <v>9</v>
      </c>
      <c r="I49" s="34" t="s">
        <v>10</v>
      </c>
      <c r="J49" s="23"/>
      <c r="K49" s="35" t="s">
        <v>1</v>
      </c>
      <c r="L49" s="35" t="s">
        <v>7</v>
      </c>
      <c r="M49" s="35" t="s">
        <v>9</v>
      </c>
      <c r="N49" s="35" t="s">
        <v>8</v>
      </c>
      <c r="O49" s="35" t="s">
        <v>1</v>
      </c>
      <c r="P49" s="35" t="s">
        <v>9</v>
      </c>
      <c r="Q49" s="35" t="s">
        <v>10</v>
      </c>
      <c r="S49" s="5"/>
      <c r="U49" s="10" t="s">
        <v>27</v>
      </c>
    </row>
    <row r="50" spans="3:21" ht="15" customHeight="1" x14ac:dyDescent="0.2">
      <c r="C50" s="36" t="str">
        <f ca="1">IF(DAY(Ne1Lis)=1,"",IF(AND(YEAR(Ne1Lis+1)=RokKalendáře,MONTH(Ne1Lis+1)=11),Ne1Lis+1,""))</f>
        <v/>
      </c>
      <c r="D50" s="36" t="str">
        <f ca="1">IF(DAY(Ne1Lis)=1,"",IF(AND(YEAR(Ne1Lis+2)=RokKalendáře,MONTH(Ne1Lis+2)=11),Ne1Lis+2,""))</f>
        <v/>
      </c>
      <c r="E50" s="36" t="str">
        <f ca="1">IF(DAY(Ne1Lis)=1,"",IF(AND(YEAR(Ne1Lis+3)=RokKalendáře,MONTH(Ne1Lis+3)=11),Ne1Lis+3,""))</f>
        <v/>
      </c>
      <c r="F50" s="36" t="str">
        <f ca="1">IF(DAY(Ne1Lis)=1,"",IF(AND(YEAR(Ne1Lis+4)=RokKalendáře,MONTH(Ne1Lis+4)=11),Ne1Lis+4,""))</f>
        <v/>
      </c>
      <c r="G50" s="36">
        <f ca="1">IF(DAY(Ne1Lis)=1,"",IF(AND(YEAR(Ne1Lis+5)=RokKalendáře,MONTH(Ne1Lis+5)=11),Ne1Lis+5,""))</f>
        <v>43770</v>
      </c>
      <c r="H50" s="36">
        <f ca="1">IF(DAY(Ne1Lis)=1,"",IF(AND(YEAR(Ne1Lis+6)=RokKalendáře,MONTH(Ne1Lis+6)=11),Ne1Lis+6,""))</f>
        <v>43771</v>
      </c>
      <c r="I50" s="36">
        <f ca="1">IF(DAY(Ne1Lis)=1,IF(AND(YEAR(Ne1Lis)=RokKalendáře,MONTH(Ne1Lis)=11),Ne1Lis,""),IF(AND(YEAR(Ne1Lis+7)=RokKalendáře,MONTH(Ne1Lis+7)=11),Ne1Lis+7,""))</f>
        <v>43772</v>
      </c>
      <c r="J50" s="22"/>
      <c r="K50" s="36" t="str">
        <f ca="1">IF(DAY(Ne1Pro)=1,"",IF(AND(YEAR(Ne1Pro+1)=RokKalendáře,MONTH(Ne1Pro+1)=12),Ne1Pro+1,""))</f>
        <v/>
      </c>
      <c r="L50" s="36" t="str">
        <f ca="1">IF(DAY(Ne1Pro)=1,"",IF(AND(YEAR(Ne1Pro+2)=RokKalendáře,MONTH(Ne1Pro+2)=12),Ne1Pro+2,""))</f>
        <v/>
      </c>
      <c r="M50" s="36" t="str">
        <f ca="1">IF(DAY(Ne1Pro)=1,"",IF(AND(YEAR(Ne1Pro+3)=RokKalendáře,MONTH(Ne1Pro+3)=12),Ne1Pro+3,""))</f>
        <v/>
      </c>
      <c r="N50" s="36" t="str">
        <f ca="1">IF(DAY(Ne1Pro)=1,"",IF(AND(YEAR(Ne1Pro+4)=RokKalendáře,MONTH(Ne1Pro+4)=12),Ne1Pro+4,""))</f>
        <v/>
      </c>
      <c r="O50" s="36" t="str">
        <f ca="1">IF(DAY(Ne1Pro)=1,"",IF(AND(YEAR(Ne1Pro+5)=RokKalendáře,MONTH(Ne1Pro+5)=12),Ne1Pro+5,""))</f>
        <v/>
      </c>
      <c r="P50" s="36" t="str">
        <f ca="1">IF(DAY(Ne1Pro)=1,"",IF(AND(YEAR(Ne1Pro+6)=RokKalendáře,MONTH(Ne1Pro+6)=12),Ne1Pro+6,""))</f>
        <v/>
      </c>
      <c r="Q50" s="36">
        <f ca="1">IF(DAY(Ne1Pro)=1,IF(AND(YEAR(Ne1Pro)=RokKalendáře,MONTH(Ne1Pro)=12),Ne1Pro,""),IF(AND(YEAR(Ne1Pro+7)=RokKalendáře,MONTH(Ne1Pro+7)=12),Ne1Pro+7,""))</f>
        <v>43800</v>
      </c>
      <c r="S50" s="5"/>
      <c r="U50" s="10"/>
    </row>
    <row r="51" spans="3:21" ht="15" customHeight="1" x14ac:dyDescent="0.2">
      <c r="C51" s="36">
        <f ca="1">IF(DAY(Ne1Lis)=1,IF(AND(YEAR(Ne1Lis+1)=RokKalendáře,MONTH(Ne1Lis+1)=11),Ne1Lis+1,""),IF(AND(YEAR(Ne1Lis+8)=RokKalendáře,MONTH(Ne1Lis+8)=11),Ne1Lis+8,""))</f>
        <v>43773</v>
      </c>
      <c r="D51" s="36">
        <f ca="1">IF(DAY(Ne1Lis)=1,IF(AND(YEAR(Ne1Lis+2)=RokKalendáře,MONTH(Ne1Lis+2)=11),Ne1Lis+2,""),IF(AND(YEAR(Ne1Lis+9)=RokKalendáře,MONTH(Ne1Lis+9)=11),Ne1Lis+9,""))</f>
        <v>43774</v>
      </c>
      <c r="E51" s="36">
        <f ca="1">IF(DAY(Ne1Lis)=1,IF(AND(YEAR(Ne1Lis+3)=RokKalendáře,MONTH(Ne1Lis+3)=11),Ne1Lis+3,""),IF(AND(YEAR(Ne1Lis+10)=RokKalendáře,MONTH(Ne1Lis+10)=11),Ne1Lis+10,""))</f>
        <v>43775</v>
      </c>
      <c r="F51" s="36">
        <f ca="1">IF(DAY(Ne1Lis)=1,IF(AND(YEAR(Ne1Lis+4)=RokKalendáře,MONTH(Ne1Lis+4)=11),Ne1Lis+4,""),IF(AND(YEAR(Ne1Lis+11)=RokKalendáře,MONTH(Ne1Lis+11)=11),Ne1Lis+11,""))</f>
        <v>43776</v>
      </c>
      <c r="G51" s="36">
        <f ca="1">IF(DAY(Ne1Lis)=1,IF(AND(YEAR(Ne1Lis+5)=RokKalendáře,MONTH(Ne1Lis+5)=11),Ne1Lis+5,""),IF(AND(YEAR(Ne1Lis+12)=RokKalendáře,MONTH(Ne1Lis+12)=11),Ne1Lis+12,""))</f>
        <v>43777</v>
      </c>
      <c r="H51" s="36">
        <f ca="1">IF(DAY(Ne1Lis)=1,IF(AND(YEAR(Ne1Lis+6)=RokKalendáře,MONTH(Ne1Lis+6)=11),Ne1Lis+6,""),IF(AND(YEAR(Ne1Lis+13)=RokKalendáře,MONTH(Ne1Lis+13)=11),Ne1Lis+13,""))</f>
        <v>43778</v>
      </c>
      <c r="I51" s="36">
        <f ca="1">IF(DAY(Ne1Lis)=1,IF(AND(YEAR(Ne1Lis+7)=RokKalendáře,MONTH(Ne1Lis+7)=11),Ne1Lis+7,""),IF(AND(YEAR(Ne1Lis+14)=RokKalendáře,MONTH(Ne1Lis+14)=11),Ne1Lis+14,""))</f>
        <v>43779</v>
      </c>
      <c r="J51" s="22"/>
      <c r="K51" s="36">
        <f ca="1">IF(DAY(Ne1Pro)=1,IF(AND(YEAR(Ne1Pro+1)=RokKalendáře,MONTH(Ne1Pro+1)=12),Ne1Pro+1,""),IF(AND(YEAR(Ne1Pro+8)=RokKalendáře,MONTH(Ne1Pro+8)=12),Ne1Pro+8,""))</f>
        <v>43801</v>
      </c>
      <c r="L51" s="36">
        <f ca="1">IF(DAY(Ne1Pro)=1,IF(AND(YEAR(Ne1Pro+2)=RokKalendáře,MONTH(Ne1Pro+2)=12),Ne1Pro+2,""),IF(AND(YEAR(Ne1Pro+9)=RokKalendáře,MONTH(Ne1Pro+9)=12),Ne1Pro+9,""))</f>
        <v>43802</v>
      </c>
      <c r="M51" s="36">
        <f ca="1">IF(DAY(Ne1Pro)=1,IF(AND(YEAR(Ne1Pro+3)=RokKalendáře,MONTH(Ne1Pro+3)=12),Ne1Pro+3,""),IF(AND(YEAR(Ne1Pro+10)=RokKalendáře,MONTH(Ne1Pro+10)=12),Ne1Pro+10,""))</f>
        <v>43803</v>
      </c>
      <c r="N51" s="36">
        <f ca="1">IF(DAY(Ne1Pro)=1,IF(AND(YEAR(Ne1Pro+4)=RokKalendáře,MONTH(Ne1Pro+4)=12),Ne1Pro+4,""),IF(AND(YEAR(Ne1Pro+11)=RokKalendáře,MONTH(Ne1Pro+11)=12),Ne1Pro+11,""))</f>
        <v>43804</v>
      </c>
      <c r="O51" s="36">
        <f ca="1">IF(DAY(Ne1Pro)=1,IF(AND(YEAR(Ne1Pro+5)=RokKalendáře,MONTH(Ne1Pro+5)=12),Ne1Pro+5,""),IF(AND(YEAR(Ne1Pro+12)=RokKalendáře,MONTH(Ne1Pro+12)=12),Ne1Pro+12,""))</f>
        <v>43805</v>
      </c>
      <c r="P51" s="36">
        <f ca="1">IF(DAY(Ne1Pro)=1,IF(AND(YEAR(Ne1Pro+6)=RokKalendáře,MONTH(Ne1Pro+6)=12),Ne1Pro+6,""),IF(AND(YEAR(Ne1Pro+13)=RokKalendáře,MONTH(Ne1Pro+13)=12),Ne1Pro+13,""))</f>
        <v>43806</v>
      </c>
      <c r="Q51" s="36">
        <f ca="1">IF(DAY(Ne1Pro)=1,IF(AND(YEAR(Ne1Pro+7)=RokKalendáře,MONTH(Ne1Pro+7)=12),Ne1Pro+7,""),IF(AND(YEAR(Ne1Pro+14)=RokKalendáře,MONTH(Ne1Pro+14)=12),Ne1Pro+14,""))</f>
        <v>43807</v>
      </c>
      <c r="S51" s="5"/>
      <c r="U51" s="9"/>
    </row>
    <row r="52" spans="3:21" ht="15" customHeight="1" x14ac:dyDescent="0.2">
      <c r="C52" s="36">
        <f ca="1">IF(DAY(Ne1Lis)=1,IF(AND(YEAR(Ne1Lis+8)=RokKalendáře,MONTH(Ne1Lis+8)=11),Ne1Lis+8,""),IF(AND(YEAR(Ne1Lis+15)=RokKalendáře,MONTH(Ne1Lis+15)=11),Ne1Lis+15,""))</f>
        <v>43780</v>
      </c>
      <c r="D52" s="36">
        <f ca="1">IF(DAY(Ne1Lis)=1,IF(AND(YEAR(Ne1Lis+9)=RokKalendáře,MONTH(Ne1Lis+9)=11),Ne1Lis+9,""),IF(AND(YEAR(Ne1Lis+16)=RokKalendáře,MONTH(Ne1Lis+16)=11),Ne1Lis+16,""))</f>
        <v>43781</v>
      </c>
      <c r="E52" s="36">
        <f ca="1">IF(DAY(Ne1Lis)=1,IF(AND(YEAR(Ne1Lis+10)=RokKalendáře,MONTH(Ne1Lis+10)=11),Ne1Lis+10,""),IF(AND(YEAR(Ne1Lis+17)=RokKalendáře,MONTH(Ne1Lis+17)=11),Ne1Lis+17,""))</f>
        <v>43782</v>
      </c>
      <c r="F52" s="36">
        <f ca="1">IF(DAY(Ne1Lis)=1,IF(AND(YEAR(Ne1Lis+11)=RokKalendáře,MONTH(Ne1Lis+11)=11),Ne1Lis+11,""),IF(AND(YEAR(Ne1Lis+18)=RokKalendáře,MONTH(Ne1Lis+18)=11),Ne1Lis+18,""))</f>
        <v>43783</v>
      </c>
      <c r="G52" s="36">
        <f ca="1">IF(DAY(Ne1Lis)=1,IF(AND(YEAR(Ne1Lis+12)=RokKalendáře,MONTH(Ne1Lis+12)=11),Ne1Lis+12,""),IF(AND(YEAR(Ne1Lis+19)=RokKalendáře,MONTH(Ne1Lis+19)=11),Ne1Lis+19,""))</f>
        <v>43784</v>
      </c>
      <c r="H52" s="36">
        <f ca="1">IF(DAY(Ne1Lis)=1,IF(AND(YEAR(Ne1Lis+13)=RokKalendáře,MONTH(Ne1Lis+13)=11),Ne1Lis+13,""),IF(AND(YEAR(Ne1Lis+20)=RokKalendáře,MONTH(Ne1Lis+20)=11),Ne1Lis+20,""))</f>
        <v>43785</v>
      </c>
      <c r="I52" s="36">
        <f ca="1">IF(DAY(Ne1Lis)=1,IF(AND(YEAR(Ne1Lis+14)=RokKalendáře,MONTH(Ne1Lis+14)=11),Ne1Lis+14,""),IF(AND(YEAR(Ne1Lis+21)=RokKalendáře,MONTH(Ne1Lis+21)=11),Ne1Lis+21,""))</f>
        <v>43786</v>
      </c>
      <c r="J52" s="22"/>
      <c r="K52" s="36">
        <f ca="1">IF(DAY(Ne1Pro)=1,IF(AND(YEAR(Ne1Pro+8)=RokKalendáře,MONTH(Ne1Pro+8)=12),Ne1Pro+8,""),IF(AND(YEAR(Ne1Pro+15)=RokKalendáře,MONTH(Ne1Pro+15)=12),Ne1Pro+15,""))</f>
        <v>43808</v>
      </c>
      <c r="L52" s="36">
        <f ca="1">IF(DAY(Ne1Pro)=1,IF(AND(YEAR(Ne1Pro+9)=RokKalendáře,MONTH(Ne1Pro+9)=12),Ne1Pro+9,""),IF(AND(YEAR(Ne1Pro+16)=RokKalendáře,MONTH(Ne1Pro+16)=12),Ne1Pro+16,""))</f>
        <v>43809</v>
      </c>
      <c r="M52" s="36">
        <f ca="1">IF(DAY(Ne1Pro)=1,IF(AND(YEAR(Ne1Pro+10)=RokKalendáře,MONTH(Ne1Pro+10)=12),Ne1Pro+10,""),IF(AND(YEAR(Ne1Pro+17)=RokKalendáře,MONTH(Ne1Pro+17)=12),Ne1Pro+17,""))</f>
        <v>43810</v>
      </c>
      <c r="N52" s="36">
        <f ca="1">IF(DAY(Ne1Pro)=1,IF(AND(YEAR(Ne1Pro+11)=RokKalendáře,MONTH(Ne1Pro+11)=12),Ne1Pro+11,""),IF(AND(YEAR(Ne1Pro+18)=RokKalendáře,MONTH(Ne1Pro+18)=12),Ne1Pro+18,""))</f>
        <v>43811</v>
      </c>
      <c r="O52" s="36">
        <f ca="1">IF(DAY(Ne1Pro)=1,IF(AND(YEAR(Ne1Pro+12)=RokKalendáře,MONTH(Ne1Pro+12)=12),Ne1Pro+12,""),IF(AND(YEAR(Ne1Pro+19)=RokKalendáře,MONTH(Ne1Pro+19)=12),Ne1Pro+19,""))</f>
        <v>43812</v>
      </c>
      <c r="P52" s="36">
        <f ca="1">IF(DAY(Ne1Pro)=1,IF(AND(YEAR(Ne1Pro+13)=RokKalendáře,MONTH(Ne1Pro+13)=12),Ne1Pro+13,""),IF(AND(YEAR(Ne1Pro+20)=RokKalendáře,MONTH(Ne1Pro+20)=12),Ne1Pro+20,""))</f>
        <v>43813</v>
      </c>
      <c r="Q52" s="36">
        <f ca="1">IF(DAY(Ne1Pro)=1,IF(AND(YEAR(Ne1Pro+14)=RokKalendáře,MONTH(Ne1Pro+14)=12),Ne1Pro+14,""),IF(AND(YEAR(Ne1Pro+21)=RokKalendáře,MONTH(Ne1Pro+21)=12),Ne1Pro+21,""))</f>
        <v>43814</v>
      </c>
      <c r="S52" s="5"/>
      <c r="U52" s="9"/>
    </row>
    <row r="53" spans="3:21" ht="15" customHeight="1" x14ac:dyDescent="0.2">
      <c r="C53" s="36">
        <f ca="1">IF(DAY(Ne1Lis)=1,IF(AND(YEAR(Ne1Lis+15)=RokKalendáře,MONTH(Ne1Lis+15)=11),Ne1Lis+15,""),IF(AND(YEAR(Ne1Lis+22)=RokKalendáře,MONTH(Ne1Lis+22)=11),Ne1Lis+22,""))</f>
        <v>43787</v>
      </c>
      <c r="D53" s="36">
        <f ca="1">IF(DAY(Ne1Lis)=1,IF(AND(YEAR(Ne1Lis+16)=RokKalendáře,MONTH(Ne1Lis+16)=11),Ne1Lis+16,""),IF(AND(YEAR(Ne1Lis+23)=RokKalendáře,MONTH(Ne1Lis+23)=11),Ne1Lis+23,""))</f>
        <v>43788</v>
      </c>
      <c r="E53" s="36">
        <f ca="1">IF(DAY(Ne1Lis)=1,IF(AND(YEAR(Ne1Lis+17)=RokKalendáře,MONTH(Ne1Lis+17)=11),Ne1Lis+17,""),IF(AND(YEAR(Ne1Lis+24)=RokKalendáře,MONTH(Ne1Lis+24)=11),Ne1Lis+24,""))</f>
        <v>43789</v>
      </c>
      <c r="F53" s="36">
        <f ca="1">IF(DAY(Ne1Lis)=1,IF(AND(YEAR(Ne1Lis+18)=RokKalendáře,MONTH(Ne1Lis+18)=11),Ne1Lis+18,""),IF(AND(YEAR(Ne1Lis+25)=RokKalendáře,MONTH(Ne1Lis+25)=11),Ne1Lis+25,""))</f>
        <v>43790</v>
      </c>
      <c r="G53" s="36">
        <f ca="1">IF(DAY(Ne1Lis)=1,IF(AND(YEAR(Ne1Lis+19)=RokKalendáře,MONTH(Ne1Lis+19)=11),Ne1Lis+19,""),IF(AND(YEAR(Ne1Lis+26)=RokKalendáře,MONTH(Ne1Lis+26)=11),Ne1Lis+26,""))</f>
        <v>43791</v>
      </c>
      <c r="H53" s="36">
        <f ca="1">IF(DAY(Ne1Lis)=1,IF(AND(YEAR(Ne1Lis+20)=RokKalendáře,MONTH(Ne1Lis+20)=11),Ne1Lis+20,""),IF(AND(YEAR(Ne1Lis+27)=RokKalendáře,MONTH(Ne1Lis+27)=11),Ne1Lis+27,""))</f>
        <v>43792</v>
      </c>
      <c r="I53" s="36">
        <f ca="1">IF(DAY(Ne1Lis)=1,IF(AND(YEAR(Ne1Lis+21)=RokKalendáře,MONTH(Ne1Lis+21)=11),Ne1Lis+21,""),IF(AND(YEAR(Ne1Lis+28)=RokKalendáře,MONTH(Ne1Lis+28)=11),Ne1Lis+28,""))</f>
        <v>43793</v>
      </c>
      <c r="J53" s="22"/>
      <c r="K53" s="36">
        <f ca="1">IF(DAY(Ne1Pro)=1,IF(AND(YEAR(Ne1Pro+15)=RokKalendáře,MONTH(Ne1Pro+15)=12),Ne1Pro+15,""),IF(AND(YEAR(Ne1Pro+22)=RokKalendáře,MONTH(Ne1Pro+22)=12),Ne1Pro+22,""))</f>
        <v>43815</v>
      </c>
      <c r="L53" s="36">
        <f ca="1">IF(DAY(Ne1Pro)=1,IF(AND(YEAR(Ne1Pro+16)=RokKalendáře,MONTH(Ne1Pro+16)=12),Ne1Pro+16,""),IF(AND(YEAR(Ne1Pro+23)=RokKalendáře,MONTH(Ne1Pro+23)=12),Ne1Pro+23,""))</f>
        <v>43816</v>
      </c>
      <c r="M53" s="36">
        <f ca="1">IF(DAY(Ne1Pro)=1,IF(AND(YEAR(Ne1Pro+17)=RokKalendáře,MONTH(Ne1Pro+17)=12),Ne1Pro+17,""),IF(AND(YEAR(Ne1Pro+24)=RokKalendáře,MONTH(Ne1Pro+24)=12),Ne1Pro+24,""))</f>
        <v>43817</v>
      </c>
      <c r="N53" s="36">
        <f ca="1">IF(DAY(Ne1Pro)=1,IF(AND(YEAR(Ne1Pro+18)=RokKalendáře,MONTH(Ne1Pro+18)=12),Ne1Pro+18,""),IF(AND(YEAR(Ne1Pro+25)=RokKalendáře,MONTH(Ne1Pro+25)=12),Ne1Pro+25,""))</f>
        <v>43818</v>
      </c>
      <c r="O53" s="36">
        <f ca="1">IF(DAY(Ne1Pro)=1,IF(AND(YEAR(Ne1Pro+19)=RokKalendáře,MONTH(Ne1Pro+19)=12),Ne1Pro+19,""),IF(AND(YEAR(Ne1Pro+26)=RokKalendáře,MONTH(Ne1Pro+26)=12),Ne1Pro+26,""))</f>
        <v>43819</v>
      </c>
      <c r="P53" s="36">
        <f ca="1">IF(DAY(Ne1Pro)=1,IF(AND(YEAR(Ne1Pro+20)=RokKalendáře,MONTH(Ne1Pro+20)=12),Ne1Pro+20,""),IF(AND(YEAR(Ne1Pro+27)=RokKalendáře,MONTH(Ne1Pro+27)=12),Ne1Pro+27,""))</f>
        <v>43820</v>
      </c>
      <c r="Q53" s="36">
        <f ca="1">IF(DAY(Ne1Pro)=1,IF(AND(YEAR(Ne1Pro+21)=RokKalendáře,MONTH(Ne1Pro+21)=12),Ne1Pro+21,""),IF(AND(YEAR(Ne1Pro+28)=RokKalendáře,MONTH(Ne1Pro+28)=12),Ne1Pro+28,""))</f>
        <v>43821</v>
      </c>
      <c r="S53" s="5"/>
      <c r="U53" s="9"/>
    </row>
    <row r="54" spans="3:21" ht="15" customHeight="1" x14ac:dyDescent="0.2">
      <c r="C54" s="36">
        <f ca="1">IF(DAY(Ne1Lis)=1,IF(AND(YEAR(Ne1Lis+22)=RokKalendáře,MONTH(Ne1Lis+22)=11),Ne1Lis+22,""),IF(AND(YEAR(Ne1Lis+29)=RokKalendáře,MONTH(Ne1Lis+29)=11),Ne1Lis+29,""))</f>
        <v>43794</v>
      </c>
      <c r="D54" s="36">
        <f ca="1">IF(DAY(Ne1Lis)=1,IF(AND(YEAR(Ne1Lis+23)=RokKalendáře,MONTH(Ne1Lis+23)=11),Ne1Lis+23,""),IF(AND(YEAR(Ne1Lis+30)=RokKalendáře,MONTH(Ne1Lis+30)=11),Ne1Lis+30,""))</f>
        <v>43795</v>
      </c>
      <c r="E54" s="36">
        <f ca="1">IF(DAY(Ne1Lis)=1,IF(AND(YEAR(Ne1Lis+24)=RokKalendáře,MONTH(Ne1Lis+24)=11),Ne1Lis+24,""),IF(AND(YEAR(Ne1Lis+31)=RokKalendáře,MONTH(Ne1Lis+31)=11),Ne1Lis+31,""))</f>
        <v>43796</v>
      </c>
      <c r="F54" s="36">
        <f ca="1">IF(DAY(Ne1Lis)=1,IF(AND(YEAR(Ne1Lis+25)=RokKalendáře,MONTH(Ne1Lis+25)=11),Ne1Lis+25,""),IF(AND(YEAR(Ne1Lis+32)=RokKalendáře,MONTH(Ne1Lis+32)=11),Ne1Lis+32,""))</f>
        <v>43797</v>
      </c>
      <c r="G54" s="36">
        <f ca="1">IF(DAY(Ne1Lis)=1,IF(AND(YEAR(Ne1Lis+26)=RokKalendáře,MONTH(Ne1Lis+26)=11),Ne1Lis+26,""),IF(AND(YEAR(Ne1Lis+33)=RokKalendáře,MONTH(Ne1Lis+33)=11),Ne1Lis+33,""))</f>
        <v>43798</v>
      </c>
      <c r="H54" s="36">
        <f ca="1">IF(DAY(Ne1Lis)=1,IF(AND(YEAR(Ne1Lis+27)=RokKalendáře,MONTH(Ne1Lis+27)=11),Ne1Lis+27,""),IF(AND(YEAR(Ne1Lis+34)=RokKalendáře,MONTH(Ne1Lis+34)=11),Ne1Lis+34,""))</f>
        <v>43799</v>
      </c>
      <c r="I54" s="36" t="str">
        <f ca="1">IF(DAY(Ne1Lis)=1,IF(AND(YEAR(Ne1Lis+28)=RokKalendáře,MONTH(Ne1Lis+28)=11),Ne1Lis+28,""),IF(AND(YEAR(Ne1Lis+35)=RokKalendáře,MONTH(Ne1Lis+35)=11),Ne1Lis+35,""))</f>
        <v/>
      </c>
      <c r="J54" s="22"/>
      <c r="K54" s="36">
        <f ca="1">IF(DAY(Ne1Pro)=1,IF(AND(YEAR(Ne1Pro+22)=RokKalendáře,MONTH(Ne1Pro+22)=12),Ne1Pro+22,""),IF(AND(YEAR(Ne1Pro+29)=RokKalendáře,MONTH(Ne1Pro+29)=12),Ne1Pro+29,""))</f>
        <v>43822</v>
      </c>
      <c r="L54" s="36">
        <f ca="1">IF(DAY(Ne1Pro)=1,IF(AND(YEAR(Ne1Pro+23)=RokKalendáře,MONTH(Ne1Pro+23)=12),Ne1Pro+23,""),IF(AND(YEAR(Ne1Pro+30)=RokKalendáře,MONTH(Ne1Pro+30)=12),Ne1Pro+30,""))</f>
        <v>43823</v>
      </c>
      <c r="M54" s="36">
        <f ca="1">IF(DAY(Ne1Pro)=1,IF(AND(YEAR(Ne1Pro+24)=RokKalendáře,MONTH(Ne1Pro+24)=12),Ne1Pro+24,""),IF(AND(YEAR(Ne1Pro+31)=RokKalendáře,MONTH(Ne1Pro+31)=12),Ne1Pro+31,""))</f>
        <v>43824</v>
      </c>
      <c r="N54" s="36">
        <f ca="1">IF(DAY(Ne1Pro)=1,IF(AND(YEAR(Ne1Pro+25)=RokKalendáře,MONTH(Ne1Pro+25)=12),Ne1Pro+25,""),IF(AND(YEAR(Ne1Pro+32)=RokKalendáře,MONTH(Ne1Pro+32)=12),Ne1Pro+32,""))</f>
        <v>43825</v>
      </c>
      <c r="O54" s="36">
        <f ca="1">IF(DAY(Ne1Pro)=1,IF(AND(YEAR(Ne1Pro+26)=RokKalendáře,MONTH(Ne1Pro+26)=12),Ne1Pro+26,""),IF(AND(YEAR(Ne1Pro+33)=RokKalendáře,MONTH(Ne1Pro+33)=12),Ne1Pro+33,""))</f>
        <v>43826</v>
      </c>
      <c r="P54" s="36">
        <f ca="1">IF(DAY(Ne1Pro)=1,IF(AND(YEAR(Ne1Pro+27)=RokKalendáře,MONTH(Ne1Pro+27)=12),Ne1Pro+27,""),IF(AND(YEAR(Ne1Pro+34)=RokKalendáře,MONTH(Ne1Pro+34)=12),Ne1Pro+34,""))</f>
        <v>43827</v>
      </c>
      <c r="Q54" s="36">
        <f ca="1">IF(DAY(Ne1Pro)=1,IF(AND(YEAR(Ne1Pro+28)=RokKalendáře,MONTH(Ne1Pro+28)=12),Ne1Pro+28,""),IF(AND(YEAR(Ne1Pro+35)=RokKalendáře,MONTH(Ne1Pro+35)=12),Ne1Pro+35,""))</f>
        <v>43828</v>
      </c>
      <c r="S54" s="5"/>
      <c r="U54" s="9"/>
    </row>
    <row r="55" spans="3:21" ht="15" customHeight="1" x14ac:dyDescent="0.2">
      <c r="C55" s="36" t="str">
        <f ca="1">IF(DAY(Ne1Lis)=1,IF(AND(YEAR(Ne1Lis+29)=RokKalendáře,MONTH(Ne1Lis+29)=11),Ne1Lis+29,""),IF(AND(YEAR(Ne1Lis+36)=RokKalendáře,MONTH(Ne1Lis+36)=11),Ne1Lis+36,""))</f>
        <v/>
      </c>
      <c r="D55" s="36" t="str">
        <f ca="1">IF(DAY(Ne1Lis)=1,IF(AND(YEAR(Ne1Lis+30)=RokKalendáře,MONTH(Ne1Lis+30)=11),Ne1Lis+30,""),IF(AND(YEAR(Ne1Lis+37)=RokKalendáře,MONTH(Ne1Lis+37)=11),Ne1Lis+37,""))</f>
        <v/>
      </c>
      <c r="E55" s="36" t="str">
        <f ca="1">IF(DAY(Ne1Lis)=1,IF(AND(YEAR(Ne1Lis+31)=RokKalendáře,MONTH(Ne1Lis+31)=11),Ne1Lis+31,""),IF(AND(YEAR(Ne1Lis+38)=RokKalendáře,MONTH(Ne1Lis+38)=11),Ne1Lis+38,""))</f>
        <v/>
      </c>
      <c r="F55" s="36" t="str">
        <f ca="1">IF(DAY(Ne1Lis)=1,IF(AND(YEAR(Ne1Lis+32)=RokKalendáře,MONTH(Ne1Lis+32)=11),Ne1Lis+32,""),IF(AND(YEAR(Ne1Lis+39)=RokKalendáře,MONTH(Ne1Lis+39)=11),Ne1Lis+39,""))</f>
        <v/>
      </c>
      <c r="G55" s="36" t="str">
        <f ca="1">IF(DAY(Ne1Lis)=1,IF(AND(YEAR(Ne1Lis+33)=RokKalendáře,MONTH(Ne1Lis+33)=11),Ne1Lis+33,""),IF(AND(YEAR(Ne1Lis+40)=RokKalendáře,MONTH(Ne1Lis+40)=11),Ne1Lis+40,""))</f>
        <v/>
      </c>
      <c r="H55" s="36" t="str">
        <f ca="1">IF(DAY(Ne1Lis)=1,IF(AND(YEAR(Ne1Lis+34)=RokKalendáře,MONTH(Ne1Lis+34)=11),Ne1Lis+34,""),IF(AND(YEAR(Ne1Lis+41)=RokKalendáře,MONTH(Ne1Lis+41)=11),Ne1Lis+41,""))</f>
        <v/>
      </c>
      <c r="I55" s="36" t="str">
        <f ca="1">IF(DAY(Ne1Lis)=1,IF(AND(YEAR(Ne1Lis+35)=RokKalendáře,MONTH(Ne1Lis+35)=11),Ne1Lis+35,""),IF(AND(YEAR(Ne1Lis+42)=RokKalendáře,MONTH(Ne1Lis+42)=11),Ne1Lis+42,""))</f>
        <v/>
      </c>
      <c r="J55" s="22"/>
      <c r="K55" s="36">
        <f ca="1">IF(DAY(Ne1Pro)=1,IF(AND(YEAR(Ne1Pro+29)=RokKalendáře,MONTH(Ne1Pro+29)=12),Ne1Pro+29,""),IF(AND(YEAR(Ne1Pro+36)=RokKalendáře,MONTH(Ne1Pro+36)=12),Ne1Pro+36,""))</f>
        <v>43829</v>
      </c>
      <c r="L55" s="36">
        <f ca="1">IF(DAY(Ne1Pro)=1,IF(AND(YEAR(Ne1Pro+30)=RokKalendáře,MONTH(Ne1Pro+30)=12),Ne1Pro+30,""),IF(AND(YEAR(Ne1Pro+37)=RokKalendáře,MONTH(Ne1Pro+37)=12),Ne1Pro+37,""))</f>
        <v>43830</v>
      </c>
      <c r="M55" s="36" t="str">
        <f ca="1">IF(DAY(Ne1Pro)=1,IF(AND(YEAR(Ne1Pro+31)=RokKalendáře,MONTH(Ne1Pro+31)=12),Ne1Pro+31,""),IF(AND(YEAR(Ne1Pro+38)=RokKalendáře,MONTH(Ne1Pro+38)=12),Ne1Pro+38,""))</f>
        <v/>
      </c>
      <c r="N55" s="36" t="str">
        <f ca="1">IF(DAY(Ne1Pro)=1,IF(AND(YEAR(Ne1Pro+32)=RokKalendáře,MONTH(Ne1Pro+32)=12),Ne1Pro+32,""),IF(AND(YEAR(Ne1Pro+39)=RokKalendáře,MONTH(Ne1Pro+39)=12),Ne1Pro+39,""))</f>
        <v/>
      </c>
      <c r="O55" s="36" t="str">
        <f ca="1">IF(DAY(Ne1Pro)=1,IF(AND(YEAR(Ne1Pro+33)=RokKalendáře,MONTH(Ne1Pro+33)=12),Ne1Pro+33,""),IF(AND(YEAR(Ne1Pro+40)=RokKalendáře,MONTH(Ne1Pro+40)=12),Ne1Pro+40,""))</f>
        <v/>
      </c>
      <c r="P55" s="36" t="str">
        <f ca="1">IF(DAY(Ne1Pro)=1,IF(AND(YEAR(Ne1Pro+34)=RokKalendáře,MONTH(Ne1Pro+34)=12),Ne1Pro+34,""),IF(AND(YEAR(Ne1Pro+41)=RokKalendáře,MONTH(Ne1Pro+41)=12),Ne1Pro+41,""))</f>
        <v/>
      </c>
      <c r="Q55" s="36" t="str">
        <f ca="1">IF(DAY(Ne1Pro)=1,IF(AND(YEAR(Ne1Pro+35)=RokKalendáře,MONTH(Ne1Pro+35)=12),Ne1Pro+35,""),IF(AND(YEAR(Ne1Pro+42)=RokKalendáře,MONTH(Ne1Pro+42)=12),Ne1Pro+42,""))</f>
        <v/>
      </c>
      <c r="S55" s="5"/>
      <c r="U55" s="9"/>
    </row>
    <row r="56" spans="3:21" ht="15" customHeight="1" x14ac:dyDescent="0.2">
      <c r="K56" s="2"/>
      <c r="L56" s="2"/>
      <c r="M56" s="2"/>
      <c r="N56" s="2"/>
      <c r="O56" s="2"/>
      <c r="P56" s="2"/>
      <c r="Q56" s="2"/>
      <c r="U56" s="9"/>
    </row>
    <row r="57" spans="3:21" ht="15" customHeight="1" x14ac:dyDescent="0.2">
      <c r="U57" s="9"/>
    </row>
    <row r="58" spans="3:21" ht="15" customHeight="1" x14ac:dyDescent="0.2"/>
    <row r="59" spans="3:21" ht="15" customHeight="1" x14ac:dyDescent="0.2"/>
    <row r="60" spans="3:21" ht="15" customHeight="1" x14ac:dyDescent="0.2"/>
    <row r="61" spans="3:21" ht="15" customHeight="1" x14ac:dyDescent="0.2"/>
    <row r="62" spans="3:21" ht="15" customHeight="1" x14ac:dyDescent="0.2"/>
    <row r="63" spans="3:21" ht="15" customHeight="1" x14ac:dyDescent="0.2"/>
    <row r="64" spans="3:21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</sheetData>
  <mergeCells count="1">
    <mergeCell ref="C1:F1"/>
  </mergeCells>
  <phoneticPr fontId="2" type="noConversion"/>
  <dataValidations count="1">
    <dataValidation allowBlank="1" showInputMessage="1" showErrorMessage="1" errorTitle="Neplatný rok" error="Zadejte rok v rozmezí let 1900 až 9999 nebo ho najděte pomocí posuvníku." sqref="C1:F1" xr:uid="{00000000-0002-0000-0000-000000000000}"/>
  </dataValidations>
  <printOptions horizontalCentered="1" verticalCentered="1"/>
  <pageMargins left="0.5" right="0.5" top="0.5" bottom="0.5" header="0.3" footer="0.3"/>
  <pageSetup paperSize="9" scale="83" orientation="portrait" verticalDpi="4294967295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3" r:id="rId4" name="Číselník">
              <controlPr defaultSize="0" print="0" autoPict="0" altText="Kalendářní rok můžete změnit pomocí číselníku nebo zadáním do buňky B1.">
                <anchor moveWithCells="1">
                  <from>
                    <xdr:col>1</xdr:col>
                    <xdr:colOff>114300</xdr:colOff>
                    <xdr:row>0</xdr:row>
                    <xdr:rowOff>38100</xdr:rowOff>
                  </from>
                  <to>
                    <xdr:col>1</xdr:col>
                    <xdr:colOff>266700</xdr:colOff>
                    <xdr:row>0</xdr:row>
                    <xdr:rowOff>342900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Roční kalendář</vt:lpstr>
      <vt:lpstr>'Roční kalendář'!Oblast_tisku</vt:lpstr>
      <vt:lpstr>RokKalendáře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terms:created xsi:type="dcterms:W3CDTF">2017-11-29T09:38:15Z</dcterms:created>
  <dcterms:modified xsi:type="dcterms:W3CDTF">2019-06-12T06:17:48Z</dcterms:modified>
</cp:coreProperties>
</file>