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6000" windowHeight="6990"/>
  </bookViews>
  <sheets>
    <sheet name="busta paga" sheetId="1" r:id="rId1"/>
    <sheet name="ccnl" sheetId="2" r:id="rId2"/>
    <sheet name="irpef" sheetId="3" r:id="rId3"/>
    <sheet name="assegni" sheetId="4" r:id="rId4"/>
  </sheets>
  <definedNames>
    <definedName name="IRPEF">'busta paga'!$A$25:$C$30</definedName>
    <definedName name="_xlnm.Print_Area" localSheetId="3">assegni!$A$1:$I$63</definedName>
    <definedName name="_xlnm.Print_Area" localSheetId="0">'busta paga'!$A$1:$I$67</definedName>
    <definedName name="_xlnm.Print_Area" localSheetId="1">ccnl!$A$1:$M$68</definedName>
    <definedName name="_xlnm.Print_Area" localSheetId="2">irpef!$A$1:$K$60</definedName>
  </definedNames>
  <calcPr calcId="145621"/>
</workbook>
</file>

<file path=xl/calcChain.xml><?xml version="1.0" encoding="utf-8"?>
<calcChain xmlns="http://schemas.openxmlformats.org/spreadsheetml/2006/main">
  <c r="D5" i="4" l="1"/>
  <c r="D6" i="4"/>
  <c r="D7" i="4"/>
  <c r="D10" i="4"/>
  <c r="D11" i="4"/>
  <c r="D12" i="4"/>
  <c r="D15" i="4"/>
  <c r="D16" i="4"/>
  <c r="D17" i="4"/>
  <c r="D20" i="4"/>
  <c r="D21" i="4"/>
  <c r="D22" i="4"/>
  <c r="D23" i="4"/>
  <c r="D26" i="4"/>
  <c r="D27" i="4"/>
  <c r="D28" i="4"/>
  <c r="D29" i="4"/>
  <c r="G8" i="1"/>
  <c r="G10" i="1" s="1"/>
  <c r="F25" i="1"/>
  <c r="C26" i="1"/>
  <c r="C27" i="1" s="1"/>
  <c r="C28" i="1" s="1"/>
  <c r="C29" i="1" s="1"/>
  <c r="B39" i="1"/>
  <c r="G35" i="1" s="1"/>
  <c r="C46" i="1"/>
  <c r="F10" i="3"/>
  <c r="G10" i="3"/>
  <c r="F11" i="3"/>
  <c r="G11" i="3" s="1"/>
  <c r="F12" i="3"/>
  <c r="G12" i="3"/>
  <c r="F13" i="3"/>
  <c r="G13" i="3" s="1"/>
  <c r="E14" i="3"/>
  <c r="G20" i="3"/>
  <c r="G21" i="3"/>
  <c r="G22" i="3"/>
  <c r="G24" i="3"/>
  <c r="B33" i="3"/>
  <c r="C3" i="3" s="1"/>
  <c r="G3" i="3" s="1"/>
  <c r="C36" i="3"/>
  <c r="D36" i="3"/>
  <c r="E36" i="3"/>
  <c r="C37" i="3"/>
  <c r="D37" i="3"/>
  <c r="E37" i="3" s="1"/>
  <c r="C38" i="3"/>
  <c r="D38" i="3"/>
  <c r="E38" i="3" s="1"/>
  <c r="C39" i="3"/>
  <c r="D39" i="3"/>
  <c r="E39" i="3" s="1"/>
  <c r="C40" i="3"/>
  <c r="C5" i="3" l="1"/>
  <c r="G5" i="3" s="1"/>
  <c r="E21" i="3"/>
  <c r="F12" i="1"/>
  <c r="G14" i="3"/>
  <c r="G15" i="3"/>
  <c r="G16" i="3" s="1"/>
  <c r="C22" i="3"/>
  <c r="C4" i="3"/>
  <c r="G4" i="3" s="1"/>
  <c r="C20" i="3"/>
  <c r="E4" i="3"/>
  <c r="C21" i="3"/>
  <c r="D8" i="4"/>
  <c r="E8" i="4" s="1"/>
  <c r="G23" i="3"/>
  <c r="G26" i="3" s="1"/>
  <c r="D24" i="4"/>
  <c r="E24" i="4" s="1"/>
  <c r="D13" i="4"/>
  <c r="E13" i="4" s="1"/>
  <c r="G6" i="3"/>
  <c r="G7" i="3" s="1"/>
  <c r="D30" i="4"/>
  <c r="E30" i="4" s="1"/>
  <c r="D18" i="4"/>
  <c r="E18" i="4" s="1"/>
  <c r="F14" i="1" l="1"/>
  <c r="G14" i="1" s="1"/>
  <c r="G23" i="1" s="1"/>
  <c r="F16" i="1"/>
  <c r="G16" i="1" s="1"/>
  <c r="F15" i="1"/>
  <c r="G15" i="1" s="1"/>
  <c r="F17" i="1"/>
  <c r="G17" i="1" s="1"/>
  <c r="G28" i="3"/>
  <c r="G24" i="1" l="1"/>
  <c r="G26" i="1" l="1"/>
  <c r="G25" i="1"/>
  <c r="G29" i="1" s="1"/>
  <c r="G33" i="1" s="1"/>
  <c r="G34" i="1" l="1"/>
  <c r="G37" i="1" s="1"/>
  <c r="G41" i="1" s="1"/>
  <c r="G42" i="1" s="1"/>
  <c r="G47" i="1" s="1"/>
  <c r="G50" i="1" s="1"/>
  <c r="D33" i="3"/>
  <c r="F37" i="3" l="1"/>
  <c r="H37" i="3" s="1"/>
  <c r="F38" i="3"/>
  <c r="H38" i="3" s="1"/>
  <c r="E40" i="3"/>
  <c r="F36" i="3"/>
  <c r="H36" i="3" s="1"/>
  <c r="F40" i="3"/>
  <c r="H40" i="3" s="1"/>
  <c r="F39" i="3"/>
  <c r="H39" i="3" s="1"/>
  <c r="H41" i="3" l="1"/>
</calcChain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sz val="8"/>
            <color indexed="81"/>
            <rFont val="Tahoma"/>
          </rPr>
          <t>INSERISCI IL REDDITO COMPLESSIVO ANNUO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" authorId="0">
      <text>
        <r>
          <rPr>
            <sz val="8"/>
            <color indexed="81"/>
            <rFont val="Tahoma"/>
          </rPr>
          <t xml:space="preserve">
Inserisci il numero dei giorni lavorativi</t>
        </r>
      </text>
    </comment>
    <comment ref="G9" authorId="0">
      <text>
        <r>
          <rPr>
            <sz val="8"/>
            <color indexed="81"/>
            <rFont val="Tahoma"/>
          </rPr>
          <t xml:space="preserve">
INSERISCI LA PERCENTUALE DI CARICO</t>
        </r>
      </text>
    </comment>
    <comment ref="G18" authorId="0">
      <text>
        <r>
          <rPr>
            <sz val="8"/>
            <color indexed="81"/>
            <rFont val="Tahoma"/>
          </rPr>
          <t xml:space="preserve">
inserisci SI per indicare che il coniuge è a carico
</t>
        </r>
      </text>
    </comment>
    <comment ref="C24" authorId="0">
      <text>
        <r>
          <rPr>
            <b/>
            <sz val="8"/>
            <color indexed="81"/>
            <rFont val="Tahoma"/>
          </rPr>
          <t>INSERISCI LA PERCENTUALE DI CARICO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<sst xmlns="http://schemas.openxmlformats.org/spreadsheetml/2006/main" count="154" uniqueCount="133">
  <si>
    <t>Cod. fiscale</t>
  </si>
  <si>
    <t>Reddito familiare</t>
  </si>
  <si>
    <t>Reddito annuo</t>
  </si>
  <si>
    <t>Data assunz.</t>
  </si>
  <si>
    <t>Qualifica</t>
  </si>
  <si>
    <t>Livello</t>
  </si>
  <si>
    <t>Matricola</t>
  </si>
  <si>
    <t>MESE di</t>
  </si>
  <si>
    <t>Scaglioni</t>
  </si>
  <si>
    <t>Aliquota</t>
  </si>
  <si>
    <t>Imposta</t>
  </si>
  <si>
    <t>Minimo tabellare</t>
  </si>
  <si>
    <t>Contingenza</t>
  </si>
  <si>
    <t>Terzo elemento</t>
  </si>
  <si>
    <t>Scatti di anzianità n.</t>
  </si>
  <si>
    <t>Retribuzione di fatto</t>
  </si>
  <si>
    <t>Straordinario al 15%</t>
  </si>
  <si>
    <t>Straordinario al 20%</t>
  </si>
  <si>
    <t>Straordinario al 50%</t>
  </si>
  <si>
    <t>Festività non godute</t>
  </si>
  <si>
    <t>Ferie non godute</t>
  </si>
  <si>
    <t>Retribuzione lorda</t>
  </si>
  <si>
    <t>Imponibile previdenziale</t>
  </si>
  <si>
    <t>Totale</t>
  </si>
  <si>
    <t>Indennità di cassa</t>
  </si>
  <si>
    <t>Indennità malattia</t>
  </si>
  <si>
    <t>Imponibile fiscale</t>
  </si>
  <si>
    <t>Assegno nucleo familiare</t>
  </si>
  <si>
    <t>Anticipi</t>
  </si>
  <si>
    <t>Stipendio netto</t>
  </si>
  <si>
    <t>Arrotondamento precedente</t>
  </si>
  <si>
    <t>Arrotondamento attuale</t>
  </si>
  <si>
    <t>NETTO IN BUSTA</t>
  </si>
  <si>
    <t>GG. lavorati</t>
  </si>
  <si>
    <t>DITTA</t>
  </si>
  <si>
    <t>DIPENDENTE</t>
  </si>
  <si>
    <t>DATI DA C.C.N.L. DEL COMMERCIO E TERZIARIO</t>
  </si>
  <si>
    <t>Livelli</t>
  </si>
  <si>
    <t>minimo tabellare</t>
  </si>
  <si>
    <t>Indennità di contingenza</t>
  </si>
  <si>
    <t>Indennità di funzione</t>
  </si>
  <si>
    <t>Scatti di anzianità</t>
  </si>
  <si>
    <t>Divisore convenzionale di settore</t>
  </si>
  <si>
    <t>Giornate retribuite</t>
  </si>
  <si>
    <t>€</t>
  </si>
  <si>
    <t>ore</t>
  </si>
  <si>
    <t>gg</t>
  </si>
  <si>
    <t>Quadro</t>
  </si>
  <si>
    <t>mensili</t>
  </si>
  <si>
    <t>Figli di età inferiore ai 3 anni</t>
  </si>
  <si>
    <t>Figli di età superiore ai 3 anni</t>
  </si>
  <si>
    <t>N.</t>
  </si>
  <si>
    <t>Reddito mensile</t>
  </si>
  <si>
    <t>Scaglioni annui</t>
  </si>
  <si>
    <t>Scaglioni mensili</t>
  </si>
  <si>
    <t>importo</t>
  </si>
  <si>
    <t>imponibile</t>
  </si>
  <si>
    <t>aliquota</t>
  </si>
  <si>
    <t>IRPEF</t>
  </si>
  <si>
    <t>da €</t>
  </si>
  <si>
    <t>a €</t>
  </si>
  <si>
    <t>scaglione</t>
  </si>
  <si>
    <t>LORDA</t>
  </si>
  <si>
    <t>Sede</t>
  </si>
  <si>
    <t>Città</t>
  </si>
  <si>
    <t>P.I.</t>
  </si>
  <si>
    <t>Numero dipendenti</t>
  </si>
  <si>
    <t>Superminimo individuale</t>
  </si>
  <si>
    <t>Retribuzione oraria di fatto</t>
  </si>
  <si>
    <t>oltre</t>
  </si>
  <si>
    <t>CALCOLO DELLE DETRAZIONI DALL'IMPOSTA</t>
  </si>
  <si>
    <t>Figlio portatore di handicap inferiore 3 anni</t>
  </si>
  <si>
    <t>Figlio portatore di handicap sup 3 anni</t>
  </si>
  <si>
    <t>Tabella detrazioni teoriche per figli a carico al</t>
  </si>
  <si>
    <t>totale n. figli</t>
  </si>
  <si>
    <t>coefficiente di detrazione</t>
  </si>
  <si>
    <t>Fino a 15000</t>
  </si>
  <si>
    <t>da 15001 a 40000</t>
  </si>
  <si>
    <t>da 40001 a 80000</t>
  </si>
  <si>
    <t xml:space="preserve">Reddito complessivo </t>
  </si>
  <si>
    <t xml:space="preserve">Detrazioni per coniuge e altre persone a carico </t>
  </si>
  <si>
    <t>Coniuge</t>
  </si>
  <si>
    <t>Altre persone</t>
  </si>
  <si>
    <t xml:space="preserve">Totale detrazioni effettive per figli </t>
  </si>
  <si>
    <t>Fino a 8000</t>
  </si>
  <si>
    <t>da 8001 a 15000</t>
  </si>
  <si>
    <t>da 15001 a 55000</t>
  </si>
  <si>
    <t xml:space="preserve">Totale detrazione coniuge </t>
  </si>
  <si>
    <t>Totale detrazione su base annuale</t>
  </si>
  <si>
    <t xml:space="preserve">Detrazioni spettanti art. 13 T.U.I.R  per lavoro dipendente                                           </t>
  </si>
  <si>
    <t>Giorni lavorati</t>
  </si>
  <si>
    <t>Totale detrazioni carichi di famiglia + lavoro dipendente</t>
  </si>
  <si>
    <t>Imposta netta</t>
  </si>
  <si>
    <t>CALCOLO DELL'IRE (ART. 11 TUIR)</t>
  </si>
  <si>
    <t>Totale detrazioni teoriche</t>
  </si>
  <si>
    <t>Tot. detrazione per giorni lavorativi</t>
  </si>
  <si>
    <t>Tot detrazione periodo lav carichi di famiglia (coniuge - figli - altre persone)</t>
  </si>
  <si>
    <t>Assegni per nucleo familiare con entrambi i genitori o un solo genitore e nessun componente disabile</t>
  </si>
  <si>
    <t>N. componenti (oltre i genitori/e)</t>
  </si>
  <si>
    <t>Importo assegno</t>
  </si>
  <si>
    <t>Reddito fino a     € 12.500</t>
  </si>
  <si>
    <t>Reddito oltre     € 12.500</t>
  </si>
  <si>
    <t>Fascia di reddito</t>
  </si>
  <si>
    <t>da 12500 a 24000</t>
  </si>
  <si>
    <t>da 24001a 40000</t>
  </si>
  <si>
    <t>oltre 40000</t>
  </si>
  <si>
    <t>da 29001a 40000</t>
  </si>
  <si>
    <t>da 12500 a 34700</t>
  </si>
  <si>
    <t>da 34701a 40000</t>
  </si>
  <si>
    <t>da 12500 a 21300</t>
  </si>
  <si>
    <t>da 21301 a 36100</t>
  </si>
  <si>
    <t>da 36101 a 45000</t>
  </si>
  <si>
    <t>oltre 45000</t>
  </si>
  <si>
    <t>da 12500 a 29000</t>
  </si>
  <si>
    <t>oltre 5</t>
  </si>
  <si>
    <t>L'importo dell'assegno è quello previsto per 5 componenti</t>
  </si>
  <si>
    <t>diminuzioni</t>
  </si>
  <si>
    <t>ma va maggiorato del 15% più € 650 per ogni componente oltre il quinto</t>
  </si>
  <si>
    <t>Straordinario al 25%</t>
  </si>
  <si>
    <t>Fondo Pensioni</t>
  </si>
  <si>
    <t>Cassa integr. Straord.</t>
  </si>
  <si>
    <t>Premio di produzione</t>
  </si>
  <si>
    <t>E.D.R.</t>
  </si>
  <si>
    <t>Irpef Lorda</t>
  </si>
  <si>
    <t>detraz coniuge</t>
  </si>
  <si>
    <t>detraz figli</t>
  </si>
  <si>
    <t>detraz lav dip</t>
  </si>
  <si>
    <t>detr ag lav dip</t>
  </si>
  <si>
    <t>TOTALE</t>
  </si>
  <si>
    <t>Totale detraz d'imposta</t>
  </si>
  <si>
    <t>Rata addiz. Reg. IRPEF</t>
  </si>
  <si>
    <t>Rata addiz. Comunale Irpef</t>
  </si>
  <si>
    <t>Totale Ritenute fiscali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</si>
</sst>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_-* #,##0.0000_-;\-* #,##0.0000_-;_-* &quot;-&quot;??_-;_-@_-"/>
    <numFmt numFmtId="168" formatCode="_-* #,##0.0000_-;\-* #,##0.0000_-;_-* &quot;-&quot;????_-;_-@_-"/>
    <numFmt numFmtId="169" formatCode="_-* #,##0.00000_-;\-* #,##0.00000_-;_-* &quot;-&quot;_-;_-@_-"/>
    <numFmt numFmtId="170" formatCode="#,##0.00_ ;\-#,##0.00\ "/>
    <numFmt numFmtId="171" formatCode="_-* #,##0.00000_-;\-* #,##0.0000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164" fontId="0" fillId="0" borderId="1" xfId="2" applyFont="1" applyBorder="1"/>
    <xf numFmtId="164" fontId="0" fillId="0" borderId="2" xfId="2" applyFont="1" applyBorder="1"/>
    <xf numFmtId="164" fontId="0" fillId="0" borderId="3" xfId="2" applyFont="1" applyBorder="1"/>
    <xf numFmtId="164" fontId="2" fillId="0" borderId="2" xfId="2" applyFont="1" applyBorder="1"/>
    <xf numFmtId="164" fontId="0" fillId="0" borderId="4" xfId="2" applyFont="1" applyBorder="1"/>
    <xf numFmtId="164" fontId="0" fillId="0" borderId="5" xfId="2" applyFont="1" applyBorder="1"/>
    <xf numFmtId="164" fontId="0" fillId="0" borderId="0" xfId="2" applyFont="1" applyBorder="1"/>
    <xf numFmtId="164" fontId="0" fillId="0" borderId="6" xfId="2" applyFont="1" applyBorder="1"/>
    <xf numFmtId="164" fontId="0" fillId="0" borderId="7" xfId="2" applyFont="1" applyBorder="1"/>
    <xf numFmtId="164" fontId="0" fillId="0" borderId="8" xfId="2" applyFont="1" applyBorder="1"/>
    <xf numFmtId="164" fontId="0" fillId="0" borderId="9" xfId="2" applyFont="1" applyBorder="1"/>
    <xf numFmtId="164" fontId="2" fillId="0" borderId="10" xfId="2" applyFont="1" applyBorder="1"/>
    <xf numFmtId="164" fontId="2" fillId="0" borderId="8" xfId="2" applyFont="1" applyBorder="1"/>
    <xf numFmtId="164" fontId="0" fillId="0" borderId="10" xfId="2" applyFont="1" applyBorder="1"/>
    <xf numFmtId="164" fontId="0" fillId="0" borderId="11" xfId="2" applyFont="1" applyBorder="1"/>
    <xf numFmtId="164" fontId="2" fillId="0" borderId="0" xfId="2" applyFont="1" applyBorder="1"/>
    <xf numFmtId="9" fontId="0" fillId="0" borderId="0" xfId="3" applyFont="1" applyBorder="1"/>
    <xf numFmtId="9" fontId="0" fillId="0" borderId="6" xfId="3" applyFont="1" applyBorder="1"/>
    <xf numFmtId="10" fontId="0" fillId="0" borderId="11" xfId="3" applyNumberFormat="1" applyFont="1" applyBorder="1"/>
    <xf numFmtId="14" fontId="0" fillId="0" borderId="4" xfId="2" applyNumberFormat="1" applyFont="1" applyBorder="1"/>
    <xf numFmtId="17" fontId="0" fillId="0" borderId="4" xfId="2" applyNumberFormat="1" applyFont="1" applyBorder="1"/>
    <xf numFmtId="166" fontId="0" fillId="0" borderId="3" xfId="2" applyNumberFormat="1" applyFont="1" applyBorder="1"/>
    <xf numFmtId="166" fontId="0" fillId="0" borderId="7" xfId="2" applyNumberFormat="1" applyFont="1" applyBorder="1"/>
    <xf numFmtId="164" fontId="0" fillId="0" borderId="0" xfId="2" applyFont="1" applyBorder="1" applyAlignment="1">
      <alignment horizontal="center"/>
    </xf>
    <xf numFmtId="49" fontId="0" fillId="0" borderId="6" xfId="2" applyNumberFormat="1" applyFont="1" applyBorder="1" applyAlignment="1">
      <alignment horizontal="center"/>
    </xf>
    <xf numFmtId="166" fontId="0" fillId="0" borderId="1" xfId="2" applyNumberFormat="1" applyFont="1" applyBorder="1"/>
    <xf numFmtId="166" fontId="0" fillId="0" borderId="9" xfId="2" applyNumberFormat="1" applyFont="1" applyBorder="1"/>
    <xf numFmtId="166" fontId="0" fillId="0" borderId="5" xfId="2" applyNumberFormat="1" applyFont="1" applyBorder="1"/>
    <xf numFmtId="164" fontId="0" fillId="2" borderId="0" xfId="2" applyFont="1" applyFill="1" applyBorder="1"/>
    <xf numFmtId="164" fontId="0" fillId="2" borderId="3" xfId="2" applyFont="1" applyFill="1" applyBorder="1"/>
    <xf numFmtId="164" fontId="0" fillId="2" borderId="6" xfId="2" applyFont="1" applyFill="1" applyBorder="1"/>
    <xf numFmtId="164" fontId="0" fillId="2" borderId="7" xfId="2" applyFont="1" applyFill="1" applyBorder="1"/>
    <xf numFmtId="164" fontId="0" fillId="2" borderId="4" xfId="2" applyFont="1" applyFill="1" applyBorder="1"/>
    <xf numFmtId="164" fontId="0" fillId="2" borderId="5" xfId="2" applyFont="1" applyFill="1" applyBorder="1"/>
    <xf numFmtId="164" fontId="2" fillId="2" borderId="0" xfId="2" applyFont="1" applyFill="1" applyBorder="1"/>
    <xf numFmtId="164" fontId="2" fillId="2" borderId="3" xfId="2" applyFont="1" applyFill="1" applyBorder="1"/>
    <xf numFmtId="164" fontId="0" fillId="0" borderId="3" xfId="2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4" fontId="0" fillId="0" borderId="0" xfId="0" applyNumberFormat="1"/>
    <xf numFmtId="0" fontId="0" fillId="0" borderId="0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9" xfId="0" applyBorder="1"/>
    <xf numFmtId="165" fontId="0" fillId="0" borderId="1" xfId="1" applyFont="1" applyBorder="1"/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/>
    <xf numFmtId="9" fontId="0" fillId="0" borderId="11" xfId="0" applyNumberFormat="1" applyBorder="1"/>
    <xf numFmtId="9" fontId="0" fillId="0" borderId="1" xfId="0" applyNumberFormat="1" applyBorder="1"/>
    <xf numFmtId="165" fontId="0" fillId="0" borderId="13" xfId="1" applyFont="1" applyBorder="1" applyAlignment="1">
      <alignment wrapText="1"/>
    </xf>
    <xf numFmtId="165" fontId="4" fillId="0" borderId="11" xfId="1" applyNumberFormat="1" applyFont="1" applyBorder="1"/>
    <xf numFmtId="164" fontId="5" fillId="0" borderId="0" xfId="2" applyFont="1" applyBorder="1"/>
    <xf numFmtId="9" fontId="2" fillId="0" borderId="12" xfId="0" applyNumberFormat="1" applyFont="1" applyBorder="1" applyAlignment="1">
      <alignment horizontal="center"/>
    </xf>
    <xf numFmtId="17" fontId="0" fillId="0" borderId="5" xfId="2" applyNumberFormat="1" applyFont="1" applyBorder="1"/>
    <xf numFmtId="165" fontId="4" fillId="0" borderId="1" xfId="1" applyNumberFormat="1" applyFont="1" applyBorder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65" fontId="4" fillId="0" borderId="10" xfId="1" applyNumberFormat="1" applyFont="1" applyBorder="1"/>
    <xf numFmtId="165" fontId="0" fillId="0" borderId="5" xfId="1" applyFont="1" applyBorder="1"/>
    <xf numFmtId="165" fontId="4" fillId="0" borderId="5" xfId="1" applyNumberFormat="1" applyFont="1" applyBorder="1"/>
    <xf numFmtId="165" fontId="4" fillId="0" borderId="3" xfId="1" applyNumberFormat="1" applyFont="1" applyBorder="1"/>
    <xf numFmtId="165" fontId="4" fillId="0" borderId="2" xfId="1" applyNumberFormat="1" applyFont="1" applyBorder="1"/>
    <xf numFmtId="165" fontId="0" fillId="0" borderId="0" xfId="1" applyFont="1" applyBorder="1"/>
    <xf numFmtId="0" fontId="2" fillId="0" borderId="15" xfId="0" applyFont="1" applyBorder="1" applyAlignment="1">
      <alignment horizontal="center" wrapText="1"/>
    </xf>
    <xf numFmtId="165" fontId="0" fillId="0" borderId="6" xfId="1" applyFont="1" applyBorder="1"/>
    <xf numFmtId="2" fontId="0" fillId="0" borderId="1" xfId="0" applyNumberFormat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6" xfId="0" applyBorder="1" applyAlignment="1">
      <alignment horizontal="right"/>
    </xf>
    <xf numFmtId="2" fontId="0" fillId="0" borderId="3" xfId="0" applyNumberFormat="1" applyBorder="1"/>
    <xf numFmtId="2" fontId="0" fillId="0" borderId="7" xfId="0" applyNumberFormat="1" applyFill="1" applyBorder="1"/>
    <xf numFmtId="2" fontId="0" fillId="0" borderId="0" xfId="0" applyNumberFormat="1" applyFill="1" applyBorder="1"/>
    <xf numFmtId="0" fontId="0" fillId="0" borderId="3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7" fontId="5" fillId="0" borderId="0" xfId="1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" xfId="0" applyFill="1" applyBorder="1"/>
    <xf numFmtId="2" fontId="0" fillId="0" borderId="3" xfId="0" applyNumberFormat="1" applyFill="1" applyBorder="1"/>
    <xf numFmtId="0" fontId="2" fillId="0" borderId="8" xfId="0" applyFont="1" applyFill="1" applyBorder="1"/>
    <xf numFmtId="0" fontId="2" fillId="0" borderId="14" xfId="0" applyFont="1" applyFill="1" applyBorder="1"/>
    <xf numFmtId="0" fontId="0" fillId="0" borderId="15" xfId="0" applyBorder="1"/>
    <xf numFmtId="0" fontId="0" fillId="0" borderId="15" xfId="0" applyBorder="1" applyAlignment="1">
      <alignment horizontal="right"/>
    </xf>
    <xf numFmtId="165" fontId="0" fillId="0" borderId="15" xfId="1" applyFont="1" applyBorder="1"/>
    <xf numFmtId="2" fontId="0" fillId="0" borderId="12" xfId="0" applyNumberFormat="1" applyFill="1" applyBorder="1"/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12" xfId="0" applyFont="1" applyBorder="1" applyAlignment="1">
      <alignment horizontal="center"/>
    </xf>
    <xf numFmtId="2" fontId="3" fillId="0" borderId="3" xfId="0" applyNumberFormat="1" applyFont="1" applyFill="1" applyBorder="1"/>
    <xf numFmtId="165" fontId="4" fillId="0" borderId="7" xfId="1" applyNumberFormat="1" applyFont="1" applyBorder="1"/>
    <xf numFmtId="9" fontId="0" fillId="0" borderId="3" xfId="0" applyNumberFormat="1" applyBorder="1"/>
    <xf numFmtId="165" fontId="0" fillId="0" borderId="9" xfId="1" applyFont="1" applyBorder="1"/>
    <xf numFmtId="9" fontId="0" fillId="0" borderId="9" xfId="0" applyNumberFormat="1" applyFill="1" applyBorder="1"/>
    <xf numFmtId="165" fontId="4" fillId="0" borderId="7" xfId="1" applyNumberFormat="1" applyFont="1" applyFill="1" applyBorder="1"/>
    <xf numFmtId="166" fontId="0" fillId="0" borderId="0" xfId="2" applyNumberFormat="1" applyFont="1" applyBorder="1"/>
    <xf numFmtId="10" fontId="0" fillId="0" borderId="1" xfId="3" applyNumberFormat="1" applyFont="1" applyBorder="1"/>
    <xf numFmtId="165" fontId="0" fillId="0" borderId="1" xfId="1" applyFont="1" applyBorder="1" applyAlignment="1">
      <alignment horizontal="right"/>
    </xf>
    <xf numFmtId="170" fontId="0" fillId="0" borderId="1" xfId="1" applyNumberFormat="1" applyFont="1" applyBorder="1" applyAlignment="1">
      <alignment horizontal="right"/>
    </xf>
    <xf numFmtId="2" fontId="0" fillId="0" borderId="1" xfId="1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3" xfId="0" applyFont="1" applyBorder="1"/>
    <xf numFmtId="0" fontId="2" fillId="0" borderId="15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/>
    <xf numFmtId="9" fontId="0" fillId="0" borderId="6" xfId="0" applyNumberFormat="1" applyBorder="1"/>
    <xf numFmtId="0" fontId="0" fillId="0" borderId="6" xfId="0" applyBorder="1" applyAlignment="1"/>
    <xf numFmtId="2" fontId="0" fillId="0" borderId="7" xfId="0" applyNumberFormat="1" applyBorder="1"/>
    <xf numFmtId="165" fontId="0" fillId="0" borderId="1" xfId="1" applyFont="1" applyBorder="1" applyAlignment="1">
      <alignment horizontal="center" wrapText="1"/>
    </xf>
    <xf numFmtId="165" fontId="4" fillId="0" borderId="9" xfId="1" applyNumberFormat="1" applyFont="1" applyFill="1" applyBorder="1"/>
    <xf numFmtId="165" fontId="0" fillId="0" borderId="13" xfId="1" applyNumberFormat="1" applyFont="1" applyBorder="1"/>
    <xf numFmtId="164" fontId="3" fillId="0" borderId="2" xfId="2" applyFont="1" applyBorder="1"/>
    <xf numFmtId="164" fontId="3" fillId="0" borderId="10" xfId="2" applyFont="1" applyBorder="1"/>
    <xf numFmtId="169" fontId="0" fillId="0" borderId="13" xfId="2" applyNumberFormat="1" applyFont="1" applyBorder="1"/>
    <xf numFmtId="171" fontId="0" fillId="0" borderId="13" xfId="1" applyNumberFormat="1" applyFont="1" applyBorder="1"/>
    <xf numFmtId="164" fontId="5" fillId="0" borderId="13" xfId="2" applyFont="1" applyBorder="1"/>
    <xf numFmtId="164" fontId="3" fillId="0" borderId="2" xfId="2" applyFont="1" applyFill="1" applyBorder="1"/>
    <xf numFmtId="164" fontId="3" fillId="0" borderId="8" xfId="2" applyFont="1" applyBorder="1"/>
    <xf numFmtId="164" fontId="2" fillId="2" borderId="16" xfId="2" applyFont="1" applyFill="1" applyBorder="1"/>
    <xf numFmtId="164" fontId="0" fillId="2" borderId="17" xfId="2" applyFont="1" applyFill="1" applyBorder="1"/>
    <xf numFmtId="164" fontId="0" fillId="2" borderId="18" xfId="2" applyFont="1" applyFill="1" applyBorder="1"/>
    <xf numFmtId="164" fontId="0" fillId="0" borderId="19" xfId="2" applyFont="1" applyBorder="1"/>
    <xf numFmtId="164" fontId="0" fillId="0" borderId="18" xfId="2" applyFont="1" applyBorder="1"/>
    <xf numFmtId="166" fontId="0" fillId="0" borderId="20" xfId="2" applyNumberFormat="1" applyFont="1" applyBorder="1"/>
    <xf numFmtId="166" fontId="0" fillId="0" borderId="21" xfId="2" applyNumberFormat="1" applyFont="1" applyBorder="1"/>
    <xf numFmtId="164" fontId="2" fillId="2" borderId="22" xfId="2" applyFont="1" applyFill="1" applyBorder="1"/>
    <xf numFmtId="166" fontId="0" fillId="0" borderId="23" xfId="2" applyNumberFormat="1" applyFont="1" applyBorder="1"/>
    <xf numFmtId="164" fontId="0" fillId="2" borderId="22" xfId="2" applyFont="1" applyFill="1" applyBorder="1"/>
    <xf numFmtId="164" fontId="0" fillId="2" borderId="24" xfId="2" applyFont="1" applyFill="1" applyBorder="1"/>
    <xf numFmtId="164" fontId="2" fillId="2" borderId="25" xfId="2" applyFont="1" applyFill="1" applyBorder="1"/>
    <xf numFmtId="164" fontId="0" fillId="0" borderId="25" xfId="2" applyFont="1" applyBorder="1"/>
    <xf numFmtId="164" fontId="0" fillId="0" borderId="22" xfId="2" applyFont="1" applyBorder="1"/>
    <xf numFmtId="164" fontId="5" fillId="0" borderId="24" xfId="2" applyFont="1" applyBorder="1"/>
    <xf numFmtId="166" fontId="0" fillId="0" borderId="26" xfId="2" applyNumberFormat="1" applyFont="1" applyBorder="1"/>
    <xf numFmtId="164" fontId="0" fillId="0" borderId="24" xfId="2" applyFont="1" applyBorder="1"/>
    <xf numFmtId="166" fontId="2" fillId="2" borderId="23" xfId="2" applyNumberFormat="1" applyFont="1" applyFill="1" applyBorder="1"/>
    <xf numFmtId="164" fontId="0" fillId="0" borderId="22" xfId="2" applyFont="1" applyBorder="1" applyAlignment="1">
      <alignment horizontal="center"/>
    </xf>
    <xf numFmtId="166" fontId="0" fillId="0" borderId="22" xfId="2" applyNumberFormat="1" applyFont="1" applyBorder="1" applyAlignment="1">
      <alignment horizontal="right"/>
    </xf>
    <xf numFmtId="166" fontId="0" fillId="0" borderId="22" xfId="2" applyNumberFormat="1" applyFont="1" applyBorder="1"/>
    <xf numFmtId="166" fontId="0" fillId="0" borderId="27" xfId="2" applyNumberFormat="1" applyFont="1" applyBorder="1"/>
    <xf numFmtId="166" fontId="3" fillId="0" borderId="27" xfId="2" applyNumberFormat="1" applyFont="1" applyBorder="1"/>
    <xf numFmtId="166" fontId="0" fillId="0" borderId="28" xfId="2" applyNumberFormat="1" applyFont="1" applyBorder="1"/>
    <xf numFmtId="166" fontId="0" fillId="0" borderId="24" xfId="2" applyNumberFormat="1" applyFont="1" applyBorder="1"/>
    <xf numFmtId="166" fontId="0" fillId="0" borderId="29" xfId="2" applyNumberFormat="1" applyFont="1" applyBorder="1"/>
    <xf numFmtId="164" fontId="2" fillId="0" borderId="25" xfId="2" applyFont="1" applyBorder="1"/>
    <xf numFmtId="166" fontId="3" fillId="0" borderId="23" xfId="2" applyNumberFormat="1" applyFont="1" applyBorder="1"/>
    <xf numFmtId="0" fontId="0" fillId="0" borderId="22" xfId="0" applyBorder="1"/>
    <xf numFmtId="164" fontId="5" fillId="0" borderId="22" xfId="2" applyFont="1" applyBorder="1"/>
    <xf numFmtId="170" fontId="0" fillId="0" borderId="23" xfId="1" applyNumberFormat="1" applyFont="1" applyBorder="1"/>
    <xf numFmtId="164" fontId="5" fillId="0" borderId="22" xfId="2" applyFont="1" applyBorder="1" applyAlignment="1"/>
    <xf numFmtId="164" fontId="2" fillId="0" borderId="22" xfId="2" applyFont="1" applyBorder="1"/>
    <xf numFmtId="164" fontId="0" fillId="0" borderId="30" xfId="2" applyFont="1" applyBorder="1"/>
    <xf numFmtId="164" fontId="0" fillId="0" borderId="31" xfId="2" applyFont="1" applyBorder="1"/>
    <xf numFmtId="164" fontId="0" fillId="0" borderId="32" xfId="2" applyFont="1" applyBorder="1"/>
    <xf numFmtId="164" fontId="2" fillId="2" borderId="2" xfId="2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left" vertical="center"/>
    </xf>
    <xf numFmtId="164" fontId="2" fillId="2" borderId="3" xfId="2" applyFont="1" applyFill="1" applyBorder="1" applyAlignment="1">
      <alignment horizontal="left" vertical="center"/>
    </xf>
    <xf numFmtId="164" fontId="2" fillId="2" borderId="33" xfId="2" applyFont="1" applyFill="1" applyBorder="1" applyAlignment="1">
      <alignment horizontal="left" vertical="center"/>
    </xf>
    <xf numFmtId="164" fontId="2" fillId="2" borderId="31" xfId="2" applyFont="1" applyFill="1" applyBorder="1" applyAlignment="1">
      <alignment horizontal="left" vertical="center"/>
    </xf>
    <xf numFmtId="164" fontId="2" fillId="2" borderId="32" xfId="2" applyFont="1" applyFill="1" applyBorder="1" applyAlignment="1">
      <alignment horizontal="left" vertical="center"/>
    </xf>
    <xf numFmtId="166" fontId="2" fillId="2" borderId="23" xfId="2" applyNumberFormat="1" applyFont="1" applyFill="1" applyBorder="1" applyAlignment="1">
      <alignment horizontal="center" vertical="center"/>
    </xf>
    <xf numFmtId="166" fontId="2" fillId="2" borderId="34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65" fontId="2" fillId="0" borderId="8" xfId="1" applyFont="1" applyBorder="1" applyAlignment="1">
      <alignment horizontal="left"/>
    </xf>
    <xf numFmtId="165" fontId="2" fillId="0" borderId="6" xfId="1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Alignment="1">
      <alignment horizontal="left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G15" sqref="G15"/>
    </sheetView>
  </sheetViews>
  <sheetFormatPr defaultRowHeight="12.75" x14ac:dyDescent="0.2"/>
  <cols>
    <col min="1" max="1" width="12.7109375" customWidth="1"/>
    <col min="2" max="2" width="10.5703125" customWidth="1"/>
    <col min="3" max="3" width="12.7109375" customWidth="1"/>
    <col min="4" max="4" width="27.140625" customWidth="1"/>
    <col min="5" max="5" width="4.140625" customWidth="1"/>
    <col min="6" max="7" width="12.7109375" customWidth="1"/>
    <col min="8" max="8" width="10.28515625" bestFit="1" customWidth="1"/>
    <col min="9" max="9" width="18.42578125" customWidth="1"/>
  </cols>
  <sheetData>
    <row r="1" spans="1:10" x14ac:dyDescent="0.2">
      <c r="A1" s="146" t="s">
        <v>34</v>
      </c>
      <c r="B1" s="147"/>
      <c r="C1" s="148"/>
      <c r="D1" s="149"/>
      <c r="E1" s="150"/>
      <c r="F1" s="151"/>
      <c r="G1" s="152"/>
    </row>
    <row r="2" spans="1:10" x14ac:dyDescent="0.2">
      <c r="A2" s="153"/>
      <c r="B2" s="35"/>
      <c r="C2" s="36"/>
      <c r="D2" s="2" t="s">
        <v>11</v>
      </c>
      <c r="E2" s="3"/>
      <c r="F2" s="26"/>
      <c r="G2" s="154"/>
    </row>
    <row r="3" spans="1:10" x14ac:dyDescent="0.2">
      <c r="A3" s="155" t="s">
        <v>63</v>
      </c>
      <c r="B3" s="29"/>
      <c r="C3" s="30"/>
      <c r="D3" s="2" t="s">
        <v>12</v>
      </c>
      <c r="E3" s="3"/>
      <c r="F3" s="26"/>
      <c r="G3" s="154"/>
      <c r="H3" s="76"/>
    </row>
    <row r="4" spans="1:10" x14ac:dyDescent="0.2">
      <c r="A4" s="155"/>
      <c r="B4" s="29"/>
      <c r="C4" s="30"/>
      <c r="D4" s="139" t="s">
        <v>121</v>
      </c>
      <c r="E4" s="3"/>
      <c r="F4" s="26"/>
      <c r="G4" s="154"/>
      <c r="H4" s="76"/>
    </row>
    <row r="5" spans="1:10" x14ac:dyDescent="0.2">
      <c r="A5" s="155" t="s">
        <v>64</v>
      </c>
      <c r="B5" s="29"/>
      <c r="C5" s="30"/>
      <c r="D5" s="2" t="s">
        <v>13</v>
      </c>
      <c r="E5" s="3"/>
      <c r="F5" s="26"/>
      <c r="G5" s="154"/>
      <c r="H5" s="77"/>
    </row>
    <row r="6" spans="1:10" x14ac:dyDescent="0.2">
      <c r="A6" s="155"/>
      <c r="B6" s="29"/>
      <c r="C6" s="30"/>
      <c r="D6" s="139" t="s">
        <v>122</v>
      </c>
      <c r="E6" s="3"/>
      <c r="F6" s="26"/>
      <c r="G6" s="154"/>
      <c r="H6" s="77"/>
    </row>
    <row r="7" spans="1:10" x14ac:dyDescent="0.2">
      <c r="A7" s="156" t="s">
        <v>65</v>
      </c>
      <c r="B7" s="31"/>
      <c r="C7" s="32"/>
      <c r="D7" s="2" t="s">
        <v>67</v>
      </c>
      <c r="E7" s="3"/>
      <c r="F7" s="26"/>
      <c r="G7" s="154"/>
      <c r="H7" s="77"/>
    </row>
    <row r="8" spans="1:10" x14ac:dyDescent="0.2">
      <c r="A8" s="157" t="s">
        <v>35</v>
      </c>
      <c r="B8" s="33"/>
      <c r="C8" s="34"/>
      <c r="D8" s="2" t="s">
        <v>14</v>
      </c>
      <c r="E8" s="3"/>
      <c r="F8" s="26"/>
      <c r="G8" s="154">
        <f>E8*F8</f>
        <v>0</v>
      </c>
      <c r="H8" s="77"/>
    </row>
    <row r="9" spans="1:10" x14ac:dyDescent="0.2">
      <c r="A9" s="153"/>
      <c r="B9" s="35"/>
      <c r="C9" s="36"/>
      <c r="D9" s="2"/>
      <c r="E9" s="3"/>
      <c r="F9" s="26"/>
      <c r="G9" s="154"/>
    </row>
    <row r="10" spans="1:10" x14ac:dyDescent="0.2">
      <c r="A10" s="155"/>
      <c r="B10" s="29"/>
      <c r="C10" s="30"/>
      <c r="D10" s="4" t="s">
        <v>15</v>
      </c>
      <c r="E10" s="3"/>
      <c r="F10" s="26"/>
      <c r="G10" s="154">
        <f>SUM(G2:G8)</f>
        <v>0</v>
      </c>
    </row>
    <row r="11" spans="1:10" x14ac:dyDescent="0.2">
      <c r="A11" s="155"/>
      <c r="B11" s="29"/>
      <c r="C11" s="30"/>
      <c r="D11" s="2"/>
      <c r="E11" s="3"/>
      <c r="F11" s="26"/>
      <c r="G11" s="154"/>
    </row>
    <row r="12" spans="1:10" x14ac:dyDescent="0.2">
      <c r="A12" s="155"/>
      <c r="B12" s="29"/>
      <c r="C12" s="30"/>
      <c r="D12" s="4" t="s">
        <v>68</v>
      </c>
      <c r="E12" s="3"/>
      <c r="F12" s="141">
        <f>G10/173</f>
        <v>0</v>
      </c>
      <c r="G12" s="154"/>
    </row>
    <row r="13" spans="1:10" x14ac:dyDescent="0.2">
      <c r="A13" s="158" t="s">
        <v>0</v>
      </c>
      <c r="B13" s="5"/>
      <c r="C13" s="6"/>
      <c r="D13" s="4"/>
      <c r="E13" s="3"/>
      <c r="F13" s="142"/>
      <c r="G13" s="154"/>
    </row>
    <row r="14" spans="1:10" x14ac:dyDescent="0.2">
      <c r="A14" s="159" t="s">
        <v>1</v>
      </c>
      <c r="B14" s="7"/>
      <c r="C14" s="22"/>
      <c r="D14" s="7" t="s">
        <v>16</v>
      </c>
      <c r="E14" s="3"/>
      <c r="F14" s="141">
        <f>F12*1.15</f>
        <v>0</v>
      </c>
      <c r="G14" s="154">
        <f>ROUND(E14*F14,2)</f>
        <v>0</v>
      </c>
      <c r="I14" s="75"/>
      <c r="J14" s="75"/>
    </row>
    <row r="15" spans="1:10" x14ac:dyDescent="0.2">
      <c r="A15" s="160" t="s">
        <v>79</v>
      </c>
      <c r="B15" s="8"/>
      <c r="C15" s="138"/>
      <c r="D15" s="2" t="s">
        <v>17</v>
      </c>
      <c r="E15" s="3"/>
      <c r="F15" s="141">
        <f>F12*1.2</f>
        <v>0</v>
      </c>
      <c r="G15" s="154">
        <f>ROUND(E15*F15,2)</f>
        <v>0</v>
      </c>
    </row>
    <row r="16" spans="1:10" x14ac:dyDescent="0.2">
      <c r="A16" s="158" t="s">
        <v>3</v>
      </c>
      <c r="B16" s="20"/>
      <c r="C16" s="6"/>
      <c r="D16" s="139" t="s">
        <v>118</v>
      </c>
      <c r="E16" s="3"/>
      <c r="F16" s="141">
        <f>F12*1.25</f>
        <v>0</v>
      </c>
      <c r="G16" s="154">
        <f>ROUND(E16*F16,2)</f>
        <v>0</v>
      </c>
      <c r="I16" s="38"/>
    </row>
    <row r="17" spans="1:7" x14ac:dyDescent="0.2">
      <c r="A17" s="159" t="s">
        <v>4</v>
      </c>
      <c r="B17" s="7"/>
      <c r="C17" s="3"/>
      <c r="D17" s="2" t="s">
        <v>18</v>
      </c>
      <c r="E17" s="3"/>
      <c r="F17" s="141">
        <f>F12*1.5</f>
        <v>0</v>
      </c>
      <c r="G17" s="154">
        <f>ROUND(E17*F17,2)</f>
        <v>0</v>
      </c>
    </row>
    <row r="18" spans="1:7" x14ac:dyDescent="0.2">
      <c r="A18" s="159" t="s">
        <v>5</v>
      </c>
      <c r="B18" s="24"/>
      <c r="C18" s="3"/>
      <c r="D18" s="2"/>
      <c r="E18" s="3"/>
      <c r="F18" s="26"/>
      <c r="G18" s="161"/>
    </row>
    <row r="19" spans="1:7" x14ac:dyDescent="0.2">
      <c r="A19" s="162" t="s">
        <v>6</v>
      </c>
      <c r="B19" s="25"/>
      <c r="C19" s="9"/>
      <c r="D19" s="2"/>
      <c r="E19" s="3"/>
      <c r="F19" s="26"/>
      <c r="G19" s="161"/>
    </row>
    <row r="20" spans="1:7" x14ac:dyDescent="0.2">
      <c r="A20" s="158" t="s">
        <v>7</v>
      </c>
      <c r="B20" s="21"/>
      <c r="C20" s="73"/>
      <c r="D20" s="2" t="s">
        <v>19</v>
      </c>
      <c r="E20" s="3"/>
      <c r="F20" s="26"/>
      <c r="G20" s="154"/>
    </row>
    <row r="21" spans="1:7" x14ac:dyDescent="0.2">
      <c r="A21" s="159" t="s">
        <v>33</v>
      </c>
      <c r="B21" s="7"/>
      <c r="C21" s="3"/>
      <c r="D21" s="2" t="s">
        <v>20</v>
      </c>
      <c r="E21" s="3"/>
      <c r="F21" s="26"/>
      <c r="G21" s="154"/>
    </row>
    <row r="22" spans="1:7" x14ac:dyDescent="0.2">
      <c r="A22" s="162"/>
      <c r="B22" s="8"/>
      <c r="C22" s="9"/>
      <c r="D22" s="10"/>
      <c r="E22" s="9"/>
      <c r="F22" s="27"/>
      <c r="G22" s="161"/>
    </row>
    <row r="23" spans="1:7" x14ac:dyDescent="0.2">
      <c r="A23" s="158"/>
      <c r="B23" s="5"/>
      <c r="C23" s="6"/>
      <c r="D23" s="12" t="s">
        <v>21</v>
      </c>
      <c r="E23" s="6"/>
      <c r="F23" s="28"/>
      <c r="G23" s="163">
        <f>SUM(G10,G14:G17)</f>
        <v>0</v>
      </c>
    </row>
    <row r="24" spans="1:7" x14ac:dyDescent="0.2">
      <c r="A24" s="164" t="s">
        <v>8</v>
      </c>
      <c r="B24" s="24" t="s">
        <v>9</v>
      </c>
      <c r="C24" s="37" t="s">
        <v>10</v>
      </c>
      <c r="D24" s="13" t="s">
        <v>22</v>
      </c>
      <c r="E24" s="9"/>
      <c r="F24" s="23"/>
      <c r="G24" s="163">
        <f>ROUND(G23,0)</f>
        <v>0</v>
      </c>
    </row>
    <row r="25" spans="1:7" x14ac:dyDescent="0.2">
      <c r="A25" s="165">
        <v>0</v>
      </c>
      <c r="B25" s="17">
        <v>0.23</v>
      </c>
      <c r="C25" s="3">
        <v>0</v>
      </c>
      <c r="D25" s="140" t="s">
        <v>119</v>
      </c>
      <c r="E25" s="5"/>
      <c r="F25" s="19">
        <f>IF(A56&lt;=15,9.19%,9.19%)</f>
        <v>9.1899999999999996E-2</v>
      </c>
      <c r="G25" s="154">
        <f>ROUND(G24*F25,2)</f>
        <v>0</v>
      </c>
    </row>
    <row r="26" spans="1:7" x14ac:dyDescent="0.2">
      <c r="A26" s="166">
        <v>1250</v>
      </c>
      <c r="B26" s="17">
        <v>0.27</v>
      </c>
      <c r="C26" s="118">
        <f>ROUND(A26*B25,2)</f>
        <v>287.5</v>
      </c>
      <c r="D26" s="139" t="s">
        <v>120</v>
      </c>
      <c r="E26" s="7"/>
      <c r="F26" s="119">
        <v>3.0000000000000001E-3</v>
      </c>
      <c r="G26" s="167">
        <f>G24*F26</f>
        <v>0</v>
      </c>
    </row>
    <row r="27" spans="1:7" x14ac:dyDescent="0.2">
      <c r="A27" s="166">
        <v>2333.33</v>
      </c>
      <c r="B27" s="17">
        <v>0.38</v>
      </c>
      <c r="C27" s="22">
        <f>ROUND((A27-A26)*B26+C26,2)</f>
        <v>580</v>
      </c>
      <c r="D27" s="4"/>
      <c r="E27" s="7"/>
      <c r="F27" s="1"/>
      <c r="G27" s="168"/>
    </row>
    <row r="28" spans="1:7" x14ac:dyDescent="0.2">
      <c r="A28" s="166">
        <v>4583.33</v>
      </c>
      <c r="B28" s="17">
        <v>0.41</v>
      </c>
      <c r="C28" s="22">
        <f>ROUND((A28-A27)*B27+C27,2)</f>
        <v>1435</v>
      </c>
      <c r="D28" s="2"/>
      <c r="E28" s="7"/>
      <c r="F28" s="1"/>
      <c r="G28" s="167"/>
    </row>
    <row r="29" spans="1:7" x14ac:dyDescent="0.2">
      <c r="A29" s="166">
        <v>6250</v>
      </c>
      <c r="B29" s="17">
        <v>0.43</v>
      </c>
      <c r="C29" s="22">
        <f>ROUND((A29-A28)*B28+C28,2)</f>
        <v>2118.33</v>
      </c>
      <c r="D29" s="10"/>
      <c r="E29" s="7"/>
      <c r="F29" s="11"/>
      <c r="G29" s="161">
        <f>SUM(G25:G28)</f>
        <v>0</v>
      </c>
    </row>
    <row r="30" spans="1:7" x14ac:dyDescent="0.2">
      <c r="A30" s="166"/>
      <c r="B30" s="17"/>
      <c r="C30" s="22"/>
      <c r="D30" s="14" t="s">
        <v>24</v>
      </c>
      <c r="E30" s="5"/>
      <c r="F30" s="15"/>
      <c r="G30" s="169"/>
    </row>
    <row r="31" spans="1:7" x14ac:dyDescent="0.2">
      <c r="A31" s="166"/>
      <c r="B31" s="17"/>
      <c r="C31" s="3"/>
      <c r="D31" s="2" t="s">
        <v>25</v>
      </c>
      <c r="E31" s="7"/>
      <c r="F31" s="1"/>
      <c r="G31" s="161"/>
    </row>
    <row r="32" spans="1:7" x14ac:dyDescent="0.2">
      <c r="A32" s="170"/>
      <c r="B32" s="18"/>
      <c r="C32" s="9"/>
      <c r="D32" s="10"/>
      <c r="E32" s="8"/>
      <c r="F32" s="11"/>
      <c r="G32" s="171"/>
    </row>
    <row r="33" spans="1:9" x14ac:dyDescent="0.2">
      <c r="A33" s="172"/>
      <c r="B33" s="5"/>
      <c r="C33" s="5"/>
      <c r="D33" s="12" t="s">
        <v>26</v>
      </c>
      <c r="E33" s="5"/>
      <c r="F33" s="6"/>
      <c r="G33" s="173">
        <f>G23-G29</f>
        <v>0</v>
      </c>
    </row>
    <row r="34" spans="1:9" x14ac:dyDescent="0.2">
      <c r="A34" s="174"/>
      <c r="B34" s="71"/>
      <c r="C34" s="7"/>
      <c r="D34" s="139" t="s">
        <v>123</v>
      </c>
      <c r="E34" s="7"/>
      <c r="F34" s="3"/>
      <c r="G34" s="154">
        <f>(G33-(VLOOKUP(G33,IRPEF,1)))*(VLOOKUP(G33,IRPEF,2))+(VLOOKUP(G33,IRPEF,3))</f>
        <v>0</v>
      </c>
      <c r="H34" s="38"/>
    </row>
    <row r="35" spans="1:9" x14ac:dyDescent="0.2">
      <c r="A35" s="143" t="s">
        <v>124</v>
      </c>
      <c r="B35" s="66"/>
      <c r="C35" s="7"/>
      <c r="D35" s="139" t="s">
        <v>129</v>
      </c>
      <c r="E35" s="7"/>
      <c r="F35" s="3"/>
      <c r="G35" s="154">
        <f>B39</f>
        <v>0</v>
      </c>
      <c r="H35" s="38"/>
      <c r="I35" s="71"/>
    </row>
    <row r="36" spans="1:9" x14ac:dyDescent="0.2">
      <c r="A36" s="143" t="s">
        <v>125</v>
      </c>
      <c r="B36" s="66"/>
      <c r="C36" s="7"/>
      <c r="D36" s="139"/>
      <c r="E36" s="7"/>
      <c r="F36" s="3"/>
      <c r="G36" s="154"/>
      <c r="H36" s="38"/>
      <c r="I36" s="71"/>
    </row>
    <row r="37" spans="1:9" x14ac:dyDescent="0.2">
      <c r="A37" s="143" t="s">
        <v>126</v>
      </c>
      <c r="B37" s="66"/>
      <c r="C37" s="7"/>
      <c r="D37" s="2" t="s">
        <v>92</v>
      </c>
      <c r="E37" s="7"/>
      <c r="F37" s="3"/>
      <c r="G37" s="154">
        <f>G34-G35</f>
        <v>0</v>
      </c>
      <c r="H37" s="38"/>
      <c r="I37" s="71"/>
    </row>
    <row r="38" spans="1:9" x14ac:dyDescent="0.2">
      <c r="A38" s="143" t="s">
        <v>127</v>
      </c>
      <c r="B38" s="66"/>
      <c r="C38" s="7"/>
      <c r="D38" s="139"/>
      <c r="E38" s="7"/>
      <c r="F38" s="3"/>
      <c r="G38" s="154"/>
      <c r="H38" s="38"/>
      <c r="I38" s="71"/>
    </row>
    <row r="39" spans="1:9" x14ac:dyDescent="0.2">
      <c r="A39" s="143" t="s">
        <v>128</v>
      </c>
      <c r="B39" s="66">
        <f>SUM(B35:B38)</f>
        <v>0</v>
      </c>
      <c r="C39" s="7"/>
      <c r="D39" s="144" t="s">
        <v>130</v>
      </c>
      <c r="E39" s="7"/>
      <c r="F39" s="3"/>
      <c r="G39" s="154"/>
      <c r="H39" s="38"/>
      <c r="I39" s="71"/>
    </row>
    <row r="40" spans="1:9" x14ac:dyDescent="0.2">
      <c r="A40" s="175"/>
      <c r="B40" s="71"/>
      <c r="C40" s="118"/>
      <c r="D40" s="144" t="s">
        <v>131</v>
      </c>
      <c r="E40" s="7"/>
      <c r="F40" s="3"/>
      <c r="G40" s="176"/>
      <c r="I40" s="48"/>
    </row>
    <row r="41" spans="1:9" x14ac:dyDescent="0.2">
      <c r="A41" s="175"/>
      <c r="B41" s="71"/>
      <c r="C41" s="118"/>
      <c r="D41" s="145" t="s">
        <v>132</v>
      </c>
      <c r="E41" s="8"/>
      <c r="F41" s="9"/>
      <c r="G41" s="154">
        <f>SUM(G37:G40)</f>
        <v>0</v>
      </c>
    </row>
    <row r="42" spans="1:9" x14ac:dyDescent="0.2">
      <c r="A42" s="175"/>
      <c r="B42" s="71"/>
      <c r="C42" s="22"/>
      <c r="D42" s="16" t="s">
        <v>29</v>
      </c>
      <c r="E42" s="7"/>
      <c r="F42" s="7"/>
      <c r="G42" s="173">
        <f>G33-G41</f>
        <v>0</v>
      </c>
    </row>
    <row r="43" spans="1:9" x14ac:dyDescent="0.2">
      <c r="A43" s="177"/>
      <c r="B43" s="51"/>
      <c r="C43" s="52"/>
      <c r="D43" s="7" t="s">
        <v>27</v>
      </c>
      <c r="E43" s="7"/>
      <c r="F43" s="7"/>
      <c r="G43" s="154"/>
    </row>
    <row r="44" spans="1:9" x14ac:dyDescent="0.2">
      <c r="A44" s="175"/>
      <c r="B44" s="71"/>
      <c r="C44" s="22"/>
      <c r="D44" s="7"/>
      <c r="E44" s="7"/>
      <c r="F44" s="7"/>
      <c r="G44" s="154"/>
    </row>
    <row r="45" spans="1:9" x14ac:dyDescent="0.2">
      <c r="A45" s="159"/>
      <c r="B45" s="7"/>
      <c r="C45" s="22"/>
      <c r="D45" s="7" t="s">
        <v>28</v>
      </c>
      <c r="E45" s="7"/>
      <c r="F45" s="7"/>
      <c r="G45" s="154"/>
    </row>
    <row r="46" spans="1:9" x14ac:dyDescent="0.2">
      <c r="A46" s="178"/>
      <c r="B46" s="7"/>
      <c r="C46" s="22">
        <f>SUM(C40:C44)</f>
        <v>0</v>
      </c>
      <c r="D46" s="7"/>
      <c r="E46" s="7"/>
      <c r="F46" s="7"/>
      <c r="G46" s="154"/>
    </row>
    <row r="47" spans="1:9" x14ac:dyDescent="0.2">
      <c r="A47" s="159"/>
      <c r="B47" s="7"/>
      <c r="C47" s="3"/>
      <c r="D47" s="16" t="s">
        <v>23</v>
      </c>
      <c r="E47" s="7"/>
      <c r="F47" s="7"/>
      <c r="G47" s="173">
        <f>G42+G43-G45</f>
        <v>0</v>
      </c>
    </row>
    <row r="48" spans="1:9" x14ac:dyDescent="0.2">
      <c r="A48" s="159"/>
      <c r="B48" s="7"/>
      <c r="C48" s="3"/>
      <c r="D48" s="7" t="s">
        <v>30</v>
      </c>
      <c r="E48" s="7"/>
      <c r="F48" s="7"/>
      <c r="G48" s="154"/>
    </row>
    <row r="49" spans="1:7" x14ac:dyDescent="0.2">
      <c r="A49" s="159"/>
      <c r="B49" s="7"/>
      <c r="C49" s="3"/>
      <c r="D49" s="7" t="s">
        <v>31</v>
      </c>
      <c r="E49" s="7"/>
      <c r="F49" s="7"/>
      <c r="G49" s="154"/>
    </row>
    <row r="50" spans="1:7" x14ac:dyDescent="0.2">
      <c r="A50" s="159"/>
      <c r="B50" s="7"/>
      <c r="C50" s="3"/>
      <c r="D50" s="182" t="s">
        <v>32</v>
      </c>
      <c r="E50" s="183"/>
      <c r="F50" s="184"/>
      <c r="G50" s="188">
        <f>G47+G48+G49</f>
        <v>0</v>
      </c>
    </row>
    <row r="51" spans="1:7" ht="20.100000000000001" customHeight="1" thickBot="1" x14ac:dyDescent="0.25">
      <c r="A51" s="179"/>
      <c r="B51" s="180"/>
      <c r="C51" s="181"/>
      <c r="D51" s="185"/>
      <c r="E51" s="186"/>
      <c r="F51" s="187"/>
      <c r="G51" s="189"/>
    </row>
    <row r="54" spans="1:7" x14ac:dyDescent="0.2">
      <c r="A54" s="38"/>
    </row>
    <row r="55" spans="1:7" x14ac:dyDescent="0.2">
      <c r="A55" t="s">
        <v>66</v>
      </c>
    </row>
  </sheetData>
  <mergeCells count="2">
    <mergeCell ref="D50:F51"/>
    <mergeCell ref="G50:G51"/>
  </mergeCells>
  <phoneticPr fontId="0" type="noConversion"/>
  <printOptions horizontalCentered="1"/>
  <pageMargins left="0.78740157480314965" right="0.78740157480314965" top="1.5748031496062993" bottom="0.98425196850393704" header="0.94488188976377963" footer="0.51181102362204722"/>
  <pageSetup paperSize="9" scale="71" orientation="portrait" r:id="rId1"/>
  <headerFooter alignWithMargins="0">
    <oddHeader>&amp;C&amp;"Comic Sans MS,Normale"&amp;16RETRIBUZIONE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7" sqref="E7"/>
    </sheetView>
  </sheetViews>
  <sheetFormatPr defaultRowHeight="12.75" x14ac:dyDescent="0.2"/>
  <cols>
    <col min="4" max="4" width="4.7109375" customWidth="1"/>
  </cols>
  <sheetData>
    <row r="1" spans="1:12" x14ac:dyDescent="0.2">
      <c r="A1" s="190" t="s">
        <v>36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x14ac:dyDescent="0.2">
      <c r="A2" s="40" t="s">
        <v>37</v>
      </c>
      <c r="E2" s="39" t="s">
        <v>47</v>
      </c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>
        <v>6</v>
      </c>
      <c r="L2" s="39">
        <v>7</v>
      </c>
    </row>
    <row r="3" spans="1:12" x14ac:dyDescent="0.2">
      <c r="A3" s="41" t="s">
        <v>38</v>
      </c>
      <c r="B3" s="42"/>
      <c r="C3" s="42"/>
      <c r="D3" s="42" t="s">
        <v>44</v>
      </c>
      <c r="E3" s="42">
        <v>1339.34</v>
      </c>
      <c r="F3" s="42">
        <v>1206.49</v>
      </c>
      <c r="G3" s="42">
        <v>1043.5999999999999</v>
      </c>
      <c r="H3" s="42">
        <v>892</v>
      </c>
      <c r="I3" s="42">
        <v>771.46</v>
      </c>
      <c r="J3" s="42">
        <v>696.98</v>
      </c>
      <c r="K3" s="42">
        <v>625.75</v>
      </c>
      <c r="L3" s="43">
        <v>535.73</v>
      </c>
    </row>
    <row r="4" spans="1:12" x14ac:dyDescent="0.2">
      <c r="A4" s="47" t="s">
        <v>39</v>
      </c>
      <c r="B4" s="48"/>
      <c r="C4" s="48"/>
      <c r="D4" s="48" t="s">
        <v>44</v>
      </c>
      <c r="E4" s="48">
        <v>540.37</v>
      </c>
      <c r="F4" s="48">
        <v>537.52</v>
      </c>
      <c r="G4" s="48">
        <v>532.54</v>
      </c>
      <c r="H4" s="48">
        <v>527.9</v>
      </c>
      <c r="I4" s="48">
        <v>524.22</v>
      </c>
      <c r="J4" s="48">
        <v>521.94000000000005</v>
      </c>
      <c r="K4" s="48">
        <v>519.76</v>
      </c>
      <c r="L4" s="49">
        <v>517.41</v>
      </c>
    </row>
    <row r="5" spans="1:12" x14ac:dyDescent="0.2">
      <c r="A5" s="47" t="s">
        <v>13</v>
      </c>
      <c r="B5" s="48"/>
      <c r="C5" s="48"/>
      <c r="D5" s="48" t="s">
        <v>44</v>
      </c>
      <c r="E5" s="48">
        <v>2.0699999999999998</v>
      </c>
      <c r="F5" s="48">
        <v>2.0699999999999998</v>
      </c>
      <c r="G5" s="48">
        <v>2.0699999999999998</v>
      </c>
      <c r="H5" s="48">
        <v>2.0699999999999998</v>
      </c>
      <c r="I5" s="48">
        <v>2.0699999999999998</v>
      </c>
      <c r="J5" s="48">
        <v>2.0699999999999998</v>
      </c>
      <c r="K5" s="48">
        <v>2.0699999999999998</v>
      </c>
      <c r="L5" s="49">
        <v>2.0699999999999998</v>
      </c>
    </row>
    <row r="6" spans="1:12" x14ac:dyDescent="0.2">
      <c r="A6" s="47" t="s">
        <v>40</v>
      </c>
      <c r="B6" s="48"/>
      <c r="C6" s="48"/>
      <c r="D6" s="48" t="s">
        <v>44</v>
      </c>
      <c r="E6" s="48">
        <v>150</v>
      </c>
      <c r="F6" s="48"/>
      <c r="G6" s="48"/>
      <c r="H6" s="48"/>
      <c r="I6" s="48"/>
      <c r="J6" s="48"/>
      <c r="K6" s="48"/>
      <c r="L6" s="49"/>
    </row>
    <row r="7" spans="1:12" x14ac:dyDescent="0.2">
      <c r="A7" s="44" t="s">
        <v>41</v>
      </c>
      <c r="B7" s="45"/>
      <c r="C7" s="45"/>
      <c r="D7" s="45" t="s">
        <v>44</v>
      </c>
      <c r="E7" s="45">
        <v>25.46</v>
      </c>
      <c r="F7" s="45">
        <v>24.84</v>
      </c>
      <c r="G7" s="45">
        <v>22.83</v>
      </c>
      <c r="H7" s="45">
        <v>21.95</v>
      </c>
      <c r="I7" s="45">
        <v>20.66</v>
      </c>
      <c r="J7" s="45">
        <v>20.3</v>
      </c>
      <c r="K7" s="45">
        <v>19.73</v>
      </c>
      <c r="L7" s="46">
        <v>19.47</v>
      </c>
    </row>
    <row r="8" spans="1:12" x14ac:dyDescent="0.2">
      <c r="A8" s="41" t="s">
        <v>42</v>
      </c>
      <c r="B8" s="42"/>
      <c r="C8" s="42"/>
      <c r="D8" s="42" t="s">
        <v>45</v>
      </c>
      <c r="E8" s="42">
        <v>168</v>
      </c>
      <c r="F8" s="42" t="s">
        <v>48</v>
      </c>
      <c r="G8" s="42"/>
      <c r="H8" s="42"/>
      <c r="I8" s="42"/>
      <c r="J8" s="42"/>
      <c r="K8" s="42"/>
      <c r="L8" s="43"/>
    </row>
    <row r="9" spans="1:12" x14ac:dyDescent="0.2">
      <c r="A9" s="44" t="s">
        <v>43</v>
      </c>
      <c r="B9" s="45"/>
      <c r="C9" s="45"/>
      <c r="D9" s="45" t="s">
        <v>46</v>
      </c>
      <c r="E9" s="45">
        <v>26</v>
      </c>
      <c r="F9" s="45" t="s">
        <v>48</v>
      </c>
      <c r="G9" s="45"/>
      <c r="H9" s="45"/>
      <c r="I9" s="45"/>
      <c r="J9" s="45"/>
      <c r="K9" s="45"/>
      <c r="L9" s="46"/>
    </row>
  </sheetData>
  <mergeCells count="1">
    <mergeCell ref="A1:L1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opLeftCell="A25" workbookViewId="0">
      <selection activeCell="B33" sqref="B33"/>
    </sheetView>
  </sheetViews>
  <sheetFormatPr defaultRowHeight="12.75" x14ac:dyDescent="0.2"/>
  <cols>
    <col min="1" max="1" width="10.7109375" customWidth="1"/>
    <col min="2" max="2" width="11.7109375" customWidth="1"/>
    <col min="3" max="3" width="13.7109375" customWidth="1"/>
    <col min="4" max="4" width="12.7109375" customWidth="1"/>
    <col min="5" max="8" width="10.7109375" customWidth="1"/>
  </cols>
  <sheetData>
    <row r="1" spans="1:8" ht="39" customHeight="1" x14ac:dyDescent="0.2">
      <c r="A1" s="199" t="s">
        <v>70</v>
      </c>
      <c r="B1" s="199"/>
      <c r="C1" s="199"/>
      <c r="D1" s="199"/>
      <c r="E1" s="199"/>
      <c r="F1" s="199"/>
      <c r="G1" s="199"/>
      <c r="H1" s="199"/>
    </row>
    <row r="2" spans="1:8" ht="26.25" customHeight="1" x14ac:dyDescent="0.2">
      <c r="A2" s="205" t="s">
        <v>89</v>
      </c>
      <c r="B2" s="206"/>
      <c r="C2" s="206"/>
      <c r="D2" s="206"/>
      <c r="E2" s="206"/>
      <c r="F2" s="84" t="s">
        <v>90</v>
      </c>
      <c r="G2" s="111"/>
    </row>
    <row r="3" spans="1:8" x14ac:dyDescent="0.2">
      <c r="A3" s="101" t="s">
        <v>84</v>
      </c>
      <c r="B3" s="48"/>
      <c r="C3" s="48">
        <f>IF(B33&lt;8001,B33,0)</f>
        <v>0</v>
      </c>
      <c r="D3" s="87"/>
      <c r="E3" s="48"/>
      <c r="F3" s="83"/>
      <c r="G3" s="112">
        <f>IF(C3=0,0,1840)</f>
        <v>0</v>
      </c>
    </row>
    <row r="4" spans="1:8" x14ac:dyDescent="0.2">
      <c r="A4" s="101" t="s">
        <v>85</v>
      </c>
      <c r="B4" s="48"/>
      <c r="C4" s="48">
        <f>IF(B33&gt;8000,IF(B33&lt;15001,B33,0),0)</f>
        <v>0</v>
      </c>
      <c r="D4" s="87"/>
      <c r="E4" s="48">
        <f>IF(B33&gt;28000,0,IF(B33&gt;27700,40,IF(B33&gt;26000,30,IF(B33&gt;25000,20,IF(B33&gt;24000,20,IF(B33&gt;23000,10,0))))))</f>
        <v>0</v>
      </c>
      <c r="F4" s="83"/>
      <c r="G4" s="102">
        <f>IF(C4=0,0,1388+(502*(15000-B33)/7000)+E4)</f>
        <v>0</v>
      </c>
    </row>
    <row r="5" spans="1:8" x14ac:dyDescent="0.2">
      <c r="A5" s="101" t="s">
        <v>86</v>
      </c>
      <c r="B5" s="48"/>
      <c r="C5" s="48">
        <f>IF(B33&gt;15000,IF(B33&lt;55001,B33,0),0)</f>
        <v>0</v>
      </c>
      <c r="D5" s="87"/>
      <c r="E5" s="48"/>
      <c r="F5" s="83"/>
      <c r="G5" s="102">
        <f>IF(C5=0,0,1388+(502*(55000-B33)/40000))</f>
        <v>0</v>
      </c>
    </row>
    <row r="6" spans="1:8" ht="12.75" customHeight="1" x14ac:dyDescent="0.2">
      <c r="A6" s="110" t="s">
        <v>88</v>
      </c>
      <c r="B6" s="48"/>
      <c r="C6" s="48"/>
      <c r="D6" s="87"/>
      <c r="E6" s="48"/>
      <c r="F6" s="83"/>
      <c r="G6" s="102">
        <f>SUM(G3:G5)</f>
        <v>0</v>
      </c>
    </row>
    <row r="7" spans="1:8" x14ac:dyDescent="0.2">
      <c r="A7" s="203" t="s">
        <v>95</v>
      </c>
      <c r="B7" s="204"/>
      <c r="C7" s="204"/>
      <c r="D7" s="134"/>
      <c r="E7" s="134"/>
      <c r="F7" s="45"/>
      <c r="G7" s="135">
        <f>G6/365*G2</f>
        <v>0</v>
      </c>
    </row>
    <row r="8" spans="1:8" x14ac:dyDescent="0.2">
      <c r="A8" s="50"/>
      <c r="B8" s="50"/>
      <c r="C8" s="50"/>
      <c r="D8" s="50"/>
      <c r="E8" s="50"/>
    </row>
    <row r="9" spans="1:8" x14ac:dyDescent="0.2">
      <c r="A9" s="197" t="s">
        <v>73</v>
      </c>
      <c r="B9" s="198"/>
      <c r="C9" s="198"/>
      <c r="D9" s="198"/>
      <c r="E9" s="198"/>
      <c r="F9" s="198"/>
      <c r="G9" s="72"/>
    </row>
    <row r="10" spans="1:8" x14ac:dyDescent="0.2">
      <c r="A10" s="47" t="s">
        <v>49</v>
      </c>
      <c r="B10" s="48"/>
      <c r="C10" s="48"/>
      <c r="D10" s="53" t="s">
        <v>51</v>
      </c>
      <c r="E10" s="55"/>
      <c r="F10" s="121">
        <f>IF(E10&gt;3,1100,900)</f>
        <v>900</v>
      </c>
      <c r="G10" s="86">
        <f>ROUND(E10*F10*$G$9,2)</f>
        <v>0</v>
      </c>
    </row>
    <row r="11" spans="1:8" x14ac:dyDescent="0.2">
      <c r="A11" s="47" t="s">
        <v>50</v>
      </c>
      <c r="B11" s="48"/>
      <c r="C11" s="48"/>
      <c r="D11" s="53" t="s">
        <v>51</v>
      </c>
      <c r="E11" s="49"/>
      <c r="F11" s="122">
        <f>IF(E11&gt;3,1000,800)</f>
        <v>800</v>
      </c>
      <c r="G11" s="86">
        <f>ROUND(E11*F11*$G$9,2)</f>
        <v>0</v>
      </c>
    </row>
    <row r="12" spans="1:8" x14ac:dyDescent="0.2">
      <c r="A12" s="47" t="s">
        <v>71</v>
      </c>
      <c r="B12" s="48"/>
      <c r="C12" s="48"/>
      <c r="D12" s="53" t="s">
        <v>51</v>
      </c>
      <c r="E12" s="55"/>
      <c r="F12" s="86">
        <f>IF(E12&gt;3,1320,1120)</f>
        <v>1120</v>
      </c>
      <c r="G12" s="90">
        <f>ROUND(E12*F12*$G$9,2)</f>
        <v>0</v>
      </c>
    </row>
    <row r="13" spans="1:8" x14ac:dyDescent="0.2">
      <c r="A13" s="47" t="s">
        <v>72</v>
      </c>
      <c r="B13" s="48"/>
      <c r="C13" s="48"/>
      <c r="D13" s="53" t="s">
        <v>51</v>
      </c>
      <c r="E13" s="55"/>
      <c r="F13" s="120">
        <f>IF(E13&gt;3,1220,1020)</f>
        <v>1020</v>
      </c>
      <c r="G13" s="90">
        <f>ROUND(E13*F13*$G$9,2)</f>
        <v>0</v>
      </c>
      <c r="H13" s="75"/>
    </row>
    <row r="14" spans="1:8" ht="43.5" customHeight="1" x14ac:dyDescent="0.2">
      <c r="A14" s="200" t="s">
        <v>74</v>
      </c>
      <c r="B14" s="201"/>
      <c r="C14" s="201"/>
      <c r="D14" s="202"/>
      <c r="E14" s="55">
        <f>SUM(E10:E13)</f>
        <v>0</v>
      </c>
      <c r="F14" s="136" t="s">
        <v>94</v>
      </c>
      <c r="G14" s="90">
        <f>SUM(G10:G13)</f>
        <v>0</v>
      </c>
    </row>
    <row r="15" spans="1:8" x14ac:dyDescent="0.2">
      <c r="A15" s="101" t="s">
        <v>75</v>
      </c>
      <c r="B15" s="48"/>
      <c r="C15" s="48"/>
      <c r="D15" s="87"/>
      <c r="E15" s="48"/>
      <c r="F15" s="83"/>
      <c r="G15" s="90">
        <f>IF(E14=1,((95000-B33)/95000),(((95000+(15000*(E14-1))-B33)/((95000+(15000*(E14-1)))))))</f>
        <v>1</v>
      </c>
    </row>
    <row r="16" spans="1:8" x14ac:dyDescent="0.2">
      <c r="A16" s="103" t="s">
        <v>83</v>
      </c>
      <c r="B16" s="45"/>
      <c r="C16" s="45"/>
      <c r="D16" s="89"/>
      <c r="E16" s="45"/>
      <c r="F16" s="85"/>
      <c r="G16" s="91">
        <f>ROUND(G15*G14,2)</f>
        <v>0</v>
      </c>
    </row>
    <row r="17" spans="1:8" x14ac:dyDescent="0.2">
      <c r="A17" s="88"/>
      <c r="B17" s="48"/>
      <c r="C17" s="48"/>
      <c r="D17" s="87"/>
      <c r="E17" s="48"/>
      <c r="F17" s="83"/>
      <c r="G17" s="92"/>
    </row>
    <row r="18" spans="1:8" x14ac:dyDescent="0.2">
      <c r="A18" s="208" t="s">
        <v>80</v>
      </c>
      <c r="B18" s="209"/>
      <c r="C18" s="209"/>
      <c r="D18" s="209"/>
      <c r="E18" s="209"/>
      <c r="F18" s="209"/>
      <c r="G18" s="109"/>
    </row>
    <row r="19" spans="1:8" x14ac:dyDescent="0.2">
      <c r="A19" s="99" t="s">
        <v>81</v>
      </c>
      <c r="B19" s="94"/>
      <c r="C19" s="94"/>
      <c r="D19" s="94"/>
      <c r="E19" s="94"/>
      <c r="F19" s="94"/>
      <c r="G19" s="100"/>
    </row>
    <row r="20" spans="1:8" x14ac:dyDescent="0.2">
      <c r="A20" s="101" t="s">
        <v>76</v>
      </c>
      <c r="B20" s="48"/>
      <c r="C20" s="48">
        <f>IF(B33&lt;15001,B33,0)</f>
        <v>0</v>
      </c>
      <c r="D20" s="87"/>
      <c r="E20" s="48"/>
      <c r="F20" s="83"/>
      <c r="G20" s="102">
        <f>ROUND(IF(G18="SI",IF(C20=0,0,(800-(110*B33/15000))),0),0)</f>
        <v>0</v>
      </c>
    </row>
    <row r="21" spans="1:8" x14ac:dyDescent="0.2">
      <c r="A21" s="101" t="s">
        <v>77</v>
      </c>
      <c r="B21" s="48"/>
      <c r="C21" s="48">
        <f>IF(B33&gt;15000,IF(B33&lt;40001,B33,0),0)</f>
        <v>0</v>
      </c>
      <c r="D21" s="87"/>
      <c r="E21" s="48">
        <f>IF(B33&gt;35200,0,IF(B33&gt;35100,10,IF(B33&gt;35000,20,IF(B33&gt;34700,30,IF(B33&gt;29200,20,IF(B33&gt;29000,10,0))))))</f>
        <v>0</v>
      </c>
      <c r="F21" s="83"/>
      <c r="G21" s="102">
        <f>ROUND(IF(G18="SI",IF(C21=0,0,690+E21),0),0)</f>
        <v>0</v>
      </c>
    </row>
    <row r="22" spans="1:8" x14ac:dyDescent="0.2">
      <c r="A22" s="101" t="s">
        <v>78</v>
      </c>
      <c r="B22" s="48"/>
      <c r="C22" s="48">
        <f>IF(B33&gt;40000,IF(B33&lt;80001,B33,0),0)</f>
        <v>0</v>
      </c>
      <c r="D22" s="87"/>
      <c r="E22" s="48"/>
      <c r="F22" s="83"/>
      <c r="G22" s="102">
        <f>ROUND(IF(G18="SI",IF(C22=0,0,690*(80000-B33)/40000),0),2)</f>
        <v>0</v>
      </c>
    </row>
    <row r="23" spans="1:8" x14ac:dyDescent="0.2">
      <c r="A23" s="110" t="s">
        <v>87</v>
      </c>
      <c r="B23" s="48"/>
      <c r="C23" s="48"/>
      <c r="D23" s="87"/>
      <c r="E23" s="48"/>
      <c r="F23" s="83"/>
      <c r="G23" s="102">
        <f>SUM(G20:G22)</f>
        <v>0</v>
      </c>
    </row>
    <row r="24" spans="1:8" x14ac:dyDescent="0.2">
      <c r="A24" s="103" t="s">
        <v>82</v>
      </c>
      <c r="B24" s="45"/>
      <c r="C24" s="133"/>
      <c r="D24" s="89" t="s">
        <v>51</v>
      </c>
      <c r="E24" s="45"/>
      <c r="F24" s="85"/>
      <c r="G24" s="91">
        <f>(IF(E24=0,0,750*(80000-B33)/80000)*C24)</f>
        <v>0</v>
      </c>
    </row>
    <row r="25" spans="1:8" x14ac:dyDescent="0.2">
      <c r="A25" s="95"/>
      <c r="B25" s="48"/>
      <c r="C25" s="48"/>
      <c r="D25" s="87"/>
      <c r="E25" s="48"/>
      <c r="F25" s="83"/>
      <c r="G25" s="92"/>
    </row>
    <row r="26" spans="1:8" x14ac:dyDescent="0.2">
      <c r="A26" s="104" t="s">
        <v>96</v>
      </c>
      <c r="B26" s="105"/>
      <c r="C26" s="105"/>
      <c r="D26" s="106"/>
      <c r="E26" s="105"/>
      <c r="F26" s="107"/>
      <c r="G26" s="108">
        <f>ROUND((G24+G23+G16)/365*G2,2)</f>
        <v>0</v>
      </c>
    </row>
    <row r="28" spans="1:8" ht="12.75" customHeight="1" x14ac:dyDescent="0.2">
      <c r="A28" s="207" t="s">
        <v>91</v>
      </c>
      <c r="B28" s="207"/>
      <c r="C28" s="207"/>
      <c r="D28" s="207"/>
      <c r="E28" s="207"/>
      <c r="F28" s="207"/>
      <c r="G28" s="75">
        <f>ROUND(G26+G7,2)</f>
        <v>0</v>
      </c>
    </row>
    <row r="29" spans="1:8" x14ac:dyDescent="0.2">
      <c r="A29" s="96"/>
      <c r="B29" s="97"/>
      <c r="C29" s="97"/>
      <c r="D29" s="97"/>
    </row>
    <row r="30" spans="1:8" x14ac:dyDescent="0.2">
      <c r="A30" s="98"/>
      <c r="B30" s="48"/>
      <c r="C30" s="48"/>
      <c r="D30" s="83"/>
    </row>
    <row r="32" spans="1:8" x14ac:dyDescent="0.2">
      <c r="A32" s="194" t="s">
        <v>93</v>
      </c>
      <c r="B32" s="195"/>
      <c r="C32" s="195"/>
      <c r="D32" s="195"/>
      <c r="E32" s="195"/>
      <c r="F32" s="195"/>
      <c r="G32" s="195"/>
      <c r="H32" s="196"/>
    </row>
    <row r="33" spans="1:11" ht="24" customHeight="1" x14ac:dyDescent="0.2">
      <c r="A33" s="59" t="s">
        <v>2</v>
      </c>
      <c r="B33" s="69">
        <f>'busta paga'!C15</f>
        <v>0</v>
      </c>
      <c r="C33" s="59" t="s">
        <v>52</v>
      </c>
      <c r="D33" s="69">
        <f>'busta paga'!G33</f>
        <v>0</v>
      </c>
      <c r="E33" s="191"/>
      <c r="F33" s="192"/>
      <c r="G33" s="192"/>
      <c r="H33" s="193"/>
    </row>
    <row r="34" spans="1:11" ht="26.25" customHeight="1" x14ac:dyDescent="0.2">
      <c r="A34" s="60" t="s">
        <v>53</v>
      </c>
      <c r="B34" s="61"/>
      <c r="C34" s="60" t="s">
        <v>54</v>
      </c>
      <c r="D34" s="62"/>
      <c r="E34" s="63" t="s">
        <v>55</v>
      </c>
      <c r="F34" s="64" t="s">
        <v>56</v>
      </c>
      <c r="G34" s="65" t="s">
        <v>57</v>
      </c>
      <c r="H34" s="65" t="s">
        <v>58</v>
      </c>
    </row>
    <row r="35" spans="1:11" x14ac:dyDescent="0.2">
      <c r="A35" s="66" t="s">
        <v>59</v>
      </c>
      <c r="B35" s="58" t="s">
        <v>60</v>
      </c>
      <c r="C35" s="54" t="s">
        <v>59</v>
      </c>
      <c r="D35" s="54" t="s">
        <v>60</v>
      </c>
      <c r="E35" s="55" t="s">
        <v>61</v>
      </c>
      <c r="F35" s="55" t="s">
        <v>44</v>
      </c>
      <c r="G35" s="56" t="s">
        <v>58</v>
      </c>
      <c r="H35" s="55" t="s">
        <v>62</v>
      </c>
    </row>
    <row r="36" spans="1:11" x14ac:dyDescent="0.2">
      <c r="A36" s="70">
        <v>0</v>
      </c>
      <c r="B36" s="78">
        <v>15000</v>
      </c>
      <c r="C36" s="70">
        <f>ROUND(A36/12,2)</f>
        <v>0</v>
      </c>
      <c r="D36" s="80">
        <f>ROUND(B36/12,2)</f>
        <v>1250</v>
      </c>
      <c r="E36" s="80">
        <f>D36-C36</f>
        <v>1250</v>
      </c>
      <c r="F36" s="79">
        <f>IF($D$33&gt;C36,IF($D$33&lt;=D36,$D$33-C36,E36),0)</f>
        <v>0</v>
      </c>
      <c r="G36" s="67">
        <v>0.23</v>
      </c>
      <c r="H36" s="54">
        <f>ROUND(F36*G36,2)</f>
        <v>0</v>
      </c>
    </row>
    <row r="37" spans="1:11" x14ac:dyDescent="0.2">
      <c r="A37" s="74">
        <v>15000.01</v>
      </c>
      <c r="B37" s="82">
        <v>28000</v>
      </c>
      <c r="C37" s="74">
        <f t="shared" ref="C37:D40" si="0">ROUND(A37/12,2)</f>
        <v>1250</v>
      </c>
      <c r="D37" s="81">
        <f t="shared" si="0"/>
        <v>2333.33</v>
      </c>
      <c r="E37" s="81">
        <f>D37-C37</f>
        <v>1083.33</v>
      </c>
      <c r="F37" s="57">
        <f>IF($D$33&gt;C37,IF($D$33&lt;=D37,$D$33-C37,E37),0)</f>
        <v>0</v>
      </c>
      <c r="G37" s="114">
        <v>0.27</v>
      </c>
      <c r="H37" s="55">
        <f>ROUND(F37*G37,2)</f>
        <v>0</v>
      </c>
      <c r="K37" s="76"/>
    </row>
    <row r="38" spans="1:11" x14ac:dyDescent="0.2">
      <c r="A38" s="74">
        <v>28000.01</v>
      </c>
      <c r="B38" s="81">
        <v>55000</v>
      </c>
      <c r="C38" s="81">
        <f t="shared" si="0"/>
        <v>2333.33</v>
      </c>
      <c r="D38" s="81">
        <f t="shared" si="0"/>
        <v>4583.33</v>
      </c>
      <c r="E38" s="81">
        <f>D38-C38</f>
        <v>2250</v>
      </c>
      <c r="F38" s="57">
        <f>IF($D$33&gt;C38,IF($D$33&lt;=D38,$D$33-C38,E38),0)</f>
        <v>0</v>
      </c>
      <c r="G38" s="68">
        <v>0.38</v>
      </c>
      <c r="H38" s="90">
        <f>ROUND(F38*G38,2)</f>
        <v>0</v>
      </c>
    </row>
    <row r="39" spans="1:11" x14ac:dyDescent="0.2">
      <c r="A39" s="74">
        <v>55000.01</v>
      </c>
      <c r="B39" s="81">
        <v>75000</v>
      </c>
      <c r="C39" s="81">
        <f t="shared" si="0"/>
        <v>4583.33</v>
      </c>
      <c r="D39" s="81">
        <f t="shared" si="0"/>
        <v>6250</v>
      </c>
      <c r="E39" s="81">
        <f>D39-C39</f>
        <v>1666.67</v>
      </c>
      <c r="F39" s="57">
        <f>IF($D$33&gt;C39,IF($D$33&lt;=D39,$D$33-C39,E39),0)</f>
        <v>0</v>
      </c>
      <c r="G39" s="68">
        <v>0.41</v>
      </c>
      <c r="H39" s="49">
        <f>ROUND(F39*G39,2)</f>
        <v>0</v>
      </c>
    </row>
    <row r="40" spans="1:11" x14ac:dyDescent="0.2">
      <c r="A40" s="137">
        <v>75000.009999999995</v>
      </c>
      <c r="B40" s="46" t="s">
        <v>69</v>
      </c>
      <c r="C40" s="117">
        <f t="shared" si="0"/>
        <v>6250</v>
      </c>
      <c r="D40" s="113"/>
      <c r="E40" s="113">
        <f>IF((D33-C40)&gt;0,D33-C40,0)</f>
        <v>0</v>
      </c>
      <c r="F40" s="115">
        <f>IF($D$33&gt;C40,IF($D$33&lt;=D40,$D$33-C40,E40),0)</f>
        <v>0</v>
      </c>
      <c r="G40" s="116">
        <v>0.43</v>
      </c>
      <c r="H40" s="46">
        <f>ROUND(F40*G40,2)</f>
        <v>0</v>
      </c>
    </row>
    <row r="41" spans="1:11" x14ac:dyDescent="0.2">
      <c r="H41" s="93">
        <f>SUM(H36:H40)</f>
        <v>0</v>
      </c>
    </row>
  </sheetData>
  <mergeCells count="9">
    <mergeCell ref="E33:H33"/>
    <mergeCell ref="A32:H32"/>
    <mergeCell ref="A9:F9"/>
    <mergeCell ref="A1:H1"/>
    <mergeCell ref="A14:D14"/>
    <mergeCell ref="A7:C7"/>
    <mergeCell ref="A2:E2"/>
    <mergeCell ref="A28:F28"/>
    <mergeCell ref="A18:F18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6" workbookViewId="0">
      <selection activeCell="A26" sqref="A26"/>
    </sheetView>
  </sheetViews>
  <sheetFormatPr defaultRowHeight="12.75" x14ac:dyDescent="0.2"/>
  <cols>
    <col min="1" max="1" width="16.28515625" customWidth="1"/>
    <col min="2" max="2" width="16.140625" bestFit="1" customWidth="1"/>
    <col min="3" max="4" width="16.140625" customWidth="1"/>
    <col min="5" max="5" width="16.140625" bestFit="1" customWidth="1"/>
  </cols>
  <sheetData>
    <row r="1" spans="1:13" x14ac:dyDescent="0.2">
      <c r="A1" s="210" t="s">
        <v>97</v>
      </c>
      <c r="B1" s="210"/>
      <c r="C1" s="210"/>
      <c r="D1" s="210"/>
      <c r="E1" s="210"/>
      <c r="F1" s="129"/>
      <c r="G1" s="129"/>
      <c r="H1" s="129"/>
      <c r="I1" s="129"/>
      <c r="J1" s="129"/>
      <c r="K1" s="129"/>
      <c r="L1" s="129"/>
      <c r="M1" s="129"/>
    </row>
    <row r="3" spans="1:13" ht="38.25" x14ac:dyDescent="0.2">
      <c r="A3" s="125" t="s">
        <v>98</v>
      </c>
      <c r="B3" s="125" t="s">
        <v>100</v>
      </c>
      <c r="C3" s="124"/>
      <c r="D3" s="127" t="s">
        <v>101</v>
      </c>
      <c r="E3" s="128"/>
    </row>
    <row r="4" spans="1:13" x14ac:dyDescent="0.2">
      <c r="A4" s="105"/>
      <c r="B4" s="126" t="s">
        <v>99</v>
      </c>
      <c r="C4" s="123" t="s">
        <v>102</v>
      </c>
      <c r="D4" s="123" t="s">
        <v>116</v>
      </c>
      <c r="E4" s="126" t="s">
        <v>99</v>
      </c>
    </row>
    <row r="5" spans="1:13" ht="15" customHeight="1" x14ac:dyDescent="0.2">
      <c r="A5">
        <v>1</v>
      </c>
      <c r="C5" t="s">
        <v>103</v>
      </c>
      <c r="D5">
        <f>IF('busta paga'!C14&gt;12500,IF('busta paga'!C14&lt;24000.01,ROUNDUP(('busta paga'!C14-12500)/100,0)*9.3,),)</f>
        <v>0</v>
      </c>
    </row>
    <row r="6" spans="1:13" ht="15" customHeight="1" x14ac:dyDescent="0.2">
      <c r="C6" t="s">
        <v>104</v>
      </c>
      <c r="D6">
        <f>IF('busta paga'!C14&lt;40000.01,IF('busta paga'!C14&gt; 24000,ROUNDUP((24000-12500)/100,0)*9.3+ROUNDUP(('busta paga'!C14-24000)/100,0)*0.5,),)</f>
        <v>0</v>
      </c>
    </row>
    <row r="7" spans="1:13" ht="15" customHeight="1" x14ac:dyDescent="0.2">
      <c r="C7" t="s">
        <v>105</v>
      </c>
      <c r="D7">
        <f>IF('busta paga'!C14&gt;40000.01,ROUNDUP((24000-12500)/100,0)*9.3+ROUNDUP((40000-24000)/100,0)*0.5+ROUNDUP(('busta paga'!C14-40000)/100,0)*2.3,)</f>
        <v>0</v>
      </c>
    </row>
    <row r="8" spans="1:13" ht="15" customHeight="1" x14ac:dyDescent="0.2">
      <c r="B8">
        <v>1650</v>
      </c>
      <c r="D8">
        <f>SUM(D5:D7)</f>
        <v>0</v>
      </c>
      <c r="E8">
        <f>B8-D8</f>
        <v>1650</v>
      </c>
    </row>
    <row r="9" spans="1:13" ht="15" customHeight="1" x14ac:dyDescent="0.2"/>
    <row r="10" spans="1:13" ht="15" customHeight="1" x14ac:dyDescent="0.2">
      <c r="A10">
        <v>2</v>
      </c>
      <c r="C10" t="s">
        <v>113</v>
      </c>
      <c r="D10">
        <f>IF('busta paga'!C14&gt;12500.01,IF('busta paga'!C14&lt;29000.01,ROUNDUP(('busta paga'!C14-12500)/100,0)*13,),)</f>
        <v>0</v>
      </c>
    </row>
    <row r="11" spans="1:13" ht="15" customHeight="1" x14ac:dyDescent="0.2">
      <c r="C11" t="s">
        <v>106</v>
      </c>
      <c r="D11">
        <f>IF('busta paga'!C14&lt;40000.01,IF('busta paga'!C14&gt; 29000,ROUNDUP((29000-12500)/100,0)*13+ROUNDUP(('busta paga'!C14-29000)/100,0)*0.9,),)</f>
        <v>0</v>
      </c>
    </row>
    <row r="12" spans="1:13" ht="15" customHeight="1" x14ac:dyDescent="0.2">
      <c r="C12" t="s">
        <v>105</v>
      </c>
      <c r="D12">
        <f>IF('busta paga'!C14&gt;40000.01,ROUNDUP((29000-12500)/100,0)*13+ROUNDUP((40000-29000)/100,0)*0.9+ROUNDUP(('busta paga'!C14-40000)/100,0)*3.1,)</f>
        <v>0</v>
      </c>
    </row>
    <row r="13" spans="1:13" ht="15" customHeight="1" x14ac:dyDescent="0.2">
      <c r="B13">
        <v>3100</v>
      </c>
      <c r="D13">
        <f>SUM(D10:D12)</f>
        <v>0</v>
      </c>
      <c r="E13">
        <f>B13-D13</f>
        <v>3100</v>
      </c>
    </row>
    <row r="14" spans="1:13" ht="15" customHeight="1" x14ac:dyDescent="0.2"/>
    <row r="15" spans="1:13" ht="15" customHeight="1" x14ac:dyDescent="0.2">
      <c r="A15">
        <v>3</v>
      </c>
      <c r="C15" t="s">
        <v>107</v>
      </c>
      <c r="D15">
        <f>IF('busta paga'!C14&gt;12500.01,IF('busta paga'!C14&lt;34700.01,ROUNDUP(('busta paga'!C14-12500)/100,0)*11.5,),)</f>
        <v>0</v>
      </c>
    </row>
    <row r="16" spans="1:13" ht="15" customHeight="1" x14ac:dyDescent="0.2">
      <c r="C16" t="s">
        <v>108</v>
      </c>
      <c r="D16">
        <f>IF('busta paga'!C14&lt;40000.01,IF('busta paga'!C14&gt;34700,ROUNDUP((34700-12500)/100,0)*11.5+ROUNDUP(('busta paga'!C14-34700)/100,0)*1.4,),)</f>
        <v>0</v>
      </c>
    </row>
    <row r="17" spans="1:5" ht="15" customHeight="1" x14ac:dyDescent="0.2">
      <c r="C17" t="s">
        <v>105</v>
      </c>
      <c r="D17">
        <f>IF('busta paga'!C14&gt;40000.01,ROUNDUP((34700-12500)/100,0)*11.5+ROUNDUP((40000-34700)/100,0)*1.4+ROUNDUP(('busta paga'!C14-40000)/100,0)*4.8,)</f>
        <v>0</v>
      </c>
    </row>
    <row r="18" spans="1:5" ht="15" customHeight="1" x14ac:dyDescent="0.2">
      <c r="B18">
        <v>4500</v>
      </c>
      <c r="D18">
        <f>SUM(D15:D17)</f>
        <v>0</v>
      </c>
      <c r="E18">
        <f>B18-D18</f>
        <v>4500</v>
      </c>
    </row>
    <row r="19" spans="1:5" ht="15" customHeight="1" x14ac:dyDescent="0.2"/>
    <row r="20" spans="1:5" ht="15" customHeight="1" x14ac:dyDescent="0.2">
      <c r="A20">
        <v>4</v>
      </c>
      <c r="C20" t="s">
        <v>109</v>
      </c>
      <c r="D20">
        <f>IF('busta paga'!C14&gt;12500.01,IF('busta paga'!C14&lt;21300.01,ROUNDUP(('busta paga'!C14-12500)/100,0)*5,),)</f>
        <v>0</v>
      </c>
    </row>
    <row r="21" spans="1:5" ht="15" customHeight="1" x14ac:dyDescent="0.2">
      <c r="C21" t="s">
        <v>110</v>
      </c>
      <c r="D21">
        <f>IF('busta paga'!C14&lt;36100.01,IF('busta paga'!C14&gt;21300,ROUNDUP((21300-12500)/100,0)*5+ROUNDUP(('busta paga'!C14-21300)/100,0)*10.5,),)</f>
        <v>0</v>
      </c>
    </row>
    <row r="22" spans="1:5" x14ac:dyDescent="0.2">
      <c r="C22" t="s">
        <v>111</v>
      </c>
      <c r="D22">
        <f>IF('busta paga'!C14&lt;45000.01,IF('busta paga'!C14&gt;36100,ROUNDUP((21300-12500)/100,0)*5+ROUNDUP((36100-21300)/100,0)*10.5+ROUNDUP(('busta paga'!C14-45000)/100,0)*19.6,),)</f>
        <v>0</v>
      </c>
    </row>
    <row r="23" spans="1:5" x14ac:dyDescent="0.2">
      <c r="C23" t="s">
        <v>112</v>
      </c>
      <c r="D23">
        <f>IF('busta paga'!C14&gt;45000.01,ROUNDUP((21300-12500)/100,0)*5+ROUNDUP((36100-21300)/100,0)*10.5+ROUNDUP((45000-36100)/100,0)*19.6+ROUNDUP(('busta paga'!C14-45000)/100,0)*6.2,)</f>
        <v>0</v>
      </c>
    </row>
    <row r="24" spans="1:5" x14ac:dyDescent="0.2">
      <c r="B24">
        <v>6000</v>
      </c>
      <c r="D24">
        <f>SUM(D20:D23)</f>
        <v>0</v>
      </c>
      <c r="E24">
        <f>B24-D24</f>
        <v>6000</v>
      </c>
    </row>
    <row r="26" spans="1:5" x14ac:dyDescent="0.2">
      <c r="A26">
        <v>5</v>
      </c>
      <c r="C26" t="s">
        <v>109</v>
      </c>
      <c r="D26">
        <f>IF('busta paga'!C14&gt;12500.01,IF('busta paga'!C14&lt;21300.01,ROUNDUP(('busta paga'!C14-12500)/100,0)*7.5,),)</f>
        <v>0</v>
      </c>
    </row>
    <row r="27" spans="1:5" x14ac:dyDescent="0.2">
      <c r="C27" t="s">
        <v>110</v>
      </c>
      <c r="D27">
        <f>IF('busta paga'!C14&lt;36100.01,IF('busta paga'!C14&gt;21300,ROUNDUP((21300-12500)/100,0)*7.5+ROUNDUP(('busta paga'!C14-21300)/100,0)*11.2,),)</f>
        <v>0</v>
      </c>
    </row>
    <row r="28" spans="1:5" x14ac:dyDescent="0.2">
      <c r="C28" t="s">
        <v>111</v>
      </c>
      <c r="D28">
        <f>IF('busta paga'!C14&lt;45000.01,IF('busta paga'!C14&gt;36100,ROUNDUP((21300-12500)/100,0)*7.5+ROUNDUP((36100-21300)/100,0)*11.2+ROUNDUP(('busta paga'!C14-45000)/100,0)*1.6,),)</f>
        <v>0</v>
      </c>
    </row>
    <row r="29" spans="1:5" x14ac:dyDescent="0.2">
      <c r="C29" t="s">
        <v>112</v>
      </c>
      <c r="D29">
        <f>IF('busta paga'!C14&gt;45000.01,ROUNDUP((21300-12500)/100,0)*7.5+ROUNDUP((36100-21300)/100,0)*11.2+ROUNDUP((45000-36100)/100,0)*1.6+ROUNDUP(('busta paga'!C14-45000)/100,0)*8.8,)</f>
        <v>0</v>
      </c>
    </row>
    <row r="30" spans="1:5" x14ac:dyDescent="0.2">
      <c r="B30">
        <v>7500</v>
      </c>
      <c r="D30">
        <f>SUM(D26:D29)</f>
        <v>0</v>
      </c>
      <c r="E30">
        <f>B30-D30</f>
        <v>7500</v>
      </c>
    </row>
    <row r="33" spans="1:7" x14ac:dyDescent="0.2">
      <c r="A33" s="130" t="s">
        <v>114</v>
      </c>
      <c r="C33" s="212" t="s">
        <v>115</v>
      </c>
      <c r="D33" s="212"/>
      <c r="E33" s="212"/>
      <c r="F33" s="212"/>
    </row>
    <row r="34" spans="1:7" x14ac:dyDescent="0.2">
      <c r="C34" s="212" t="s">
        <v>117</v>
      </c>
      <c r="D34" s="212"/>
      <c r="E34" s="212"/>
      <c r="F34" s="212"/>
      <c r="G34" s="212"/>
    </row>
    <row r="37" spans="1:7" x14ac:dyDescent="0.2">
      <c r="A37" s="131"/>
      <c r="B37" s="131"/>
      <c r="C37" s="211"/>
      <c r="D37" s="211"/>
      <c r="E37" s="211"/>
    </row>
    <row r="38" spans="1:7" x14ac:dyDescent="0.2">
      <c r="A38" s="48"/>
      <c r="B38" s="132"/>
      <c r="C38" s="132"/>
      <c r="D38" s="132"/>
      <c r="E38" s="48"/>
    </row>
    <row r="39" spans="1:7" x14ac:dyDescent="0.2">
      <c r="A39" s="48"/>
      <c r="B39" s="48"/>
      <c r="C39" s="48"/>
      <c r="D39" s="48"/>
      <c r="E39" s="48"/>
    </row>
  </sheetData>
  <mergeCells count="4">
    <mergeCell ref="A1:E1"/>
    <mergeCell ref="C37:E37"/>
    <mergeCell ref="C33:F33"/>
    <mergeCell ref="C34:G3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ACurrentWords xmlns="7851d254-ce09-43b6-8d90-072588e7901c" xsi:nil="true"/>
    <DSATActionTaken xmlns="7851d254-ce09-43b6-8d90-072588e7901c" xsi:nil="true"/>
    <NumericId xmlns="7851d254-ce09-43b6-8d90-072588e7901c">-1</NumericId>
    <OOCacheId xmlns="7851d254-ce09-43b6-8d90-072588e7901c" xsi:nil="true"/>
    <OutputCachingOn xmlns="7851d254-ce09-43b6-8d90-072588e7901c">false</OutputCachingOn>
    <ClipArtFilename xmlns="7851d254-ce09-43b6-8d90-072588e7901c" xsi:nil="true"/>
    <ApprovalStatus xmlns="7851d254-ce09-43b6-8d90-072588e7901c">InProgress</ApprovalStatus>
    <EditorialTags xmlns="7851d254-ce09-43b6-8d90-072588e7901c" xsi:nil="true"/>
    <Milestone xmlns="7851d254-ce09-43b6-8d90-072588e7901c" xsi:nil="true"/>
    <PublishStatusLookup xmlns="7851d254-ce09-43b6-8d90-072588e7901c">
      <Value>265793</Value>
      <Value>396456</Value>
    </PublishStatusLookup>
    <OriginAsset xmlns="7851d254-ce09-43b6-8d90-072588e7901c" xsi:nil="true"/>
    <OriginalSourceMarket xmlns="7851d254-ce09-43b6-8d90-072588e7901c">english</OriginalSourceMarket>
    <TrustLevel xmlns="7851d254-ce09-43b6-8d90-072588e7901c">3 Community New</TrustLevel>
    <AssetId xmlns="7851d254-ce09-43b6-8d90-072588e7901c">TP030008202</AssetId>
    <AssetType xmlns="7851d254-ce09-43b6-8d90-072588e7901c">TP</AssetType>
    <TPFriendlyName xmlns="7851d254-ce09-43b6-8d90-072588e7901c">paga base 2009</TPFriendlyName>
    <IntlLangReview xmlns="7851d254-ce09-43b6-8d90-072588e7901c" xsi:nil="true"/>
    <PlannedPubDate xmlns="7851d254-ce09-43b6-8d90-072588e7901c" xsi:nil="true"/>
    <APDescription xmlns="7851d254-ce09-43b6-8d90-072588e7901c" xsi:nil="true"/>
    <IntlLangReviewer xmlns="7851d254-ce09-43b6-8d90-072588e7901c" xsi:nil="true"/>
    <IntlLocPriority xmlns="7851d254-ce09-43b6-8d90-072588e7901c" xsi:nil="true"/>
    <UAProjectedTotalWords xmlns="7851d254-ce09-43b6-8d90-072588e7901c" xsi:nil="true"/>
    <ApprovalLog xmlns="7851d254-ce09-43b6-8d90-072588e7901c" xsi:nil="true"/>
    <FriendlyTitle xmlns="7851d254-ce09-43b6-8d90-072588e7901c" xsi:nil="true"/>
    <LastHandOff xmlns="7851d254-ce09-43b6-8d90-072588e7901c" xsi:nil="true"/>
    <ContentItem xmlns="7851d254-ce09-43b6-8d90-072588e7901c" xsi:nil="true"/>
    <IsDeleted xmlns="7851d254-ce09-43b6-8d90-072588e7901c">false</IsDeleted>
    <EditorialStatus xmlns="7851d254-ce09-43b6-8d90-072588e7901c">Complete</EditorialStatus>
    <Markets xmlns="7851d254-ce09-43b6-8d90-072588e7901c">
      <Value>2</Value>
    </Markets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CSXHash xmlns="7851d254-ce09-43b6-8d90-072588e7901c">6KNAB7qK2W1TZ9R7o7ojVMhSY5k=</CSXHash>
    <Manager xmlns="7851d254-ce09-43b6-8d90-072588e7901c" xsi:nil="true"/>
    <ParentAssetId xmlns="7851d254-ce09-43b6-8d90-072588e7901c" xsi:nil="true"/>
    <TemplateStatus xmlns="7851d254-ce09-43b6-8d90-072588e7901c">Complete</TemplateStatus>
    <APAuthor xmlns="7851d254-ce09-43b6-8d90-072588e7901c">
      <UserInfo>
        <DisplayName>_o14migrate</DisplayName>
        <AccountId>30</AccountId>
        <AccountType/>
      </UserInfo>
    </APAuthor>
    <OpenTemplate xmlns="7851d254-ce09-43b6-8d90-072588e7901c">true</OpenTemplate>
    <CrawlForDependencies xmlns="7851d254-ce09-43b6-8d90-072588e7901c">false</CrawlForDependencies>
    <LastPublishResultLookup xmlns="7851d254-ce09-43b6-8d90-072588e7901c" xsi:nil="true"/>
    <LegacyData xmlns="7851d254-ce09-43b6-8d90-072588e7901c">ListingID:;Manager:;BuildStatus:Publish Passed;MockupPath:</LegacyData>
    <TPNamespace xmlns="7851d254-ce09-43b6-8d90-072588e7901c" xsi:nil="true"/>
    <SourceTitle xmlns="7851d254-ce09-43b6-8d90-072588e7901c">paga base 2009</SourceTitle>
    <TPAppVersion xmlns="7851d254-ce09-43b6-8d90-072588e7901c">12</TPAppVersion>
    <AcquiredFrom xmlns="7851d254-ce09-43b6-8d90-072588e7901c" xsi:nil="true"/>
    <IsSearchable xmlns="7851d254-ce09-43b6-8d90-072588e7901c">true</IsSearchable>
    <Downloads xmlns="7851d254-ce09-43b6-8d90-072588e7901c">0</Downloads>
    <TPApplication xmlns="7851d254-ce09-43b6-8d90-072588e7901c">Excel</TPApplication>
    <TPClientViewer xmlns="7851d254-ce09-43b6-8d90-072588e7901c" xsi:nil="true"/>
    <TPInstallLocation xmlns="7851d254-ce09-43b6-8d90-072588e7901c">{My Templates}</TPInstallLocation>
    <MachineTranslated xmlns="7851d254-ce09-43b6-8d90-072588e7901c">false</MachineTranslated>
    <SubmitterId xmlns="7851d254-ce09-43b6-8d90-072588e7901c">7997e189-50d1-4658-a431-d11b4c50441b</SubmitterId>
    <TPCommandLine xmlns="7851d254-ce09-43b6-8d90-072588e7901c">{XL} /t {FilePath}</TPCommandLine>
    <CSXUpdate xmlns="7851d254-ce09-43b6-8d90-072588e7901c">false</CSXUpdate>
    <CSXSubmissionDate xmlns="7851d254-ce09-43b6-8d90-072588e7901c">2009-12-08T08:00:00+00:00</CSXSubmissionDate>
    <TPComponent xmlns="7851d254-ce09-43b6-8d90-072588e7901c">EXCELFiles</TPComponent>
    <MarketSpecific xmlns="7851d254-ce09-43b6-8d90-072588e7901c">true</MarketSpecific>
    <LastModifiedDateTime xmlns="7851d254-ce09-43b6-8d90-072588e7901c" xsi:nil="true"/>
    <TPLaunchHelpLinkType xmlns="7851d254-ce09-43b6-8d90-072588e7901c" xsi:nil="true"/>
    <Providers xmlns="7851d254-ce09-43b6-8d90-072588e7901c" xsi:nil="true"/>
    <TimesCloned xmlns="7851d254-ce09-43b6-8d90-072588e7901c" xsi:nil="true"/>
    <UANotes xmlns="7851d254-ce09-43b6-8d90-072588e7901c" xsi:nil="true"/>
    <VoteCount xmlns="7851d254-ce09-43b6-8d90-072588e7901c" xsi:nil="true"/>
    <CSXSubmissionMarket xmlns="7851d254-ce09-43b6-8d90-072588e7901c" xsi:nil="true"/>
    <HandoffToMSDN xmlns="7851d254-ce09-43b6-8d90-072588e7901c" xsi:nil="true"/>
    <AssetExpire xmlns="7851d254-ce09-43b6-8d90-072588e7901c">2100-01-01T00:00:00+00:00</AssetExpire>
    <IntlLangReviewDate xmlns="7851d254-ce09-43b6-8d90-072588e7901c" xsi:nil="true"/>
    <DirectSourceMarket xmlns="7851d254-ce09-43b6-8d90-072588e7901c">english</DirectSourceMarket>
    <APEditor xmlns="7851d254-ce09-43b6-8d90-072588e7901c">
      <UserInfo>
        <DisplayName>_o14migrate</DisplayName>
        <AccountId>30</AccountId>
        <AccountType/>
      </UserInfo>
    </APEditor>
    <PrimaryImageGen xmlns="7851d254-ce09-43b6-8d90-072588e7901c">true</PrimaryImageGen>
    <PolicheckWords xmlns="7851d254-ce09-43b6-8d90-072588e7901c" xsi:nil="true"/>
    <Provider xmlns="7851d254-ce09-43b6-8d90-072588e7901c" xsi:nil="true"/>
    <AssetStart xmlns="7851d254-ce09-43b6-8d90-072588e7901c">2010-04-16T14:51:28+00:00</AssetStart>
    <BugNumber xmlns="7851d254-ce09-43b6-8d90-072588e7901c" xsi:nil="true"/>
    <TPExecutable xmlns="7851d254-ce09-43b6-8d90-072588e7901c" xsi:nil="true"/>
    <TPLaunchHelpLink xmlns="7851d254-ce09-43b6-8d90-072588e7901c" xsi:nil="true"/>
    <BusinessGroup xmlns="7851d254-ce09-43b6-8d90-072588e7901c" xsi:nil="true"/>
    <TemplateTemplateType xmlns="7851d254-ce09-43b6-8d90-072588e7901c">Excel 2007 Default</TemplateTemplateType>
    <PublishTargets xmlns="7851d254-ce09-43b6-8d90-072588e7901c">OfficeOnline</PublishTargets>
    <ArtSampleDocs xmlns="7851d254-ce09-43b6-8d90-072588e7901c" xsi:nil="true"/>
    <CampaignTagsTaxHTField0 xmlns="7851d254-ce09-43b6-8d90-072588e7901c">
      <Terms xmlns="http://schemas.microsoft.com/office/infopath/2007/PartnerControls"/>
    </CampaignTagsTaxHTField0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TaxCatchAll xmlns="7851d254-ce09-43b6-8d90-072588e7901c"/>
    <LocRecommendedHandoff xmlns="7851d254-ce09-43b6-8d90-072588e7901c" xsi:nil="true"/>
    <BlockPublish xmlns="7851d254-ce09-43b6-8d90-072588e7901c">false</BlockPublish>
    <LocManualTestRequired xmlns="7851d254-ce09-43b6-8d90-072588e7901c">false</LocManualTestRequired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186398</LocLastLocAttemptVersionLookup>
    <FeatureTagsTaxHTField0 xmlns="7851d254-ce09-43b6-8d90-072588e7901c">
      <Terms xmlns="http://schemas.microsoft.com/office/infopath/2007/PartnerControls"/>
    </FeatureTagsTaxHTField0>
    <RecommendationsModifier xmlns="7851d254-ce09-43b6-8d90-072588e7901c" xsi:nil="true"/>
    <LocMarketGroupTiers2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1A84B2-F323-4A73-9A8C-38B315D5E4F3}"/>
</file>

<file path=customXml/itemProps2.xml><?xml version="1.0" encoding="utf-8"?>
<ds:datastoreItem xmlns:ds="http://schemas.openxmlformats.org/officeDocument/2006/customXml" ds:itemID="{E1E5A8A3-E237-4A9B-8FA4-2D7E59CDE2EE}"/>
</file>

<file path=customXml/itemProps3.xml><?xml version="1.0" encoding="utf-8"?>
<ds:datastoreItem xmlns:ds="http://schemas.openxmlformats.org/officeDocument/2006/customXml" ds:itemID="{C3CA96B4-3B1B-45CE-9278-A3361CB97F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busta paga</vt:lpstr>
      <vt:lpstr>ccnl</vt:lpstr>
      <vt:lpstr>irpef</vt:lpstr>
      <vt:lpstr>assegni</vt:lpstr>
      <vt:lpstr>IRPEF</vt:lpstr>
      <vt:lpstr>assegni!Print_Area</vt:lpstr>
      <vt:lpstr>'busta paga'!Print_Area</vt:lpstr>
      <vt:lpstr>ccnl!Print_Area</vt:lpstr>
      <vt:lpstr>irpef!Print_Area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cp:lastPrinted>2008-11-18T10:26:03Z</cp:lastPrinted>
  <dcterms:created xsi:type="dcterms:W3CDTF">1996-11-05T10:16:36Z</dcterms:created>
  <dcterms:modified xsi:type="dcterms:W3CDTF">2012-05-30T10:25:32Z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Applications">
    <vt:lpwstr>11;#Excel 12</vt:lpwstr>
  </property>
  <property fmtid="{D5CDD505-2E9C-101B-9397-08002B2CF9AE}" pid="4" name="Order">
    <vt:r8>7336600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