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P:\MS-IW-OFFICE-UA\Office_Online\Projects\Templates_Gemini_G1\Phases\65_Calendar_template_Customization_2016\06_From_Nanjing\Batch4\ITA\Templates\"/>
    </mc:Choice>
  </mc:AlternateContent>
  <bookViews>
    <workbookView xWindow="0" yWindow="1350" windowWidth="20490" windowHeight="7515" tabRatio="741"/>
  </bookViews>
  <sheets>
    <sheet name="Gen" sheetId="1" r:id="rId1"/>
    <sheet name="Feb" sheetId="6" r:id="rId2"/>
    <sheet name="Mar" sheetId="7" r:id="rId3"/>
    <sheet name="Apr" sheetId="8" r:id="rId4"/>
    <sheet name="Mag" sheetId="9" r:id="rId5"/>
    <sheet name="Giu" sheetId="10" r:id="rId6"/>
    <sheet name="Lug" sheetId="11" r:id="rId7"/>
    <sheet name="Ago" sheetId="12" r:id="rId8"/>
    <sheet name="Set" sheetId="13" r:id="rId9"/>
    <sheet name="Ott" sheetId="14" r:id="rId10"/>
    <sheet name="Nov" sheetId="15" r:id="rId11"/>
    <sheet name="Dic" sheetId="16" r:id="rId12"/>
  </sheets>
  <definedNames>
    <definedName name="AgoDom1">DATE(AnnoCalendario,8,1)-WEEKDAY(DATE(AnnoCalendario,8,1))+1</definedName>
    <definedName name="AnnoCalendario">Gen!$N$2</definedName>
    <definedName name="AprDom1">DATE(AnnoCalendario,4,1)-WEEKDAY(DATE(AnnoCalendario,4,1))+1</definedName>
    <definedName name="DicDom1">DATE(AnnoCalendario,12,1)-WEEKDAY(DATE(AnnoCalendario,12,1))+1</definedName>
    <definedName name="FebDom1">DATE(AnnoCalendario,2,1)-WEEKDAY(DATE(AnnoCalendario,2,1))+1</definedName>
    <definedName name="GenDom1">DATE(AnnoCalendario,1,1)-WEEKDAY(DATE(AnnoCalendario,1,1))+1</definedName>
    <definedName name="GiorniAssegno" localSheetId="7">Ago!$L$4:$L$33</definedName>
    <definedName name="GiorniAssegno" localSheetId="3">Apr!$L$4:$L$33</definedName>
    <definedName name="GiorniAssegno" localSheetId="11">Dic!$L$4:$L$33</definedName>
    <definedName name="GiorniAssegno" localSheetId="1">Feb!$L$4:$L$33</definedName>
    <definedName name="GiorniAssegno" localSheetId="5">Giu!$L$4:$L$33</definedName>
    <definedName name="GiorniAssegno" localSheetId="6">Lug!$L$4:$L$33</definedName>
    <definedName name="GiorniAssegno" localSheetId="4">Mag!$L$4:$L$33</definedName>
    <definedName name="GiorniAssegno" localSheetId="2">Mar!$L$4:$L$33</definedName>
    <definedName name="GiorniAssegno" localSheetId="10">Nov!$L$4:$L$33</definedName>
    <definedName name="GiorniAssegno" localSheetId="9">Ott!$L$4:$L$33</definedName>
    <definedName name="GiorniAssegno" localSheetId="8">Set!$L$4:$L$33</definedName>
    <definedName name="GiorniAssegno">Gen!$L$4:$L$33</definedName>
    <definedName name="GiuDom1">DATE(AnnoCalendario,6,1)-WEEKDAY(DATE(AnnoCalendario,6,1))+1</definedName>
    <definedName name="LugDom1">DATE(AnnoCalendario,7,1)-WEEKDAY(DATE(AnnoCalendario,7,1))+1</definedName>
    <definedName name="MagDom1">DATE(AnnoCalendario,5,1)-WEEKDAY(DATE(AnnoCalendario,5,1))+1</definedName>
    <definedName name="MarDom1">DATE(AnnoCalendario,3,1)-WEEKDAY(DATE(AnnoCalendario,3,1))+1</definedName>
    <definedName name="NovDom1">DATE(AnnoCalendario,11,1)-WEEKDAY(DATE(AnnoCalendario,11,1))+1</definedName>
    <definedName name="OttDom1">DATE(AnnoCalendario,10,1)-WEEKDAY(DATE(AnnoCalendario,10,1))+1</definedName>
    <definedName name="_xlnm.Print_Area" localSheetId="7">Ago!$A$1:$N$33</definedName>
    <definedName name="_xlnm.Print_Area" localSheetId="3">Apr!$A$1:$N$33</definedName>
    <definedName name="_xlnm.Print_Area" localSheetId="11">Dic!$A$1:$N$33</definedName>
    <definedName name="_xlnm.Print_Area" localSheetId="1">Feb!$A$1:$N$33</definedName>
    <definedName name="_xlnm.Print_Area" localSheetId="0">Gen!$A$1:$N$33</definedName>
    <definedName name="_xlnm.Print_Area" localSheetId="5">Giu!$A$1:$N$33</definedName>
    <definedName name="_xlnm.Print_Area" localSheetId="6">Lug!$A$1:$N$33</definedName>
    <definedName name="_xlnm.Print_Area" localSheetId="4">Mag!$A$1:$N$33</definedName>
    <definedName name="_xlnm.Print_Area" localSheetId="2">Mar!$A$1:$N$33</definedName>
    <definedName name="_xlnm.Print_Area" localSheetId="10">Nov!$A$1:$N$33</definedName>
    <definedName name="_xlnm.Print_Area" localSheetId="9">Ott!$A$1:$N$33</definedName>
    <definedName name="_xlnm.Print_Area" localSheetId="8">Set!$A$1:$N$33</definedName>
    <definedName name="SetDom1">DATE(AnnoCalendario,9,1)-WEEKDAY(DATE(AnnoCalendario,9,1))+1</definedName>
    <definedName name="TabellaDateImportanti" localSheetId="7">Ago!$L$4:$M$8</definedName>
    <definedName name="TabellaDateImportanti" localSheetId="3">Apr!$L$4:$M$8</definedName>
    <definedName name="TabellaDateImportanti" localSheetId="11">Dic!$L$4:$M$8</definedName>
    <definedName name="TabellaDateImportanti" localSheetId="1">Feb!$L$4:$M$8</definedName>
    <definedName name="TabellaDateImportanti" localSheetId="5">Giu!$L$4:$M$8</definedName>
    <definedName name="TabellaDateImportanti" localSheetId="6">Lug!$L$4:$M$8</definedName>
    <definedName name="TabellaDateImportanti" localSheetId="4">Mag!$L$4:$M$8</definedName>
    <definedName name="TabellaDateImportanti" localSheetId="2">Mar!$L$4:$M$8</definedName>
    <definedName name="TabellaDateImportanti" localSheetId="10">Nov!$L$4:$M$8</definedName>
    <definedName name="TabellaDateImportanti" localSheetId="9">Ott!$L$4:$M$8</definedName>
    <definedName name="TabellaDateImportanti" localSheetId="8">Set!$L$4:$M$8</definedName>
    <definedName name="TabellaDateImportanti">Gen!$L$4:$M$8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" i="16" l="1"/>
  <c r="N2" i="15"/>
  <c r="N2" i="14"/>
  <c r="N2" i="13"/>
  <c r="N2" i="12"/>
  <c r="N2" i="11"/>
  <c r="N2" i="10"/>
  <c r="N2" i="9"/>
  <c r="N2" i="8"/>
  <c r="N2" i="7"/>
  <c r="N2" i="6"/>
  <c r="I9" i="16" l="1"/>
  <c r="H9" i="16"/>
  <c r="G9" i="16"/>
  <c r="F9" i="16"/>
  <c r="E9" i="16"/>
  <c r="D9" i="16"/>
  <c r="C9" i="16"/>
  <c r="I8" i="16"/>
  <c r="H8" i="16"/>
  <c r="G8" i="16"/>
  <c r="F8" i="16"/>
  <c r="E8" i="16"/>
  <c r="D8" i="16"/>
  <c r="C8" i="16"/>
  <c r="I7" i="16"/>
  <c r="H7" i="16"/>
  <c r="G7" i="16"/>
  <c r="F7" i="16"/>
  <c r="E7" i="16"/>
  <c r="D7" i="16"/>
  <c r="C7" i="16"/>
  <c r="I6" i="16"/>
  <c r="H6" i="16"/>
  <c r="G6" i="16"/>
  <c r="F6" i="16"/>
  <c r="E6" i="16"/>
  <c r="D6" i="16"/>
  <c r="C6" i="16"/>
  <c r="I5" i="16"/>
  <c r="H5" i="16"/>
  <c r="G5" i="16"/>
  <c r="F5" i="16"/>
  <c r="E5" i="16"/>
  <c r="D5" i="16"/>
  <c r="C5" i="16"/>
  <c r="I4" i="16"/>
  <c r="H4" i="16"/>
  <c r="G4" i="16"/>
  <c r="F4" i="16"/>
  <c r="E4" i="16"/>
  <c r="D4" i="16"/>
  <c r="C4" i="16"/>
  <c r="I9" i="15"/>
  <c r="H9" i="15"/>
  <c r="G9" i="15"/>
  <c r="F9" i="15"/>
  <c r="E9" i="15"/>
  <c r="D9" i="15"/>
  <c r="C9" i="15"/>
  <c r="I8" i="15"/>
  <c r="H8" i="15"/>
  <c r="G8" i="15"/>
  <c r="F8" i="15"/>
  <c r="E8" i="15"/>
  <c r="D8" i="15"/>
  <c r="C8" i="15"/>
  <c r="I7" i="15"/>
  <c r="H7" i="15"/>
  <c r="G7" i="15"/>
  <c r="F7" i="15"/>
  <c r="E7" i="15"/>
  <c r="D7" i="15"/>
  <c r="C7" i="15"/>
  <c r="I6" i="15"/>
  <c r="H6" i="15"/>
  <c r="G6" i="15"/>
  <c r="F6" i="15"/>
  <c r="E6" i="15"/>
  <c r="D6" i="15"/>
  <c r="C6" i="15"/>
  <c r="I5" i="15"/>
  <c r="H5" i="15"/>
  <c r="G5" i="15"/>
  <c r="F5" i="15"/>
  <c r="E5" i="15"/>
  <c r="D5" i="15"/>
  <c r="C5" i="15"/>
  <c r="I4" i="15"/>
  <c r="H4" i="15"/>
  <c r="G4" i="15"/>
  <c r="F4" i="15"/>
  <c r="E4" i="15"/>
  <c r="D4" i="15"/>
  <c r="C4" i="15"/>
  <c r="I9" i="14"/>
  <c r="H9" i="14"/>
  <c r="G9" i="14"/>
  <c r="F9" i="14"/>
  <c r="E9" i="14"/>
  <c r="D9" i="14"/>
  <c r="C9" i="14"/>
  <c r="I8" i="14"/>
  <c r="H8" i="14"/>
  <c r="G8" i="14"/>
  <c r="F8" i="14"/>
  <c r="E8" i="14"/>
  <c r="D8" i="14"/>
  <c r="C8" i="14"/>
  <c r="I7" i="14"/>
  <c r="H7" i="14"/>
  <c r="G7" i="14"/>
  <c r="F7" i="14"/>
  <c r="E7" i="14"/>
  <c r="D7" i="14"/>
  <c r="C7" i="14"/>
  <c r="I6" i="14"/>
  <c r="H6" i="14"/>
  <c r="G6" i="14"/>
  <c r="F6" i="14"/>
  <c r="E6" i="14"/>
  <c r="D6" i="14"/>
  <c r="C6" i="14"/>
  <c r="I5" i="14"/>
  <c r="H5" i="14"/>
  <c r="G5" i="14"/>
  <c r="F5" i="14"/>
  <c r="E5" i="14"/>
  <c r="D5" i="14"/>
  <c r="C5" i="14"/>
  <c r="I4" i="14"/>
  <c r="H4" i="14"/>
  <c r="G4" i="14"/>
  <c r="F4" i="14"/>
  <c r="E4" i="14"/>
  <c r="D4" i="14"/>
  <c r="C4" i="14"/>
  <c r="I9" i="13"/>
  <c r="H9" i="13"/>
  <c r="G9" i="13"/>
  <c r="F9" i="13"/>
  <c r="E9" i="13"/>
  <c r="D9" i="13"/>
  <c r="C9" i="13"/>
  <c r="I8" i="13"/>
  <c r="H8" i="13"/>
  <c r="G8" i="13"/>
  <c r="F8" i="13"/>
  <c r="E8" i="13"/>
  <c r="D8" i="13"/>
  <c r="C8" i="13"/>
  <c r="I7" i="13"/>
  <c r="H7" i="13"/>
  <c r="G7" i="13"/>
  <c r="F7" i="13"/>
  <c r="E7" i="13"/>
  <c r="D7" i="13"/>
  <c r="C7" i="13"/>
  <c r="I6" i="13"/>
  <c r="H6" i="13"/>
  <c r="G6" i="13"/>
  <c r="F6" i="13"/>
  <c r="E6" i="13"/>
  <c r="D6" i="13"/>
  <c r="C6" i="13"/>
  <c r="I5" i="13"/>
  <c r="H5" i="13"/>
  <c r="G5" i="13"/>
  <c r="F5" i="13"/>
  <c r="E5" i="13"/>
  <c r="D5" i="13"/>
  <c r="C5" i="13"/>
  <c r="I4" i="13"/>
  <c r="H4" i="13"/>
  <c r="G4" i="13"/>
  <c r="F4" i="13"/>
  <c r="E4" i="13"/>
  <c r="D4" i="13"/>
  <c r="C4" i="13"/>
  <c r="I9" i="12"/>
  <c r="H9" i="12"/>
  <c r="G9" i="12"/>
  <c r="F9" i="12"/>
  <c r="E9" i="12"/>
  <c r="D9" i="12"/>
  <c r="C9" i="12"/>
  <c r="I8" i="12"/>
  <c r="H8" i="12"/>
  <c r="G8" i="12"/>
  <c r="F8" i="12"/>
  <c r="E8" i="12"/>
  <c r="D8" i="12"/>
  <c r="C8" i="12"/>
  <c r="I7" i="12"/>
  <c r="H7" i="12"/>
  <c r="G7" i="12"/>
  <c r="F7" i="12"/>
  <c r="E7" i="12"/>
  <c r="D7" i="12"/>
  <c r="C7" i="12"/>
  <c r="I6" i="12"/>
  <c r="H6" i="12"/>
  <c r="G6" i="12"/>
  <c r="F6" i="12"/>
  <c r="E6" i="12"/>
  <c r="D6" i="12"/>
  <c r="C6" i="12"/>
  <c r="I5" i="12"/>
  <c r="H5" i="12"/>
  <c r="G5" i="12"/>
  <c r="F5" i="12"/>
  <c r="E5" i="12"/>
  <c r="D5" i="12"/>
  <c r="C5" i="12"/>
  <c r="I4" i="12"/>
  <c r="H4" i="12"/>
  <c r="G4" i="12"/>
  <c r="F4" i="12"/>
  <c r="E4" i="12"/>
  <c r="D4" i="12"/>
  <c r="C4" i="12"/>
  <c r="I9" i="11"/>
  <c r="H9" i="11"/>
  <c r="G9" i="11"/>
  <c r="F9" i="11"/>
  <c r="E9" i="11"/>
  <c r="D9" i="11"/>
  <c r="C9" i="11"/>
  <c r="I8" i="11"/>
  <c r="H8" i="11"/>
  <c r="G8" i="11"/>
  <c r="F8" i="11"/>
  <c r="E8" i="11"/>
  <c r="D8" i="11"/>
  <c r="C8" i="11"/>
  <c r="I7" i="11"/>
  <c r="H7" i="11"/>
  <c r="G7" i="11"/>
  <c r="F7" i="11"/>
  <c r="E7" i="11"/>
  <c r="D7" i="11"/>
  <c r="C7" i="11"/>
  <c r="I6" i="11"/>
  <c r="H6" i="11"/>
  <c r="G6" i="11"/>
  <c r="F6" i="11"/>
  <c r="E6" i="11"/>
  <c r="D6" i="11"/>
  <c r="C6" i="11"/>
  <c r="I5" i="11"/>
  <c r="H5" i="11"/>
  <c r="G5" i="11"/>
  <c r="F5" i="11"/>
  <c r="E5" i="11"/>
  <c r="D5" i="11"/>
  <c r="C5" i="11"/>
  <c r="I4" i="11"/>
  <c r="H4" i="11"/>
  <c r="G4" i="11"/>
  <c r="F4" i="11"/>
  <c r="E4" i="11"/>
  <c r="D4" i="11"/>
  <c r="C4" i="11"/>
  <c r="I9" i="10"/>
  <c r="H9" i="10"/>
  <c r="G9" i="10"/>
  <c r="F9" i="10"/>
  <c r="E9" i="10"/>
  <c r="D9" i="10"/>
  <c r="C9" i="10"/>
  <c r="I8" i="10"/>
  <c r="H8" i="10"/>
  <c r="G8" i="10"/>
  <c r="F8" i="10"/>
  <c r="E8" i="10"/>
  <c r="D8" i="10"/>
  <c r="C8" i="10"/>
  <c r="I7" i="10"/>
  <c r="H7" i="10"/>
  <c r="G7" i="10"/>
  <c r="F7" i="10"/>
  <c r="E7" i="10"/>
  <c r="D7" i="10"/>
  <c r="C7" i="10"/>
  <c r="I6" i="10"/>
  <c r="H6" i="10"/>
  <c r="G6" i="10"/>
  <c r="F6" i="10"/>
  <c r="E6" i="10"/>
  <c r="D6" i="10"/>
  <c r="C6" i="10"/>
  <c r="I5" i="10"/>
  <c r="H5" i="10"/>
  <c r="G5" i="10"/>
  <c r="F5" i="10"/>
  <c r="E5" i="10"/>
  <c r="D5" i="10"/>
  <c r="C5" i="10"/>
  <c r="I4" i="10"/>
  <c r="H4" i="10"/>
  <c r="G4" i="10"/>
  <c r="F4" i="10"/>
  <c r="E4" i="10"/>
  <c r="D4" i="10"/>
  <c r="C4" i="10"/>
  <c r="I9" i="9"/>
  <c r="H9" i="9"/>
  <c r="G9" i="9"/>
  <c r="F9" i="9"/>
  <c r="E9" i="9"/>
  <c r="D9" i="9"/>
  <c r="C9" i="9"/>
  <c r="I8" i="9"/>
  <c r="H8" i="9"/>
  <c r="G8" i="9"/>
  <c r="F8" i="9"/>
  <c r="E8" i="9"/>
  <c r="D8" i="9"/>
  <c r="C8" i="9"/>
  <c r="I7" i="9"/>
  <c r="H7" i="9"/>
  <c r="G7" i="9"/>
  <c r="F7" i="9"/>
  <c r="E7" i="9"/>
  <c r="D7" i="9"/>
  <c r="C7" i="9"/>
  <c r="I6" i="9"/>
  <c r="H6" i="9"/>
  <c r="G6" i="9"/>
  <c r="F6" i="9"/>
  <c r="E6" i="9"/>
  <c r="D6" i="9"/>
  <c r="C6" i="9"/>
  <c r="I5" i="9"/>
  <c r="H5" i="9"/>
  <c r="G5" i="9"/>
  <c r="F5" i="9"/>
  <c r="E5" i="9"/>
  <c r="D5" i="9"/>
  <c r="C5" i="9"/>
  <c r="I4" i="9"/>
  <c r="H4" i="9"/>
  <c r="G4" i="9"/>
  <c r="F4" i="9"/>
  <c r="E4" i="9"/>
  <c r="D4" i="9"/>
  <c r="C4" i="9"/>
  <c r="I9" i="8"/>
  <c r="H9" i="8"/>
  <c r="G9" i="8"/>
  <c r="F9" i="8"/>
  <c r="E9" i="8"/>
  <c r="D9" i="8"/>
  <c r="C9" i="8"/>
  <c r="I8" i="8"/>
  <c r="H8" i="8"/>
  <c r="G8" i="8"/>
  <c r="F8" i="8"/>
  <c r="E8" i="8"/>
  <c r="D8" i="8"/>
  <c r="C8" i="8"/>
  <c r="I7" i="8"/>
  <c r="H7" i="8"/>
  <c r="G7" i="8"/>
  <c r="F7" i="8"/>
  <c r="E7" i="8"/>
  <c r="D7" i="8"/>
  <c r="C7" i="8"/>
  <c r="I6" i="8"/>
  <c r="H6" i="8"/>
  <c r="G6" i="8"/>
  <c r="F6" i="8"/>
  <c r="E6" i="8"/>
  <c r="D6" i="8"/>
  <c r="C6" i="8"/>
  <c r="I5" i="8"/>
  <c r="H5" i="8"/>
  <c r="G5" i="8"/>
  <c r="F5" i="8"/>
  <c r="E5" i="8"/>
  <c r="D5" i="8"/>
  <c r="C5" i="8"/>
  <c r="I4" i="8"/>
  <c r="H4" i="8"/>
  <c r="G4" i="8"/>
  <c r="F4" i="8"/>
  <c r="E4" i="8"/>
  <c r="D4" i="8"/>
  <c r="C4" i="8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I6" i="7"/>
  <c r="H6" i="7"/>
  <c r="G6" i="7"/>
  <c r="F6" i="7"/>
  <c r="E6" i="7"/>
  <c r="D6" i="7"/>
  <c r="C6" i="7"/>
  <c r="I5" i="7"/>
  <c r="H5" i="7"/>
  <c r="G5" i="7"/>
  <c r="F5" i="7"/>
  <c r="E5" i="7"/>
  <c r="D5" i="7"/>
  <c r="C5" i="7"/>
  <c r="I4" i="7"/>
  <c r="H4" i="7"/>
  <c r="G4" i="7"/>
  <c r="F4" i="7"/>
  <c r="E4" i="7"/>
  <c r="D4" i="7"/>
  <c r="C4" i="7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E7" i="6"/>
  <c r="D7" i="6"/>
  <c r="C7" i="6"/>
  <c r="I6" i="6"/>
  <c r="H6" i="6"/>
  <c r="G6" i="6"/>
  <c r="F6" i="6"/>
  <c r="E6" i="6"/>
  <c r="D6" i="6"/>
  <c r="C6" i="6"/>
  <c r="I5" i="6"/>
  <c r="H5" i="6"/>
  <c r="G5" i="6"/>
  <c r="F5" i="6"/>
  <c r="E5" i="6"/>
  <c r="D5" i="6"/>
  <c r="C5" i="6"/>
  <c r="I4" i="6"/>
  <c r="H4" i="6"/>
  <c r="G4" i="6"/>
  <c r="F4" i="6"/>
  <c r="E4" i="6"/>
  <c r="D4" i="6"/>
  <c r="C4" i="6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F7" i="1"/>
  <c r="E7" i="1"/>
  <c r="D7" i="1"/>
  <c r="C7" i="1"/>
  <c r="I6" i="1"/>
  <c r="H6" i="1"/>
  <c r="G6" i="1"/>
  <c r="F6" i="1"/>
  <c r="E6" i="1"/>
  <c r="D6" i="1"/>
  <c r="C6" i="1"/>
  <c r="I5" i="1"/>
  <c r="H5" i="1"/>
  <c r="G5" i="1"/>
  <c r="F5" i="1"/>
  <c r="E5" i="1"/>
  <c r="D5" i="1"/>
  <c r="C5" i="1"/>
  <c r="I4" i="1"/>
  <c r="H4" i="1"/>
  <c r="G4" i="1"/>
  <c r="F4" i="1"/>
  <c r="E4" i="1"/>
  <c r="D4" i="1"/>
  <c r="C4" i="1"/>
</calcChain>
</file>

<file path=xl/sharedStrings.xml><?xml version="1.0" encoding="utf-8"?>
<sst xmlns="http://schemas.openxmlformats.org/spreadsheetml/2006/main" count="555" uniqueCount="38">
  <si>
    <t>GEN</t>
  </si>
  <si>
    <t>PROGRAMMA SETTIMANALE</t>
  </si>
  <si>
    <t>LUN</t>
  </si>
  <si>
    <t>8:00</t>
  </si>
  <si>
    <t>Francese</t>
  </si>
  <si>
    <t>10:00</t>
  </si>
  <si>
    <t>Matematica</t>
  </si>
  <si>
    <t>14:00</t>
  </si>
  <si>
    <t>Inglese</t>
  </si>
  <si>
    <t>MAR</t>
  </si>
  <si>
    <t>9:00</t>
  </si>
  <si>
    <t>Storia dell'arte</t>
  </si>
  <si>
    <t>16:00</t>
  </si>
  <si>
    <t>Programmazione</t>
  </si>
  <si>
    <t>MER</t>
  </si>
  <si>
    <t>GIO</t>
  </si>
  <si>
    <t>VEN</t>
  </si>
  <si>
    <t>COMPITI ASSEGNATI</t>
  </si>
  <si>
    <t>Francese: consegna prima bozza ricerca</t>
  </si>
  <si>
    <t>Storia dell'arte: verifica</t>
  </si>
  <si>
    <t>&lt; Immettere l'anno del calendario nella cella N2.</t>
  </si>
  <si>
    <t>OTT</t>
  </si>
  <si>
    <t>NOV</t>
  </si>
  <si>
    <t>DIC</t>
  </si>
  <si>
    <t>FEB</t>
  </si>
  <si>
    <t>APR</t>
  </si>
  <si>
    <t>MAG</t>
  </si>
  <si>
    <t>GIU</t>
  </si>
  <si>
    <t>LUG</t>
  </si>
  <si>
    <t>AGO</t>
  </si>
  <si>
    <t>SET</t>
  </si>
  <si>
    <t>LU</t>
  </si>
  <si>
    <t>MA</t>
  </si>
  <si>
    <t>ME</t>
  </si>
  <si>
    <t>GI</t>
  </si>
  <si>
    <t>VE</t>
  </si>
  <si>
    <t>SA</t>
  </si>
  <si>
    <t>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</si>
</sst>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21" x14ac:knownFonts="1">
    <font>
      <sz val="10"/>
      <color theme="1"/>
      <name val="Arial"/>
      <family val="2"/>
      <scheme val="minor"/>
    </font>
    <font>
      <sz val="12"/>
      <color rgb="FF002060"/>
      <name val="Arial"/>
      <family val="2"/>
      <scheme val="minor"/>
    </font>
    <font>
      <sz val="8"/>
      <name val="Arial"/>
      <family val="2"/>
      <scheme val="minor"/>
    </font>
    <font>
      <sz val="12"/>
      <color theme="4"/>
      <name val="Arial"/>
      <family val="2"/>
      <scheme val="major"/>
    </font>
    <font>
      <sz val="10"/>
      <color theme="1"/>
      <name val="Arial"/>
      <family val="2"/>
      <scheme val="major"/>
    </font>
    <font>
      <b/>
      <sz val="12"/>
      <color theme="4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b/>
      <sz val="8.5"/>
      <color theme="1"/>
      <name val="Arial"/>
      <family val="2"/>
      <scheme val="minor"/>
    </font>
    <font>
      <sz val="8.5"/>
      <color theme="1"/>
      <name val="Arial"/>
      <family val="2"/>
      <scheme val="minor"/>
    </font>
    <font>
      <b/>
      <sz val="8.5"/>
      <color theme="1"/>
      <name val="Arial"/>
      <family val="2"/>
      <scheme val="major"/>
    </font>
    <font>
      <sz val="10"/>
      <color theme="1" tint="0.249977111117893"/>
      <name val="Arial"/>
      <family val="2"/>
      <scheme val="minor"/>
    </font>
    <font>
      <sz val="12"/>
      <color theme="1" tint="0.249977111117893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b/>
      <sz val="10"/>
      <color rgb="FF39B5D4"/>
      <name val="Arial"/>
      <family val="2"/>
      <scheme val="minor"/>
    </font>
    <font>
      <b/>
      <sz val="10"/>
      <color theme="4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theme="5"/>
      </bottom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/>
      <bottom style="thin">
        <color theme="4" tint="0.79998168889431442"/>
      </bottom>
      <diagonal/>
    </border>
    <border>
      <left/>
      <right/>
      <top style="thin">
        <color theme="5"/>
      </top>
      <bottom style="thin">
        <color theme="4" tint="0.79998168889431442"/>
      </bottom>
      <diagonal/>
    </border>
    <border>
      <left/>
      <right style="thin">
        <color theme="0"/>
      </right>
      <top/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/>
      <diagonal/>
    </border>
    <border>
      <left/>
      <right style="thin">
        <color theme="4" tint="0.79998168889431442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4" tint="0.79998168889431442"/>
      </left>
      <right style="thin">
        <color theme="0"/>
      </right>
      <top/>
      <bottom style="thin">
        <color theme="4" tint="0.79995117038483843"/>
      </bottom>
      <diagonal/>
    </border>
    <border>
      <left style="thin">
        <color theme="0"/>
      </left>
      <right/>
      <top/>
      <bottom style="thin">
        <color theme="4" tint="0.79995117038483843"/>
      </bottom>
      <diagonal/>
    </border>
    <border>
      <left/>
      <right style="thin">
        <color theme="0"/>
      </right>
      <top/>
      <bottom style="thin">
        <color theme="4" tint="0.79995117038483843"/>
      </bottom>
      <diagonal/>
    </border>
    <border>
      <left/>
      <right/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 style="thin">
        <color theme="4" tint="0.79995117038483843"/>
      </bottom>
      <diagonal/>
    </border>
    <border>
      <left/>
      <right style="thin">
        <color theme="4" tint="0.79992065187536243"/>
      </right>
      <top/>
      <bottom/>
      <diagonal/>
    </border>
    <border>
      <left/>
      <right/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98168889431442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5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4" tint="0.7999816888943144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4" tint="0.79992065187536243"/>
      </right>
      <top/>
      <bottom style="thin">
        <color theme="0"/>
      </bottom>
      <diagonal/>
    </border>
    <border>
      <left/>
      <right style="thin">
        <color theme="4" tint="0.79992065187536243"/>
      </right>
      <top style="thin">
        <color theme="0"/>
      </top>
      <bottom/>
      <diagonal/>
    </border>
    <border>
      <left style="thin">
        <color theme="4" tint="0.79992065187536243"/>
      </left>
      <right/>
      <top/>
      <bottom/>
      <diagonal/>
    </border>
    <border>
      <left style="thin">
        <color theme="4" tint="0.79992065187536243"/>
      </left>
      <right/>
      <top/>
      <bottom style="thin">
        <color theme="4" tint="0.79989013336588644"/>
      </bottom>
      <diagonal/>
    </border>
    <border>
      <left/>
      <right/>
      <top/>
      <bottom style="thin">
        <color theme="4" tint="0.79989013336588644"/>
      </bottom>
      <diagonal/>
    </border>
    <border>
      <left/>
      <right style="thin">
        <color theme="4" tint="0.79989013336588644"/>
      </right>
      <top/>
      <bottom style="thin">
        <color theme="4" tint="0.79989013336588644"/>
      </bottom>
      <diagonal/>
    </border>
    <border>
      <left style="thin">
        <color theme="4" tint="0.79992065187536243"/>
      </left>
      <right/>
      <top style="thin">
        <color theme="4" tint="0.79989013336588644"/>
      </top>
      <bottom/>
      <diagonal/>
    </border>
    <border>
      <left/>
      <right/>
      <top style="thin">
        <color theme="4" tint="0.79989013336588644"/>
      </top>
      <bottom/>
      <diagonal/>
    </border>
    <border>
      <left/>
      <right style="thin">
        <color theme="4" tint="0.79989013336588644"/>
      </right>
      <top style="thin">
        <color theme="4" tint="0.79989013336588644"/>
      </top>
      <bottom/>
      <diagonal/>
    </border>
    <border>
      <left style="thin">
        <color theme="4" tint="0.79992065187536243"/>
      </left>
      <right/>
      <top style="thin">
        <color theme="4" tint="0.79998168889431442"/>
      </top>
      <bottom/>
      <diagonal/>
    </border>
    <border>
      <left/>
      <right/>
      <top style="thin">
        <color theme="4" tint="0.79989013336588644"/>
      </top>
      <bottom style="thin">
        <color theme="5"/>
      </bottom>
      <diagonal/>
    </border>
    <border>
      <left/>
      <right style="thin">
        <color theme="4" tint="0.79995117038483843"/>
      </right>
      <top style="thin">
        <color theme="4" tint="0.79989013336588644"/>
      </top>
      <bottom style="thin">
        <color theme="5"/>
      </bottom>
      <diagonal/>
    </border>
    <border>
      <left style="thin">
        <color theme="4" tint="0.79998168889431442"/>
      </left>
      <right/>
      <top style="thin">
        <color theme="4" tint="0.79995117038483843"/>
      </top>
      <bottom/>
      <diagonal/>
    </border>
    <border>
      <left/>
      <right/>
      <top style="thin">
        <color theme="4" tint="0.79995117038483843"/>
      </top>
      <bottom/>
      <diagonal/>
    </border>
    <border>
      <left/>
      <right style="thin">
        <color theme="4" tint="0.79992065187536243"/>
      </right>
      <top style="thin">
        <color theme="4" tint="0.79995117038483843"/>
      </top>
      <bottom/>
      <diagonal/>
    </border>
    <border>
      <left style="thin">
        <color theme="4" tint="0.79998168889431442"/>
      </left>
      <right/>
      <top/>
      <bottom style="thin">
        <color theme="4" tint="0.79995117038483843"/>
      </bottom>
      <diagonal/>
    </border>
    <border>
      <left/>
      <right style="thin">
        <color theme="4" tint="0.79985961485641044"/>
      </right>
      <top style="thin">
        <color theme="4" tint="0.79985961485641044"/>
      </top>
      <bottom/>
      <diagonal/>
    </border>
    <border>
      <left/>
      <right style="thin">
        <color theme="4" tint="0.79985961485641044"/>
      </right>
      <top/>
      <bottom style="thin">
        <color theme="4" tint="0.7998901333658864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Protection="0">
      <alignment textRotation="90"/>
    </xf>
  </cellStyleXfs>
  <cellXfs count="81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left" indent="1"/>
    </xf>
    <xf numFmtId="0" fontId="0" fillId="0" borderId="8" xfId="0" applyFont="1" applyBorder="1"/>
    <xf numFmtId="0" fontId="0" fillId="0" borderId="15" xfId="0" applyFont="1" applyBorder="1"/>
    <xf numFmtId="0" fontId="10" fillId="3" borderId="20" xfId="0" applyFont="1" applyFill="1" applyBorder="1" applyAlignment="1">
      <alignment horizontal="left" vertical="top" indent="1"/>
    </xf>
    <xf numFmtId="0" fontId="10" fillId="3" borderId="10" xfId="0" applyFont="1" applyFill="1" applyBorder="1" applyAlignment="1">
      <alignment horizontal="left" vertical="top" indent="1"/>
    </xf>
    <xf numFmtId="49" fontId="9" fillId="3" borderId="7" xfId="0" applyNumberFormat="1" applyFont="1" applyFill="1" applyBorder="1" applyAlignment="1">
      <alignment horizontal="left" indent="1"/>
    </xf>
    <xf numFmtId="49" fontId="9" fillId="3" borderId="23" xfId="0" applyNumberFormat="1" applyFont="1" applyFill="1" applyBorder="1" applyAlignment="1">
      <alignment horizontal="left" inden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right" vertical="center" textRotation="90"/>
    </xf>
    <xf numFmtId="0" fontId="6" fillId="0" borderId="0" xfId="0" applyFont="1" applyBorder="1" applyAlignment="1">
      <alignment horizontal="right" vertical="center"/>
    </xf>
    <xf numFmtId="0" fontId="6" fillId="0" borderId="3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 textRotation="90"/>
    </xf>
    <xf numFmtId="164" fontId="1" fillId="0" borderId="13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0" fillId="0" borderId="39" xfId="0" applyFont="1" applyBorder="1"/>
    <xf numFmtId="0" fontId="0" fillId="0" borderId="40" xfId="0" applyFont="1" applyBorder="1"/>
    <xf numFmtId="164" fontId="15" fillId="0" borderId="13" xfId="0" applyNumberFormat="1" applyFont="1" applyFill="1" applyBorder="1" applyAlignment="1">
      <alignment horizontal="left" vertical="center" wrapText="1" indent="1"/>
    </xf>
    <xf numFmtId="0" fontId="0" fillId="0" borderId="14" xfId="0" applyFont="1" applyBorder="1"/>
    <xf numFmtId="0" fontId="19" fillId="0" borderId="0" xfId="0" applyFont="1" applyAlignment="1">
      <alignment vertical="center" wrapText="1"/>
    </xf>
    <xf numFmtId="0" fontId="17" fillId="0" borderId="6" xfId="2" applyFill="1" applyBorder="1" applyAlignment="1">
      <alignment vertical="top"/>
    </xf>
    <xf numFmtId="0" fontId="17" fillId="0" borderId="41" xfId="2" applyFill="1" applyBorder="1" applyAlignment="1">
      <alignment vertical="top"/>
    </xf>
    <xf numFmtId="0" fontId="17" fillId="0" borderId="6" xfId="2" applyFill="1" applyBorder="1" applyAlignment="1">
      <alignment vertical="center" textRotation="90"/>
    </xf>
    <xf numFmtId="0" fontId="17" fillId="0" borderId="41" xfId="2" applyFill="1" applyBorder="1" applyAlignment="1">
      <alignment vertical="center" textRotation="90"/>
    </xf>
    <xf numFmtId="0" fontId="0" fillId="0" borderId="38" xfId="0" applyFont="1" applyBorder="1"/>
    <xf numFmtId="0" fontId="7" fillId="0" borderId="35" xfId="5" applyBorder="1" applyAlignment="1">
      <alignment vertical="top"/>
    </xf>
    <xf numFmtId="0" fontId="7" fillId="0" borderId="28" xfId="5" applyBorder="1" applyAlignment="1">
      <alignment vertical="top"/>
    </xf>
    <xf numFmtId="0" fontId="12" fillId="0" borderId="2" xfId="0" applyFont="1" applyBorder="1" applyAlignment="1">
      <alignment horizontal="left"/>
    </xf>
    <xf numFmtId="0" fontId="12" fillId="0" borderId="1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0" fontId="12" fillId="0" borderId="16" xfId="0" applyFont="1" applyBorder="1" applyAlignment="1">
      <alignment horizontal="left"/>
    </xf>
    <xf numFmtId="0" fontId="12" fillId="0" borderId="18" xfId="0" applyFont="1" applyBorder="1" applyAlignment="1">
      <alignment horizontal="left"/>
    </xf>
    <xf numFmtId="0" fontId="8" fillId="2" borderId="9" xfId="0" applyFont="1" applyFill="1" applyBorder="1" applyAlignment="1">
      <alignment horizontal="left" indent="1"/>
    </xf>
    <xf numFmtId="0" fontId="8" fillId="2" borderId="15" xfId="0" applyFont="1" applyFill="1" applyBorder="1" applyAlignment="1">
      <alignment horizontal="left" indent="1"/>
    </xf>
    <xf numFmtId="0" fontId="8" fillId="2" borderId="5" xfId="0" applyFont="1" applyFill="1" applyBorder="1" applyAlignment="1">
      <alignment horizontal="left" indent="1"/>
    </xf>
    <xf numFmtId="0" fontId="16" fillId="0" borderId="32" xfId="3" applyBorder="1" applyAlignment="1">
      <alignment horizontal="left" vertical="center"/>
    </xf>
    <xf numFmtId="0" fontId="16" fillId="0" borderId="33" xfId="3" applyBorder="1" applyAlignment="1">
      <alignment horizontal="left" vertical="center"/>
    </xf>
    <xf numFmtId="0" fontId="16" fillId="0" borderId="29" xfId="3" applyBorder="1" applyAlignment="1">
      <alignment horizontal="left" vertical="center"/>
    </xf>
    <xf numFmtId="0" fontId="16" fillId="0" borderId="30" xfId="3" applyBorder="1" applyAlignment="1">
      <alignment horizontal="left" vertical="center"/>
    </xf>
    <xf numFmtId="0" fontId="7" fillId="0" borderId="32" xfId="5" applyBorder="1" applyAlignment="1">
      <alignment vertical="top"/>
    </xf>
    <xf numFmtId="0" fontId="12" fillId="0" borderId="36" xfId="0" applyFont="1" applyBorder="1" applyAlignment="1">
      <alignment horizontal="left"/>
    </xf>
    <xf numFmtId="0" fontId="12" fillId="0" borderId="37" xfId="0" applyFont="1" applyBorder="1" applyAlignment="1">
      <alignment horizontal="left"/>
    </xf>
    <xf numFmtId="0" fontId="16" fillId="0" borderId="34" xfId="3" applyFill="1" applyBorder="1" applyAlignment="1">
      <alignment horizontal="center" vertical="center"/>
    </xf>
    <xf numFmtId="0" fontId="16" fillId="0" borderId="31" xfId="3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 vertical="top" indent="1"/>
    </xf>
    <xf numFmtId="0" fontId="10" fillId="3" borderId="22" xfId="0" applyFont="1" applyFill="1" applyBorder="1" applyAlignment="1">
      <alignment horizontal="left" vertical="top" indent="1"/>
    </xf>
    <xf numFmtId="49" fontId="9" fillId="3" borderId="9" xfId="0" applyNumberFormat="1" applyFont="1" applyFill="1" applyBorder="1" applyAlignment="1">
      <alignment horizontal="left" indent="1"/>
    </xf>
    <xf numFmtId="49" fontId="9" fillId="3" borderId="5" xfId="0" applyNumberFormat="1" applyFont="1" applyFill="1" applyBorder="1" applyAlignment="1">
      <alignment horizontal="left" indent="1"/>
    </xf>
    <xf numFmtId="49" fontId="9" fillId="3" borderId="24" xfId="0" applyNumberFormat="1" applyFont="1" applyFill="1" applyBorder="1" applyAlignment="1">
      <alignment horizontal="left" indent="1"/>
    </xf>
    <xf numFmtId="49" fontId="9" fillId="3" borderId="25" xfId="0" applyNumberFormat="1" applyFont="1" applyFill="1" applyBorder="1" applyAlignment="1">
      <alignment horizontal="left" indent="1"/>
    </xf>
    <xf numFmtId="0" fontId="10" fillId="3" borderId="11" xfId="0" applyFont="1" applyFill="1" applyBorder="1" applyAlignment="1">
      <alignment horizontal="left" vertical="top" indent="1"/>
    </xf>
    <xf numFmtId="0" fontId="10" fillId="3" borderId="12" xfId="0" applyFont="1" applyFill="1" applyBorder="1" applyAlignment="1">
      <alignment horizontal="left" vertical="top" indent="1"/>
    </xf>
    <xf numFmtId="164" fontId="10" fillId="3" borderId="21" xfId="0" applyNumberFormat="1" applyFont="1" applyFill="1" applyBorder="1" applyAlignment="1">
      <alignment horizontal="left" vertical="top" indent="1"/>
    </xf>
    <xf numFmtId="164" fontId="10" fillId="3" borderId="26" xfId="0" applyNumberFormat="1" applyFont="1" applyFill="1" applyBorder="1" applyAlignment="1">
      <alignment horizontal="left" vertical="top" indent="1"/>
    </xf>
    <xf numFmtId="49" fontId="9" fillId="3" borderId="27" xfId="0" applyNumberFormat="1" applyFont="1" applyFill="1" applyBorder="1" applyAlignment="1">
      <alignment horizontal="left" indent="1"/>
    </xf>
    <xf numFmtId="49" fontId="9" fillId="3" borderId="15" xfId="0" applyNumberFormat="1" applyFont="1" applyFill="1" applyBorder="1" applyAlignment="1">
      <alignment horizontal="left" indent="1"/>
    </xf>
    <xf numFmtId="49" fontId="9" fillId="3" borderId="9" xfId="0" applyNumberFormat="1" applyFont="1" applyFill="1" applyBorder="1" applyAlignment="1">
      <alignment horizontal="left" vertical="center" indent="1"/>
    </xf>
    <xf numFmtId="49" fontId="9" fillId="3" borderId="15" xfId="0" applyNumberFormat="1" applyFont="1" applyFill="1" applyBorder="1" applyAlignment="1">
      <alignment horizontal="left" vertical="center" indent="1"/>
    </xf>
    <xf numFmtId="0" fontId="11" fillId="3" borderId="21" xfId="0" applyFont="1" applyFill="1" applyBorder="1" applyAlignment="1">
      <alignment horizontal="left" vertical="top" indent="1"/>
    </xf>
    <xf numFmtId="0" fontId="11" fillId="3" borderId="26" xfId="0" applyFont="1" applyFill="1" applyBorder="1" applyAlignment="1">
      <alignment horizontal="left" vertical="top" indent="1"/>
    </xf>
    <xf numFmtId="0" fontId="10" fillId="3" borderId="26" xfId="0" applyFont="1" applyFill="1" applyBorder="1" applyAlignment="1">
      <alignment horizontal="left" vertical="top" indent="1"/>
    </xf>
    <xf numFmtId="0" fontId="17" fillId="0" borderId="6" xfId="2" applyFill="1" applyBorder="1" applyAlignment="1">
      <alignment vertical="top"/>
    </xf>
    <xf numFmtId="0" fontId="20" fillId="0" borderId="0" xfId="0" applyFont="1" applyAlignment="1">
      <alignment vertical="center" wrapText="1"/>
    </xf>
    <xf numFmtId="0" fontId="7" fillId="0" borderId="6" xfId="4" applyBorder="1" applyAlignment="1">
      <alignment horizontal="left" vertical="center"/>
    </xf>
    <xf numFmtId="0" fontId="7" fillId="0" borderId="0" xfId="4" applyAlignment="1">
      <alignment horizontal="left" vertical="center"/>
    </xf>
    <xf numFmtId="0" fontId="7" fillId="0" borderId="15" xfId="4" applyBorder="1" applyAlignment="1">
      <alignment horizontal="left" vertical="center"/>
    </xf>
    <xf numFmtId="164" fontId="13" fillId="0" borderId="4" xfId="0" applyNumberFormat="1" applyFont="1" applyFill="1" applyBorder="1" applyAlignment="1">
      <alignment horizontal="left"/>
    </xf>
    <xf numFmtId="164" fontId="13" fillId="0" borderId="19" xfId="0" applyNumberFormat="1" applyFont="1" applyFill="1" applyBorder="1" applyAlignment="1">
      <alignment horizontal="left"/>
    </xf>
    <xf numFmtId="49" fontId="11" fillId="3" borderId="9" xfId="0" applyNumberFormat="1" applyFont="1" applyFill="1" applyBorder="1" applyAlignment="1">
      <alignment horizontal="left" indent="1"/>
    </xf>
    <xf numFmtId="49" fontId="11" fillId="3" borderId="15" xfId="0" applyNumberFormat="1" applyFont="1" applyFill="1" applyBorder="1" applyAlignment="1">
      <alignment horizontal="left" indent="1"/>
    </xf>
    <xf numFmtId="164" fontId="10" fillId="3" borderId="11" xfId="0" applyNumberFormat="1" applyFont="1" applyFill="1" applyBorder="1" applyAlignment="1">
      <alignment horizontal="left" vertical="top" indent="1"/>
    </xf>
    <xf numFmtId="164" fontId="10" fillId="3" borderId="14" xfId="0" applyNumberFormat="1" applyFont="1" applyFill="1" applyBorder="1" applyAlignment="1">
      <alignment horizontal="left" vertical="top" indent="1"/>
    </xf>
    <xf numFmtId="0" fontId="16" fillId="0" borderId="42" xfId="3" applyBorder="1" applyAlignment="1">
      <alignment horizontal="center" vertical="center"/>
    </xf>
    <xf numFmtId="0" fontId="16" fillId="0" borderId="43" xfId="3" applyBorder="1" applyAlignment="1">
      <alignment horizontal="center" vertical="center"/>
    </xf>
  </cellXfs>
  <cellStyles count="6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Title" xfId="1" builtinId="15" customBuiltin="1"/>
  </cellStyles>
  <dxfs count="59"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ill>
        <patternFill>
          <bgColor theme="4" tint="0.79998168889431442"/>
        </patternFill>
      </fill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StileTabellaLight7 2" pivot="0" count="7">
      <tableStyleElement type="wholeTable" dxfId="58"/>
      <tableStyleElement type="headerRow" dxfId="57"/>
      <tableStyleElement type="totalRow" dxfId="56"/>
      <tableStyleElement type="firstColumn" dxfId="55"/>
      <tableStyleElement type="lastColumn" dxfId="54"/>
      <tableStyleElement type="firstRowStripe" dxfId="53"/>
      <tableStyleElement type="firstColumnStripe" dxfId="52"/>
    </tableStyle>
    <tableStyle name="StileTabellaLight9 2" pivot="0" count="4">
      <tableStyleElement type="wholeTable" dxfId="51"/>
      <tableStyleElement type="headerRow" dxfId="50"/>
      <tableStyleElement type="totalRow" dxfId="49"/>
      <tableStyleElement type="firstColumn" dxfId="4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fitToPage="1"/>
  </sheetPr>
  <dimension ref="A1:P33"/>
  <sheetViews>
    <sheetView showGridLines="0" tabSelected="1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" width="48.7109375" customWidth="1"/>
    <col min="17" max="16384" width="8.7109375" style="1"/>
  </cols>
  <sheetData>
    <row r="1" spans="1:16" ht="11.25" customHeight="1" x14ac:dyDescent="0.2"/>
    <row r="2" spans="1:16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49">
        <v>2016</v>
      </c>
      <c r="P2" s="69" t="s">
        <v>20</v>
      </c>
    </row>
    <row r="3" spans="1:16" ht="21" customHeight="1" x14ac:dyDescent="0.2">
      <c r="A3" s="4"/>
      <c r="B3" s="68" t="s">
        <v>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50"/>
      <c r="P3" s="69"/>
    </row>
    <row r="4" spans="1:16" ht="18" customHeight="1" x14ac:dyDescent="0.2">
      <c r="A4" s="4"/>
      <c r="B4" s="68"/>
      <c r="C4" s="10">
        <f>IF(DAY(GenDom1)=1,GenDom1-6,GenDom1+1)</f>
        <v>42366</v>
      </c>
      <c r="D4" s="10">
        <f>IF(DAY(GenDom1)=1,GenDom1-5,GenDom1+2)</f>
        <v>42367</v>
      </c>
      <c r="E4" s="10">
        <f>IF(DAY(GenDom1)=1,GenDom1-4,GenDom1+3)</f>
        <v>42368</v>
      </c>
      <c r="F4" s="10">
        <f>IF(DAY(GenDom1)=1,GenDom1-3,GenDom1+4)</f>
        <v>42369</v>
      </c>
      <c r="G4" s="10">
        <f>IF(DAY(GenDom1)=1,GenDom1-2,GenDom1+5)</f>
        <v>42370</v>
      </c>
      <c r="H4" s="10">
        <f>IF(DAY(GenDom1)=1,GenDom1-1,GenDom1+6)</f>
        <v>42371</v>
      </c>
      <c r="I4" s="10">
        <f>IF(DAY(GenDom1)=1,GenDom1,GenDom1+7)</f>
        <v>42372</v>
      </c>
      <c r="J4" s="5"/>
      <c r="K4" s="46" t="s">
        <v>2</v>
      </c>
      <c r="L4" s="16">
        <v>5</v>
      </c>
      <c r="M4" s="47" t="s">
        <v>18</v>
      </c>
      <c r="N4" s="48"/>
      <c r="P4" s="25"/>
    </row>
    <row r="5" spans="1:16" ht="18" customHeight="1" x14ac:dyDescent="0.2">
      <c r="A5" s="4"/>
      <c r="B5" s="26"/>
      <c r="C5" s="10">
        <f>IF(DAY(GenDom1)=1,GenDom1+1,GenDom1+8)</f>
        <v>42373</v>
      </c>
      <c r="D5" s="10">
        <f>IF(DAY(GenDom1)=1,GenDom1+2,GenDom1+9)</f>
        <v>42374</v>
      </c>
      <c r="E5" s="10">
        <f>IF(DAY(GenDom1)=1,GenDom1+3,GenDom1+10)</f>
        <v>42375</v>
      </c>
      <c r="F5" s="10">
        <f>IF(DAY(GenDom1)=1,GenDom1+4,GenDom1+11)</f>
        <v>42376</v>
      </c>
      <c r="G5" s="10">
        <f>IF(DAY(GenDom1)=1,GenDom1+5,GenDom1+12)</f>
        <v>42377</v>
      </c>
      <c r="H5" s="10">
        <f>IF(DAY(GenDom1)=1,GenDom1+6,GenDom1+13)</f>
        <v>42378</v>
      </c>
      <c r="I5" s="10">
        <f>IF(DAY(GenDom1)=1,GenDom1+7,GenDom1+14)</f>
        <v>42379</v>
      </c>
      <c r="J5" s="5"/>
      <c r="K5" s="32"/>
      <c r="L5" s="17"/>
      <c r="M5" s="33"/>
      <c r="N5" s="34"/>
      <c r="P5" s="25"/>
    </row>
    <row r="6" spans="1:16" ht="18" customHeight="1" x14ac:dyDescent="0.2">
      <c r="A6" s="4"/>
      <c r="B6" s="26"/>
      <c r="C6" s="10">
        <f>IF(DAY(GenDom1)=1,GenDom1+8,GenDom1+15)</f>
        <v>42380</v>
      </c>
      <c r="D6" s="10">
        <f>IF(DAY(GenDom1)=1,GenDom1+9,GenDom1+16)</f>
        <v>42381</v>
      </c>
      <c r="E6" s="10">
        <f>IF(DAY(GenDom1)=1,GenDom1+10,GenDom1+17)</f>
        <v>42382</v>
      </c>
      <c r="F6" s="10">
        <f>IF(DAY(GenDom1)=1,GenDom1+11,GenDom1+18)</f>
        <v>42383</v>
      </c>
      <c r="G6" s="10">
        <f>IF(DAY(GenDom1)=1,GenDom1+12,GenDom1+19)</f>
        <v>42384</v>
      </c>
      <c r="H6" s="10">
        <f>IF(DAY(GenDom1)=1,GenDom1+13,GenDom1+20)</f>
        <v>42385</v>
      </c>
      <c r="I6" s="10">
        <f>IF(DAY(GenDom1)=1,GenDom1+14,GenDom1+21)</f>
        <v>42386</v>
      </c>
      <c r="J6" s="5"/>
      <c r="K6" s="32"/>
      <c r="L6" s="17"/>
      <c r="M6" s="33"/>
      <c r="N6" s="34"/>
    </row>
    <row r="7" spans="1:16" ht="18" customHeight="1" x14ac:dyDescent="0.2">
      <c r="A7" s="4"/>
      <c r="B7" s="26"/>
      <c r="C7" s="10">
        <f>IF(DAY(GenDom1)=1,GenDom1+15,GenDom1+22)</f>
        <v>42387</v>
      </c>
      <c r="D7" s="10">
        <f>IF(DAY(GenDom1)=1,GenDom1+16,GenDom1+23)</f>
        <v>42388</v>
      </c>
      <c r="E7" s="10">
        <f>IF(DAY(GenDom1)=1,GenDom1+17,GenDom1+24)</f>
        <v>42389</v>
      </c>
      <c r="F7" s="10">
        <f>IF(DAY(GenDom1)=1,GenDom1+18,GenDom1+25)</f>
        <v>42390</v>
      </c>
      <c r="G7" s="10">
        <f>IF(DAY(GenDom1)=1,GenDom1+19,GenDom1+26)</f>
        <v>42391</v>
      </c>
      <c r="H7" s="10">
        <f>IF(DAY(GenDom1)=1,GenDom1+20,GenDom1+27)</f>
        <v>42392</v>
      </c>
      <c r="I7" s="10">
        <f>IF(DAY(GenDom1)=1,GenDom1+21,GenDom1+28)</f>
        <v>42393</v>
      </c>
      <c r="J7" s="5"/>
      <c r="K7" s="11"/>
      <c r="L7" s="17"/>
      <c r="M7" s="33"/>
      <c r="N7" s="34"/>
    </row>
    <row r="8" spans="1:16" ht="18.75" customHeight="1" x14ac:dyDescent="0.2">
      <c r="A8" s="4"/>
      <c r="B8" s="26"/>
      <c r="C8" s="10">
        <f>IF(DAY(GenDom1)=1,GenDom1+22,GenDom1+29)</f>
        <v>42394</v>
      </c>
      <c r="D8" s="10">
        <f>IF(DAY(GenDom1)=1,GenDom1+23,GenDom1+30)</f>
        <v>42395</v>
      </c>
      <c r="E8" s="10">
        <f>IF(DAY(GenDom1)=1,GenDom1+24,GenDom1+31)</f>
        <v>42396</v>
      </c>
      <c r="F8" s="10">
        <f>IF(DAY(GenDom1)=1,GenDom1+25,GenDom1+32)</f>
        <v>42397</v>
      </c>
      <c r="G8" s="10">
        <f>IF(DAY(GenDom1)=1,GenDom1+26,GenDom1+33)</f>
        <v>42398</v>
      </c>
      <c r="H8" s="10">
        <f>IF(DAY(GenDom1)=1,GenDom1+27,GenDom1+34)</f>
        <v>42399</v>
      </c>
      <c r="I8" s="10">
        <f>IF(DAY(GenDom1)=1,GenDom1+28,GenDom1+35)</f>
        <v>42400</v>
      </c>
      <c r="J8" s="5"/>
      <c r="K8" s="11"/>
      <c r="L8" s="17"/>
      <c r="M8" s="33"/>
      <c r="N8" s="34"/>
    </row>
    <row r="9" spans="1:16" ht="18" customHeight="1" x14ac:dyDescent="0.2">
      <c r="A9" s="4"/>
      <c r="B9" s="26"/>
      <c r="C9" s="10">
        <f>IF(DAY(GenDom1)=1,GenDom1+29,GenDom1+36)</f>
        <v>42401</v>
      </c>
      <c r="D9" s="10">
        <f>IF(DAY(GenDom1)=1,GenDom1+30,GenDom1+37)</f>
        <v>42402</v>
      </c>
      <c r="E9" s="10">
        <f>IF(DAY(GenDom1)=1,GenDom1+31,GenDom1+38)</f>
        <v>42403</v>
      </c>
      <c r="F9" s="10">
        <f>IF(DAY(GenDom1)=1,GenDom1+32,GenDom1+39)</f>
        <v>42404</v>
      </c>
      <c r="G9" s="10">
        <f>IF(DAY(GenDom1)=1,GenDom1+33,GenDom1+40)</f>
        <v>42405</v>
      </c>
      <c r="H9" s="10">
        <f>IF(DAY(GenDom1)=1,GenDom1+34,GenDom1+41)</f>
        <v>42406</v>
      </c>
      <c r="I9" s="10">
        <f>IF(DAY(GenDom1)=1,GenDom1+35,GenDom1+42)</f>
        <v>42407</v>
      </c>
      <c r="J9" s="5"/>
      <c r="K9" s="12"/>
      <c r="L9" s="18"/>
      <c r="M9" s="35"/>
      <c r="N9" s="36"/>
    </row>
    <row r="10" spans="1:16" ht="18" customHeight="1" x14ac:dyDescent="0.2">
      <c r="A10" s="4"/>
      <c r="B10" s="27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>
        <v>20</v>
      </c>
      <c r="M10" s="37" t="s">
        <v>19</v>
      </c>
      <c r="N10" s="38"/>
    </row>
    <row r="11" spans="1:16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6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6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6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6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6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4">
    <mergeCell ref="B3:B4"/>
    <mergeCell ref="P2:P3"/>
    <mergeCell ref="B11:J12"/>
    <mergeCell ref="M31:N31"/>
    <mergeCell ref="M32:N32"/>
    <mergeCell ref="M33:N33"/>
    <mergeCell ref="M26:N26"/>
    <mergeCell ref="M27:N27"/>
    <mergeCell ref="M28:N28"/>
    <mergeCell ref="M29:N29"/>
    <mergeCell ref="M30:N30"/>
    <mergeCell ref="M21:N21"/>
    <mergeCell ref="M22:N22"/>
    <mergeCell ref="M23:N23"/>
    <mergeCell ref="M24:N24"/>
    <mergeCell ref="M25:N25"/>
    <mergeCell ref="G30:H30"/>
    <mergeCell ref="G31:H31"/>
    <mergeCell ref="G32:H32"/>
    <mergeCell ref="G33:H33"/>
    <mergeCell ref="I30:J30"/>
    <mergeCell ref="I31:J31"/>
    <mergeCell ref="I32:J32"/>
    <mergeCell ref="I33:J33"/>
    <mergeCell ref="I25:J25"/>
    <mergeCell ref="I26:J26"/>
    <mergeCell ref="I27:J27"/>
    <mergeCell ref="I28:J28"/>
    <mergeCell ref="I29:J29"/>
    <mergeCell ref="G25:H25"/>
    <mergeCell ref="G26:H26"/>
    <mergeCell ref="G27:H27"/>
    <mergeCell ref="G28:H28"/>
    <mergeCell ref="G29:H29"/>
    <mergeCell ref="I22:J22"/>
    <mergeCell ref="I23:J23"/>
    <mergeCell ref="G22:H22"/>
    <mergeCell ref="G23:H23"/>
    <mergeCell ref="G24:H24"/>
    <mergeCell ref="I24:J24"/>
    <mergeCell ref="G20:H20"/>
    <mergeCell ref="G21:H21"/>
    <mergeCell ref="I19:J19"/>
    <mergeCell ref="I20:J20"/>
    <mergeCell ref="I21:J21"/>
    <mergeCell ref="G17:H17"/>
    <mergeCell ref="I17:J17"/>
    <mergeCell ref="G18:H18"/>
    <mergeCell ref="I18:J18"/>
    <mergeCell ref="G19:H19"/>
    <mergeCell ref="G14:H14"/>
    <mergeCell ref="I14:J14"/>
    <mergeCell ref="G15:H15"/>
    <mergeCell ref="I15:J15"/>
    <mergeCell ref="G16:H16"/>
    <mergeCell ref="I16:J16"/>
    <mergeCell ref="E18:F18"/>
    <mergeCell ref="E17:F17"/>
    <mergeCell ref="E16:F16"/>
    <mergeCell ref="E15:F15"/>
    <mergeCell ref="E14:F14"/>
    <mergeCell ref="E23:F23"/>
    <mergeCell ref="E22:F22"/>
    <mergeCell ref="E21:F21"/>
    <mergeCell ref="E20:F20"/>
    <mergeCell ref="E19:F19"/>
    <mergeCell ref="E28:F28"/>
    <mergeCell ref="E27:F27"/>
    <mergeCell ref="E26:F26"/>
    <mergeCell ref="E25:F25"/>
    <mergeCell ref="E24:F24"/>
    <mergeCell ref="E33:F33"/>
    <mergeCell ref="E32:F32"/>
    <mergeCell ref="E31:F31"/>
    <mergeCell ref="E30:F30"/>
    <mergeCell ref="E29:F29"/>
    <mergeCell ref="C16:D16"/>
    <mergeCell ref="C17:D17"/>
    <mergeCell ref="C18:D18"/>
    <mergeCell ref="C29:D29"/>
    <mergeCell ref="C30:D30"/>
    <mergeCell ref="C31:D31"/>
    <mergeCell ref="C32:D32"/>
    <mergeCell ref="C33:D33"/>
    <mergeCell ref="C24:D24"/>
    <mergeCell ref="C25:D25"/>
    <mergeCell ref="C26:D26"/>
    <mergeCell ref="C27:D27"/>
    <mergeCell ref="C28:D28"/>
    <mergeCell ref="K28:K30"/>
    <mergeCell ref="I13:J13"/>
    <mergeCell ref="G13:H13"/>
    <mergeCell ref="E13:F13"/>
    <mergeCell ref="C13:D13"/>
    <mergeCell ref="K2:M3"/>
    <mergeCell ref="K10:K12"/>
    <mergeCell ref="K4:K6"/>
    <mergeCell ref="M4:N4"/>
    <mergeCell ref="M5:N5"/>
    <mergeCell ref="M6:N6"/>
    <mergeCell ref="M7:N7"/>
    <mergeCell ref="M8:N8"/>
    <mergeCell ref="M9:N9"/>
    <mergeCell ref="M10:N10"/>
    <mergeCell ref="M11:N11"/>
    <mergeCell ref="N2:N3"/>
    <mergeCell ref="C19:D19"/>
    <mergeCell ref="C20:D20"/>
    <mergeCell ref="C21:D21"/>
    <mergeCell ref="C22:D22"/>
    <mergeCell ref="C23:D23"/>
    <mergeCell ref="C14:D14"/>
    <mergeCell ref="C15:D15"/>
    <mergeCell ref="K16:K18"/>
    <mergeCell ref="K22:K25"/>
    <mergeCell ref="M12:N12"/>
    <mergeCell ref="M13:N13"/>
    <mergeCell ref="M14:N14"/>
    <mergeCell ref="M15:N15"/>
    <mergeCell ref="M16:N16"/>
    <mergeCell ref="M17:N17"/>
    <mergeCell ref="M18:N18"/>
    <mergeCell ref="M19:N19"/>
    <mergeCell ref="M20:N20"/>
  </mergeCells>
  <phoneticPr fontId="2" type="noConversion"/>
  <conditionalFormatting sqref="C4:H4">
    <cfRule type="expression" dxfId="47" priority="4" stopIfTrue="1">
      <formula>DAY(C4)&gt;8</formula>
    </cfRule>
  </conditionalFormatting>
  <conditionalFormatting sqref="C8:I10">
    <cfRule type="expression" dxfId="46" priority="3" stopIfTrue="1">
      <formula>AND(DAY(C8)&gt;=1,DAY(C8)&lt;=15)</formula>
    </cfRule>
  </conditionalFormatting>
  <conditionalFormatting sqref="C4:I9">
    <cfRule type="expression" dxfId="45" priority="15">
      <formula>VLOOKUP(DAY(C4),GiorniAssegno,1,FALSE)=DAY(C4)</formula>
    </cfRule>
  </conditionalFormatting>
  <conditionalFormatting sqref="B14:J33">
    <cfRule type="expression" dxfId="44" priority="1">
      <formula>B14&lt;&gt;""</formula>
    </cfRule>
  </conditionalFormatting>
  <dataValidations count="1">
    <dataValidation allowBlank="1" showInputMessage="1" showErrorMessage="1" errorTitle="Invalid Year" error="Enter a year from 1900 to 9999, or use the scroll bar to find a year." sqref="N2"/>
  </dataValidations>
  <printOptions horizontalCentered="1" verticalCentered="1"/>
  <pageMargins left="0.5" right="0.5" top="0.5" bottom="0.5" header="0.3" footer="0.3"/>
  <pageSetup paperSize="9" scale="91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21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IF(DAY(OttDom1)=1,OttDom1-6,OttDom1+1)</f>
        <v>42639</v>
      </c>
      <c r="D4" s="10">
        <f>IF(DAY(OttDom1)=1,OttDom1-5,OttDom1+2)</f>
        <v>42640</v>
      </c>
      <c r="E4" s="10">
        <f>IF(DAY(OttDom1)=1,OttDom1-4,OttDom1+3)</f>
        <v>42641</v>
      </c>
      <c r="F4" s="10">
        <f>IF(DAY(OttDom1)=1,OttDom1-3,OttDom1+4)</f>
        <v>42642</v>
      </c>
      <c r="G4" s="10">
        <f>IF(DAY(OttDom1)=1,OttDom1-2,OttDom1+5)</f>
        <v>42643</v>
      </c>
      <c r="H4" s="10">
        <f>IF(DAY(OttDom1)=1,OttDom1-1,OttDom1+6)</f>
        <v>42644</v>
      </c>
      <c r="I4" s="10">
        <f>IF(DAY(OttDom1)=1,OttDom1,OttDom1+7)</f>
        <v>42645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IF(DAY(OttDom1)=1,OttDom1+1,OttDom1+8)</f>
        <v>42646</v>
      </c>
      <c r="D5" s="10">
        <f>IF(DAY(OttDom1)=1,OttDom1+2,OttDom1+9)</f>
        <v>42647</v>
      </c>
      <c r="E5" s="10">
        <f>IF(DAY(OttDom1)=1,OttDom1+3,OttDom1+10)</f>
        <v>42648</v>
      </c>
      <c r="F5" s="10">
        <f>IF(DAY(OttDom1)=1,OttDom1+4,OttDom1+11)</f>
        <v>42649</v>
      </c>
      <c r="G5" s="10">
        <f>IF(DAY(OttDom1)=1,OttDom1+5,OttDom1+12)</f>
        <v>42650</v>
      </c>
      <c r="H5" s="10">
        <f>IF(DAY(OttDom1)=1,OttDom1+6,OttDom1+13)</f>
        <v>42651</v>
      </c>
      <c r="I5" s="10">
        <f>IF(DAY(OttDom1)=1,OttDom1+7,OttDom1+14)</f>
        <v>42652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IF(DAY(OttDom1)=1,OttDom1+8,OttDom1+15)</f>
        <v>42653</v>
      </c>
      <c r="D6" s="10">
        <f>IF(DAY(OttDom1)=1,OttDom1+9,OttDom1+16)</f>
        <v>42654</v>
      </c>
      <c r="E6" s="10">
        <f>IF(DAY(OttDom1)=1,OttDom1+10,OttDom1+17)</f>
        <v>42655</v>
      </c>
      <c r="F6" s="10">
        <f>IF(DAY(OttDom1)=1,OttDom1+11,OttDom1+18)</f>
        <v>42656</v>
      </c>
      <c r="G6" s="10">
        <f>IF(DAY(OttDom1)=1,OttDom1+12,OttDom1+19)</f>
        <v>42657</v>
      </c>
      <c r="H6" s="10">
        <f>IF(DAY(OttDom1)=1,OttDom1+13,OttDom1+20)</f>
        <v>42658</v>
      </c>
      <c r="I6" s="10">
        <f>IF(DAY(OttDom1)=1,OttDom1+14,OttDom1+21)</f>
        <v>42659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IF(DAY(OttDom1)=1,OttDom1+15,OttDom1+22)</f>
        <v>42660</v>
      </c>
      <c r="D7" s="10">
        <f>IF(DAY(OttDom1)=1,OttDom1+16,OttDom1+23)</f>
        <v>42661</v>
      </c>
      <c r="E7" s="10">
        <f>IF(DAY(OttDom1)=1,OttDom1+17,OttDom1+24)</f>
        <v>42662</v>
      </c>
      <c r="F7" s="10">
        <f>IF(DAY(OttDom1)=1,OttDom1+18,OttDom1+25)</f>
        <v>42663</v>
      </c>
      <c r="G7" s="10">
        <f>IF(DAY(OttDom1)=1,OttDom1+19,OttDom1+26)</f>
        <v>42664</v>
      </c>
      <c r="H7" s="10">
        <f>IF(DAY(OttDom1)=1,OttDom1+20,OttDom1+27)</f>
        <v>42665</v>
      </c>
      <c r="I7" s="10">
        <f>IF(DAY(OttDom1)=1,OttDom1+21,OttDom1+28)</f>
        <v>42666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IF(DAY(OttDom1)=1,OttDom1+22,OttDom1+29)</f>
        <v>42667</v>
      </c>
      <c r="D8" s="10">
        <f>IF(DAY(OttDom1)=1,OttDom1+23,OttDom1+30)</f>
        <v>42668</v>
      </c>
      <c r="E8" s="10">
        <f>IF(DAY(OttDom1)=1,OttDom1+24,OttDom1+31)</f>
        <v>42669</v>
      </c>
      <c r="F8" s="10">
        <f>IF(DAY(OttDom1)=1,OttDom1+25,OttDom1+32)</f>
        <v>42670</v>
      </c>
      <c r="G8" s="10">
        <f>IF(DAY(OttDom1)=1,OttDom1+26,OttDom1+33)</f>
        <v>42671</v>
      </c>
      <c r="H8" s="10">
        <f>IF(DAY(OttDom1)=1,OttDom1+27,OttDom1+34)</f>
        <v>42672</v>
      </c>
      <c r="I8" s="10">
        <f>IF(DAY(OttDom1)=1,OttDom1+28,OttDom1+35)</f>
        <v>42673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IF(DAY(OttDom1)=1,OttDom1+29,OttDom1+36)</f>
        <v>42674</v>
      </c>
      <c r="D9" s="10">
        <f>IF(DAY(OttDom1)=1,OttDom1+30,OttDom1+37)</f>
        <v>42675</v>
      </c>
      <c r="E9" s="10">
        <f>IF(DAY(OttDom1)=1,OttDom1+31,OttDom1+38)</f>
        <v>42676</v>
      </c>
      <c r="F9" s="10">
        <f>IF(DAY(OttDom1)=1,OttDom1+32,OttDom1+39)</f>
        <v>42677</v>
      </c>
      <c r="G9" s="10">
        <f>IF(DAY(OttDom1)=1,OttDom1+33,OttDom1+40)</f>
        <v>42678</v>
      </c>
      <c r="H9" s="10">
        <f>IF(DAY(OttDom1)=1,OttDom1+34,OttDom1+41)</f>
        <v>42679</v>
      </c>
      <c r="I9" s="10">
        <f>IF(DAY(OttDom1)=1,OttDom1+35,OttDom1+42)</f>
        <v>42680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1" priority="3" stopIfTrue="1">
      <formula>DAY(C4)&gt;8</formula>
    </cfRule>
  </conditionalFormatting>
  <conditionalFormatting sqref="C8:I10">
    <cfRule type="expression" dxfId="10" priority="2" stopIfTrue="1">
      <formula>AND(DAY(C8)&gt;=1,DAY(C8)&lt;=15)</formula>
    </cfRule>
  </conditionalFormatting>
  <conditionalFormatting sqref="C4:I9">
    <cfRule type="expression" dxfId="9" priority="4">
      <formula>VLOOKUP(DAY(C4),GiorniAssegno,1,FALSE)=DAY(C4)</formula>
    </cfRule>
  </conditionalFormatting>
  <conditionalFormatting sqref="B14:J33">
    <cfRule type="expression" dxfId="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22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IF(DAY(NovDom1)=1,NovDom1-6,NovDom1+1)</f>
        <v>42674</v>
      </c>
      <c r="D4" s="10">
        <f>IF(DAY(NovDom1)=1,NovDom1-5,NovDom1+2)</f>
        <v>42675</v>
      </c>
      <c r="E4" s="10">
        <f>IF(DAY(NovDom1)=1,NovDom1-4,NovDom1+3)</f>
        <v>42676</v>
      </c>
      <c r="F4" s="10">
        <f>IF(DAY(NovDom1)=1,NovDom1-3,NovDom1+4)</f>
        <v>42677</v>
      </c>
      <c r="G4" s="10">
        <f>IF(DAY(NovDom1)=1,NovDom1-2,NovDom1+5)</f>
        <v>42678</v>
      </c>
      <c r="H4" s="10">
        <f>IF(DAY(NovDom1)=1,NovDom1-1,NovDom1+6)</f>
        <v>42679</v>
      </c>
      <c r="I4" s="10">
        <f>IF(DAY(NovDom1)=1,NovDom1,NovDom1+7)</f>
        <v>42680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IF(DAY(NovDom1)=1,NovDom1+1,NovDom1+8)</f>
        <v>42681</v>
      </c>
      <c r="D5" s="10">
        <f>IF(DAY(NovDom1)=1,NovDom1+2,NovDom1+9)</f>
        <v>42682</v>
      </c>
      <c r="E5" s="10">
        <f>IF(DAY(NovDom1)=1,NovDom1+3,NovDom1+10)</f>
        <v>42683</v>
      </c>
      <c r="F5" s="10">
        <f>IF(DAY(NovDom1)=1,NovDom1+4,NovDom1+11)</f>
        <v>42684</v>
      </c>
      <c r="G5" s="10">
        <f>IF(DAY(NovDom1)=1,NovDom1+5,NovDom1+12)</f>
        <v>42685</v>
      </c>
      <c r="H5" s="10">
        <f>IF(DAY(NovDom1)=1,NovDom1+6,NovDom1+13)</f>
        <v>42686</v>
      </c>
      <c r="I5" s="10">
        <f>IF(DAY(NovDom1)=1,NovDom1+7,NovDom1+14)</f>
        <v>42687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IF(DAY(NovDom1)=1,NovDom1+8,NovDom1+15)</f>
        <v>42688</v>
      </c>
      <c r="D6" s="10">
        <f>IF(DAY(NovDom1)=1,NovDom1+9,NovDom1+16)</f>
        <v>42689</v>
      </c>
      <c r="E6" s="10">
        <f>IF(DAY(NovDom1)=1,NovDom1+10,NovDom1+17)</f>
        <v>42690</v>
      </c>
      <c r="F6" s="10">
        <f>IF(DAY(NovDom1)=1,NovDom1+11,NovDom1+18)</f>
        <v>42691</v>
      </c>
      <c r="G6" s="10">
        <f>IF(DAY(NovDom1)=1,NovDom1+12,NovDom1+19)</f>
        <v>42692</v>
      </c>
      <c r="H6" s="10">
        <f>IF(DAY(NovDom1)=1,NovDom1+13,NovDom1+20)</f>
        <v>42693</v>
      </c>
      <c r="I6" s="10">
        <f>IF(DAY(NovDom1)=1,NovDom1+14,NovDom1+21)</f>
        <v>42694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IF(DAY(NovDom1)=1,NovDom1+15,NovDom1+22)</f>
        <v>42695</v>
      </c>
      <c r="D7" s="10">
        <f>IF(DAY(NovDom1)=1,NovDom1+16,NovDom1+23)</f>
        <v>42696</v>
      </c>
      <c r="E7" s="10">
        <f>IF(DAY(NovDom1)=1,NovDom1+17,NovDom1+24)</f>
        <v>42697</v>
      </c>
      <c r="F7" s="10">
        <f>IF(DAY(NovDom1)=1,NovDom1+18,NovDom1+25)</f>
        <v>42698</v>
      </c>
      <c r="G7" s="10">
        <f>IF(DAY(NovDom1)=1,NovDom1+19,NovDom1+26)</f>
        <v>42699</v>
      </c>
      <c r="H7" s="10">
        <f>IF(DAY(NovDom1)=1,NovDom1+20,NovDom1+27)</f>
        <v>42700</v>
      </c>
      <c r="I7" s="10">
        <f>IF(DAY(NovDom1)=1,NovDom1+21,NovDom1+28)</f>
        <v>42701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IF(DAY(NovDom1)=1,NovDom1+22,NovDom1+29)</f>
        <v>42702</v>
      </c>
      <c r="D8" s="10">
        <f>IF(DAY(NovDom1)=1,NovDom1+23,NovDom1+30)</f>
        <v>42703</v>
      </c>
      <c r="E8" s="10">
        <f>IF(DAY(NovDom1)=1,NovDom1+24,NovDom1+31)</f>
        <v>42704</v>
      </c>
      <c r="F8" s="10">
        <f>IF(DAY(NovDom1)=1,NovDom1+25,NovDom1+32)</f>
        <v>42705</v>
      </c>
      <c r="G8" s="10">
        <f>IF(DAY(NovDom1)=1,NovDom1+26,NovDom1+33)</f>
        <v>42706</v>
      </c>
      <c r="H8" s="10">
        <f>IF(DAY(NovDom1)=1,NovDom1+27,NovDom1+34)</f>
        <v>42707</v>
      </c>
      <c r="I8" s="10">
        <f>IF(DAY(NovDom1)=1,NovDom1+28,NovDom1+35)</f>
        <v>42708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IF(DAY(NovDom1)=1,NovDom1+29,NovDom1+36)</f>
        <v>42709</v>
      </c>
      <c r="D9" s="10">
        <f>IF(DAY(NovDom1)=1,NovDom1+30,NovDom1+37)</f>
        <v>42710</v>
      </c>
      <c r="E9" s="10">
        <f>IF(DAY(NovDom1)=1,NovDom1+31,NovDom1+38)</f>
        <v>42711</v>
      </c>
      <c r="F9" s="10">
        <f>IF(DAY(NovDom1)=1,NovDom1+32,NovDom1+39)</f>
        <v>42712</v>
      </c>
      <c r="G9" s="10">
        <f>IF(DAY(NovDom1)=1,NovDom1+33,NovDom1+40)</f>
        <v>42713</v>
      </c>
      <c r="H9" s="10">
        <f>IF(DAY(NovDom1)=1,NovDom1+34,NovDom1+41)</f>
        <v>42714</v>
      </c>
      <c r="I9" s="10">
        <f>IF(DAY(NovDom1)=1,NovDom1+35,NovDom1+42)</f>
        <v>42715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7" priority="3" stopIfTrue="1">
      <formula>DAY(C4)&gt;8</formula>
    </cfRule>
  </conditionalFormatting>
  <conditionalFormatting sqref="C8:I10">
    <cfRule type="expression" dxfId="6" priority="2" stopIfTrue="1">
      <formula>AND(DAY(C8)&gt;=1,DAY(C8)&lt;=15)</formula>
    </cfRule>
  </conditionalFormatting>
  <conditionalFormatting sqref="C4:I9">
    <cfRule type="expression" dxfId="5" priority="4">
      <formula>VLOOKUP(DAY(C4),GiorniAssegno,1,FALSE)=DAY(C4)</formula>
    </cfRule>
  </conditionalFormatting>
  <conditionalFormatting sqref="B14:J33">
    <cfRule type="expression" dxfId="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23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IF(DAY(DicDom1)=1,DicDom1-6,DicDom1+1)</f>
        <v>42702</v>
      </c>
      <c r="D4" s="10">
        <f>IF(DAY(DicDom1)=1,DicDom1-5,DicDom1+2)</f>
        <v>42703</v>
      </c>
      <c r="E4" s="10">
        <f>IF(DAY(DicDom1)=1,DicDom1-4,DicDom1+3)</f>
        <v>42704</v>
      </c>
      <c r="F4" s="10">
        <f>IF(DAY(DicDom1)=1,DicDom1-3,DicDom1+4)</f>
        <v>42705</v>
      </c>
      <c r="G4" s="10">
        <f>IF(DAY(DicDom1)=1,DicDom1-2,DicDom1+5)</f>
        <v>42706</v>
      </c>
      <c r="H4" s="10">
        <f>IF(DAY(DicDom1)=1,DicDom1-1,DicDom1+6)</f>
        <v>42707</v>
      </c>
      <c r="I4" s="10">
        <f>IF(DAY(DicDom1)=1,DicDom1,DicDom1+7)</f>
        <v>42708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IF(DAY(DicDom1)=1,DicDom1+1,DicDom1+8)</f>
        <v>42709</v>
      </c>
      <c r="D5" s="10">
        <f>IF(DAY(DicDom1)=1,DicDom1+2,DicDom1+9)</f>
        <v>42710</v>
      </c>
      <c r="E5" s="10">
        <f>IF(DAY(DicDom1)=1,DicDom1+3,DicDom1+10)</f>
        <v>42711</v>
      </c>
      <c r="F5" s="10">
        <f>IF(DAY(DicDom1)=1,DicDom1+4,DicDom1+11)</f>
        <v>42712</v>
      </c>
      <c r="G5" s="10">
        <f>IF(DAY(DicDom1)=1,DicDom1+5,DicDom1+12)</f>
        <v>42713</v>
      </c>
      <c r="H5" s="10">
        <f>IF(DAY(DicDom1)=1,DicDom1+6,DicDom1+13)</f>
        <v>42714</v>
      </c>
      <c r="I5" s="10">
        <f>IF(DAY(DicDom1)=1,DicDom1+7,DicDom1+14)</f>
        <v>42715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IF(DAY(DicDom1)=1,DicDom1+8,DicDom1+15)</f>
        <v>42716</v>
      </c>
      <c r="D6" s="10">
        <f>IF(DAY(DicDom1)=1,DicDom1+9,DicDom1+16)</f>
        <v>42717</v>
      </c>
      <c r="E6" s="10">
        <f>IF(DAY(DicDom1)=1,DicDom1+10,DicDom1+17)</f>
        <v>42718</v>
      </c>
      <c r="F6" s="10">
        <f>IF(DAY(DicDom1)=1,DicDom1+11,DicDom1+18)</f>
        <v>42719</v>
      </c>
      <c r="G6" s="10">
        <f>IF(DAY(DicDom1)=1,DicDom1+12,DicDom1+19)</f>
        <v>42720</v>
      </c>
      <c r="H6" s="10">
        <f>IF(DAY(DicDom1)=1,DicDom1+13,DicDom1+20)</f>
        <v>42721</v>
      </c>
      <c r="I6" s="10">
        <f>IF(DAY(DicDom1)=1,DicDom1+14,DicDom1+21)</f>
        <v>42722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IF(DAY(DicDom1)=1,DicDom1+15,DicDom1+22)</f>
        <v>42723</v>
      </c>
      <c r="D7" s="10">
        <f>IF(DAY(DicDom1)=1,DicDom1+16,DicDom1+23)</f>
        <v>42724</v>
      </c>
      <c r="E7" s="10">
        <f>IF(DAY(DicDom1)=1,DicDom1+17,DicDom1+24)</f>
        <v>42725</v>
      </c>
      <c r="F7" s="10">
        <f>IF(DAY(DicDom1)=1,DicDom1+18,DicDom1+25)</f>
        <v>42726</v>
      </c>
      <c r="G7" s="10">
        <f>IF(DAY(DicDom1)=1,DicDom1+19,DicDom1+26)</f>
        <v>42727</v>
      </c>
      <c r="H7" s="10">
        <f>IF(DAY(DicDom1)=1,DicDom1+20,DicDom1+27)</f>
        <v>42728</v>
      </c>
      <c r="I7" s="10">
        <f>IF(DAY(DicDom1)=1,DicDom1+21,DicDom1+28)</f>
        <v>42729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IF(DAY(DicDom1)=1,DicDom1+22,DicDom1+29)</f>
        <v>42730</v>
      </c>
      <c r="D8" s="10">
        <f>IF(DAY(DicDom1)=1,DicDom1+23,DicDom1+30)</f>
        <v>42731</v>
      </c>
      <c r="E8" s="10">
        <f>IF(DAY(DicDom1)=1,DicDom1+24,DicDom1+31)</f>
        <v>42732</v>
      </c>
      <c r="F8" s="10">
        <f>IF(DAY(DicDom1)=1,DicDom1+25,DicDom1+32)</f>
        <v>42733</v>
      </c>
      <c r="G8" s="10">
        <f>IF(DAY(DicDom1)=1,DicDom1+26,DicDom1+33)</f>
        <v>42734</v>
      </c>
      <c r="H8" s="10">
        <f>IF(DAY(DicDom1)=1,DicDom1+27,DicDom1+34)</f>
        <v>42735</v>
      </c>
      <c r="I8" s="10">
        <f>IF(DAY(DicDom1)=1,DicDom1+28,DicDom1+35)</f>
        <v>42736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IF(DAY(DicDom1)=1,DicDom1+29,DicDom1+36)</f>
        <v>42737</v>
      </c>
      <c r="D9" s="10">
        <f>IF(DAY(DicDom1)=1,DicDom1+30,DicDom1+37)</f>
        <v>42738</v>
      </c>
      <c r="E9" s="10">
        <f>IF(DAY(DicDom1)=1,DicDom1+31,DicDom1+38)</f>
        <v>42739</v>
      </c>
      <c r="F9" s="10">
        <f>IF(DAY(DicDom1)=1,DicDom1+32,DicDom1+39)</f>
        <v>42740</v>
      </c>
      <c r="G9" s="10">
        <f>IF(DAY(DicDom1)=1,DicDom1+33,DicDom1+40)</f>
        <v>42741</v>
      </c>
      <c r="H9" s="10">
        <f>IF(DAY(DicDom1)=1,DicDom1+34,DicDom1+41)</f>
        <v>42742</v>
      </c>
      <c r="I9" s="10">
        <f>IF(DAY(DicDom1)=1,DicDom1+35,DicDom1+42)</f>
        <v>42743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" priority="3" stopIfTrue="1">
      <formula>DAY(C4)&gt;8</formula>
    </cfRule>
  </conditionalFormatting>
  <conditionalFormatting sqref="C8:I10">
    <cfRule type="expression" dxfId="2" priority="2" stopIfTrue="1">
      <formula>AND(DAY(C8)&gt;=1,DAY(C8)&lt;=15)</formula>
    </cfRule>
  </conditionalFormatting>
  <conditionalFormatting sqref="C4:I9">
    <cfRule type="expression" dxfId="1" priority="4">
      <formula>VLOOKUP(DAY(C4),GiorniAssegno,1,FALSE)=DAY(C4)</formula>
    </cfRule>
  </conditionalFormatting>
  <conditionalFormatting sqref="B14:J33">
    <cfRule type="expression" dxfId="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24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IF(DAY(FebDom1)=1,FebDom1-6,FebDom1+1)</f>
        <v>42401</v>
      </c>
      <c r="D4" s="10">
        <f>IF(DAY(FebDom1)=1,FebDom1-5,FebDom1+2)</f>
        <v>42402</v>
      </c>
      <c r="E4" s="10">
        <f>IF(DAY(FebDom1)=1,FebDom1-4,FebDom1+3)</f>
        <v>42403</v>
      </c>
      <c r="F4" s="10">
        <f>IF(DAY(FebDom1)=1,FebDom1-3,FebDom1+4)</f>
        <v>42404</v>
      </c>
      <c r="G4" s="10">
        <f>IF(DAY(FebDom1)=1,FebDom1-2,FebDom1+5)</f>
        <v>42405</v>
      </c>
      <c r="H4" s="10">
        <f>IF(DAY(FebDom1)=1,FebDom1-1,FebDom1+6)</f>
        <v>42406</v>
      </c>
      <c r="I4" s="10">
        <f>IF(DAY(FebDom1)=1,FebDom1,FebDom1+7)</f>
        <v>42407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IF(DAY(FebDom1)=1,FebDom1+1,FebDom1+8)</f>
        <v>42408</v>
      </c>
      <c r="D5" s="10">
        <f>IF(DAY(FebDom1)=1,FebDom1+2,FebDom1+9)</f>
        <v>42409</v>
      </c>
      <c r="E5" s="10">
        <f>IF(DAY(FebDom1)=1,FebDom1+3,FebDom1+10)</f>
        <v>42410</v>
      </c>
      <c r="F5" s="10">
        <f>IF(DAY(FebDom1)=1,FebDom1+4,FebDom1+11)</f>
        <v>42411</v>
      </c>
      <c r="G5" s="10">
        <f>IF(DAY(FebDom1)=1,FebDom1+5,FebDom1+12)</f>
        <v>42412</v>
      </c>
      <c r="H5" s="10">
        <f>IF(DAY(FebDom1)=1,FebDom1+6,FebDom1+13)</f>
        <v>42413</v>
      </c>
      <c r="I5" s="10">
        <f>IF(DAY(FebDom1)=1,FebDom1+7,FebDom1+14)</f>
        <v>42414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IF(DAY(FebDom1)=1,FebDom1+8,FebDom1+15)</f>
        <v>42415</v>
      </c>
      <c r="D6" s="10">
        <f>IF(DAY(FebDom1)=1,FebDom1+9,FebDom1+16)</f>
        <v>42416</v>
      </c>
      <c r="E6" s="10">
        <f>IF(DAY(FebDom1)=1,FebDom1+10,FebDom1+17)</f>
        <v>42417</v>
      </c>
      <c r="F6" s="10">
        <f>IF(DAY(FebDom1)=1,FebDom1+11,FebDom1+18)</f>
        <v>42418</v>
      </c>
      <c r="G6" s="10">
        <f>IF(DAY(FebDom1)=1,FebDom1+12,FebDom1+19)</f>
        <v>42419</v>
      </c>
      <c r="H6" s="10">
        <f>IF(DAY(FebDom1)=1,FebDom1+13,FebDom1+20)</f>
        <v>42420</v>
      </c>
      <c r="I6" s="10">
        <f>IF(DAY(FebDom1)=1,FebDom1+14,FebDom1+21)</f>
        <v>42421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IF(DAY(FebDom1)=1,FebDom1+15,FebDom1+22)</f>
        <v>42422</v>
      </c>
      <c r="D7" s="10">
        <f>IF(DAY(FebDom1)=1,FebDom1+16,FebDom1+23)</f>
        <v>42423</v>
      </c>
      <c r="E7" s="10">
        <f>IF(DAY(FebDom1)=1,FebDom1+17,FebDom1+24)</f>
        <v>42424</v>
      </c>
      <c r="F7" s="10">
        <f>IF(DAY(FebDom1)=1,FebDom1+18,FebDom1+25)</f>
        <v>42425</v>
      </c>
      <c r="G7" s="10">
        <f>IF(DAY(FebDom1)=1,FebDom1+19,FebDom1+26)</f>
        <v>42426</v>
      </c>
      <c r="H7" s="10">
        <f>IF(DAY(FebDom1)=1,FebDom1+20,FebDom1+27)</f>
        <v>42427</v>
      </c>
      <c r="I7" s="10">
        <f>IF(DAY(FebDom1)=1,FebDom1+21,FebDom1+28)</f>
        <v>42428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IF(DAY(FebDom1)=1,FebDom1+22,FebDom1+29)</f>
        <v>42429</v>
      </c>
      <c r="D8" s="10">
        <f>IF(DAY(FebDom1)=1,FebDom1+23,FebDom1+30)</f>
        <v>42430</v>
      </c>
      <c r="E8" s="10">
        <f>IF(DAY(FebDom1)=1,FebDom1+24,FebDom1+31)</f>
        <v>42431</v>
      </c>
      <c r="F8" s="10">
        <f>IF(DAY(FebDom1)=1,FebDom1+25,FebDom1+32)</f>
        <v>42432</v>
      </c>
      <c r="G8" s="10">
        <f>IF(DAY(FebDom1)=1,FebDom1+26,FebDom1+33)</f>
        <v>42433</v>
      </c>
      <c r="H8" s="10">
        <f>IF(DAY(FebDom1)=1,FebDom1+27,FebDom1+34)</f>
        <v>42434</v>
      </c>
      <c r="I8" s="10">
        <f>IF(DAY(FebDom1)=1,FebDom1+28,FebDom1+35)</f>
        <v>42435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IF(DAY(FebDom1)=1,FebDom1+29,FebDom1+36)</f>
        <v>42436</v>
      </c>
      <c r="D9" s="10">
        <f>IF(DAY(FebDom1)=1,FebDom1+30,FebDom1+37)</f>
        <v>42437</v>
      </c>
      <c r="E9" s="10">
        <f>IF(DAY(FebDom1)=1,FebDom1+31,FebDom1+38)</f>
        <v>42438</v>
      </c>
      <c r="F9" s="10">
        <f>IF(DAY(FebDom1)=1,FebDom1+32,FebDom1+39)</f>
        <v>42439</v>
      </c>
      <c r="G9" s="10">
        <f>IF(DAY(FebDom1)=1,FebDom1+33,FebDom1+40)</f>
        <v>42440</v>
      </c>
      <c r="H9" s="10">
        <f>IF(DAY(FebDom1)=1,FebDom1+34,FebDom1+41)</f>
        <v>42441</v>
      </c>
      <c r="I9" s="10">
        <f>IF(DAY(FebDom1)=1,FebDom1+35,FebDom1+42)</f>
        <v>42442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43" priority="3" stopIfTrue="1">
      <formula>DAY(C4)&gt;8</formula>
    </cfRule>
  </conditionalFormatting>
  <conditionalFormatting sqref="C8:I10">
    <cfRule type="expression" dxfId="42" priority="2" stopIfTrue="1">
      <formula>AND(DAY(C8)&gt;=1,DAY(C8)&lt;=15)</formula>
    </cfRule>
  </conditionalFormatting>
  <conditionalFormatting sqref="C4:I9">
    <cfRule type="expression" dxfId="41" priority="4">
      <formula>VLOOKUP(DAY(C4),GiorniAssegno,1,FALSE)=DAY(C4)</formula>
    </cfRule>
  </conditionalFormatting>
  <conditionalFormatting sqref="B14:J33">
    <cfRule type="expression" dxfId="4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9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IF(DAY(MarDom1)=1,MarDom1-6,MarDom1+1)</f>
        <v>42429</v>
      </c>
      <c r="D4" s="10">
        <f>IF(DAY(MarDom1)=1,MarDom1-5,MarDom1+2)</f>
        <v>42430</v>
      </c>
      <c r="E4" s="10">
        <f>IF(DAY(MarDom1)=1,MarDom1-4,MarDom1+3)</f>
        <v>42431</v>
      </c>
      <c r="F4" s="10">
        <f>IF(DAY(MarDom1)=1,MarDom1-3,MarDom1+4)</f>
        <v>42432</v>
      </c>
      <c r="G4" s="10">
        <f>IF(DAY(MarDom1)=1,MarDom1-2,MarDom1+5)</f>
        <v>42433</v>
      </c>
      <c r="H4" s="10">
        <f>IF(DAY(MarDom1)=1,MarDom1-1,MarDom1+6)</f>
        <v>42434</v>
      </c>
      <c r="I4" s="10">
        <f>IF(DAY(MarDom1)=1,MarDom1,MarDom1+7)</f>
        <v>42435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IF(DAY(MarDom1)=1,MarDom1+1,MarDom1+8)</f>
        <v>42436</v>
      </c>
      <c r="D5" s="10">
        <f>IF(DAY(MarDom1)=1,MarDom1+2,MarDom1+9)</f>
        <v>42437</v>
      </c>
      <c r="E5" s="10">
        <f>IF(DAY(MarDom1)=1,MarDom1+3,MarDom1+10)</f>
        <v>42438</v>
      </c>
      <c r="F5" s="10">
        <f>IF(DAY(MarDom1)=1,MarDom1+4,MarDom1+11)</f>
        <v>42439</v>
      </c>
      <c r="G5" s="10">
        <f>IF(DAY(MarDom1)=1,MarDom1+5,MarDom1+12)</f>
        <v>42440</v>
      </c>
      <c r="H5" s="10">
        <f>IF(DAY(MarDom1)=1,MarDom1+6,MarDom1+13)</f>
        <v>42441</v>
      </c>
      <c r="I5" s="10">
        <f>IF(DAY(MarDom1)=1,MarDom1+7,MarDom1+14)</f>
        <v>42442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IF(DAY(MarDom1)=1,MarDom1+8,MarDom1+15)</f>
        <v>42443</v>
      </c>
      <c r="D6" s="10">
        <f>IF(DAY(MarDom1)=1,MarDom1+9,MarDom1+16)</f>
        <v>42444</v>
      </c>
      <c r="E6" s="10">
        <f>IF(DAY(MarDom1)=1,MarDom1+10,MarDom1+17)</f>
        <v>42445</v>
      </c>
      <c r="F6" s="10">
        <f>IF(DAY(MarDom1)=1,MarDom1+11,MarDom1+18)</f>
        <v>42446</v>
      </c>
      <c r="G6" s="10">
        <f>IF(DAY(MarDom1)=1,MarDom1+12,MarDom1+19)</f>
        <v>42447</v>
      </c>
      <c r="H6" s="10">
        <f>IF(DAY(MarDom1)=1,MarDom1+13,MarDom1+20)</f>
        <v>42448</v>
      </c>
      <c r="I6" s="10">
        <f>IF(DAY(MarDom1)=1,MarDom1+14,MarDom1+21)</f>
        <v>42449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IF(DAY(MarDom1)=1,MarDom1+15,MarDom1+22)</f>
        <v>42450</v>
      </c>
      <c r="D7" s="10">
        <f>IF(DAY(MarDom1)=1,MarDom1+16,MarDom1+23)</f>
        <v>42451</v>
      </c>
      <c r="E7" s="10">
        <f>IF(DAY(MarDom1)=1,MarDom1+17,MarDom1+24)</f>
        <v>42452</v>
      </c>
      <c r="F7" s="10">
        <f>IF(DAY(MarDom1)=1,MarDom1+18,MarDom1+25)</f>
        <v>42453</v>
      </c>
      <c r="G7" s="10">
        <f>IF(DAY(MarDom1)=1,MarDom1+19,MarDom1+26)</f>
        <v>42454</v>
      </c>
      <c r="H7" s="10">
        <f>IF(DAY(MarDom1)=1,MarDom1+20,MarDom1+27)</f>
        <v>42455</v>
      </c>
      <c r="I7" s="10">
        <f>IF(DAY(MarDom1)=1,MarDom1+21,MarDom1+28)</f>
        <v>42456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IF(DAY(MarDom1)=1,MarDom1+22,MarDom1+29)</f>
        <v>42457</v>
      </c>
      <c r="D8" s="10">
        <f>IF(DAY(MarDom1)=1,MarDom1+23,MarDom1+30)</f>
        <v>42458</v>
      </c>
      <c r="E8" s="10">
        <f>IF(DAY(MarDom1)=1,MarDom1+24,MarDom1+31)</f>
        <v>42459</v>
      </c>
      <c r="F8" s="10">
        <f>IF(DAY(MarDom1)=1,MarDom1+25,MarDom1+32)</f>
        <v>42460</v>
      </c>
      <c r="G8" s="10">
        <f>IF(DAY(MarDom1)=1,MarDom1+26,MarDom1+33)</f>
        <v>42461</v>
      </c>
      <c r="H8" s="10">
        <f>IF(DAY(MarDom1)=1,MarDom1+27,MarDom1+34)</f>
        <v>42462</v>
      </c>
      <c r="I8" s="10">
        <f>IF(DAY(MarDom1)=1,MarDom1+28,MarDom1+35)</f>
        <v>42463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IF(DAY(MarDom1)=1,MarDom1+29,MarDom1+36)</f>
        <v>42464</v>
      </c>
      <c r="D9" s="10">
        <f>IF(DAY(MarDom1)=1,MarDom1+30,MarDom1+37)</f>
        <v>42465</v>
      </c>
      <c r="E9" s="10">
        <f>IF(DAY(MarDom1)=1,MarDom1+31,MarDom1+38)</f>
        <v>42466</v>
      </c>
      <c r="F9" s="10">
        <f>IF(DAY(MarDom1)=1,MarDom1+32,MarDom1+39)</f>
        <v>42467</v>
      </c>
      <c r="G9" s="10">
        <f>IF(DAY(MarDom1)=1,MarDom1+33,MarDom1+40)</f>
        <v>42468</v>
      </c>
      <c r="H9" s="10">
        <f>IF(DAY(MarDom1)=1,MarDom1+34,MarDom1+41)</f>
        <v>42469</v>
      </c>
      <c r="I9" s="10">
        <f>IF(DAY(MarDom1)=1,MarDom1+35,MarDom1+42)</f>
        <v>42470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9" priority="3" stopIfTrue="1">
      <formula>DAY(C4)&gt;8</formula>
    </cfRule>
  </conditionalFormatting>
  <conditionalFormatting sqref="C8:I10">
    <cfRule type="expression" dxfId="38" priority="2" stopIfTrue="1">
      <formula>AND(DAY(C8)&gt;=1,DAY(C8)&lt;=15)</formula>
    </cfRule>
  </conditionalFormatting>
  <conditionalFormatting sqref="C4:I9">
    <cfRule type="expression" dxfId="37" priority="4">
      <formula>VLOOKUP(DAY(C4),GiorniAssegno,1,FALSE)=DAY(C4)</formula>
    </cfRule>
  </conditionalFormatting>
  <conditionalFormatting sqref="B14:J33">
    <cfRule type="expression" dxfId="3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25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IF(DAY(AprDom1)=1,AprDom1-6,AprDom1+1)</f>
        <v>42457</v>
      </c>
      <c r="D4" s="10">
        <f>IF(DAY(AprDom1)=1,AprDom1-5,AprDom1+2)</f>
        <v>42458</v>
      </c>
      <c r="E4" s="10">
        <f>IF(DAY(AprDom1)=1,AprDom1-4,AprDom1+3)</f>
        <v>42459</v>
      </c>
      <c r="F4" s="10">
        <f>IF(DAY(AprDom1)=1,AprDom1-3,AprDom1+4)</f>
        <v>42460</v>
      </c>
      <c r="G4" s="10">
        <f>IF(DAY(AprDom1)=1,AprDom1-2,AprDom1+5)</f>
        <v>42461</v>
      </c>
      <c r="H4" s="10">
        <f>IF(DAY(AprDom1)=1,AprDom1-1,AprDom1+6)</f>
        <v>42462</v>
      </c>
      <c r="I4" s="10">
        <f>IF(DAY(AprDom1)=1,AprDom1,AprDom1+7)</f>
        <v>42463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IF(DAY(AprDom1)=1,AprDom1+1,AprDom1+8)</f>
        <v>42464</v>
      </c>
      <c r="D5" s="10">
        <f>IF(DAY(AprDom1)=1,AprDom1+2,AprDom1+9)</f>
        <v>42465</v>
      </c>
      <c r="E5" s="10">
        <f>IF(DAY(AprDom1)=1,AprDom1+3,AprDom1+10)</f>
        <v>42466</v>
      </c>
      <c r="F5" s="10">
        <f>IF(DAY(AprDom1)=1,AprDom1+4,AprDom1+11)</f>
        <v>42467</v>
      </c>
      <c r="G5" s="10">
        <f>IF(DAY(AprDom1)=1,AprDom1+5,AprDom1+12)</f>
        <v>42468</v>
      </c>
      <c r="H5" s="10">
        <f>IF(DAY(AprDom1)=1,AprDom1+6,AprDom1+13)</f>
        <v>42469</v>
      </c>
      <c r="I5" s="10">
        <f>IF(DAY(AprDom1)=1,AprDom1+7,AprDom1+14)</f>
        <v>42470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IF(DAY(AprDom1)=1,AprDom1+8,AprDom1+15)</f>
        <v>42471</v>
      </c>
      <c r="D6" s="10">
        <f>IF(DAY(AprDom1)=1,AprDom1+9,AprDom1+16)</f>
        <v>42472</v>
      </c>
      <c r="E6" s="10">
        <f>IF(DAY(AprDom1)=1,AprDom1+10,AprDom1+17)</f>
        <v>42473</v>
      </c>
      <c r="F6" s="10">
        <f>IF(DAY(AprDom1)=1,AprDom1+11,AprDom1+18)</f>
        <v>42474</v>
      </c>
      <c r="G6" s="10">
        <f>IF(DAY(AprDom1)=1,AprDom1+12,AprDom1+19)</f>
        <v>42475</v>
      </c>
      <c r="H6" s="10">
        <f>IF(DAY(AprDom1)=1,AprDom1+13,AprDom1+20)</f>
        <v>42476</v>
      </c>
      <c r="I6" s="10">
        <f>IF(DAY(AprDom1)=1,AprDom1+14,AprDom1+21)</f>
        <v>42477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IF(DAY(AprDom1)=1,AprDom1+15,AprDom1+22)</f>
        <v>42478</v>
      </c>
      <c r="D7" s="10">
        <f>IF(DAY(AprDom1)=1,AprDom1+16,AprDom1+23)</f>
        <v>42479</v>
      </c>
      <c r="E7" s="10">
        <f>IF(DAY(AprDom1)=1,AprDom1+17,AprDom1+24)</f>
        <v>42480</v>
      </c>
      <c r="F7" s="10">
        <f>IF(DAY(AprDom1)=1,AprDom1+18,AprDom1+25)</f>
        <v>42481</v>
      </c>
      <c r="G7" s="10">
        <f>IF(DAY(AprDom1)=1,AprDom1+19,AprDom1+26)</f>
        <v>42482</v>
      </c>
      <c r="H7" s="10">
        <f>IF(DAY(AprDom1)=1,AprDom1+20,AprDom1+27)</f>
        <v>42483</v>
      </c>
      <c r="I7" s="10">
        <f>IF(DAY(AprDom1)=1,AprDom1+21,AprDom1+28)</f>
        <v>42484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IF(DAY(AprDom1)=1,AprDom1+22,AprDom1+29)</f>
        <v>42485</v>
      </c>
      <c r="D8" s="10">
        <f>IF(DAY(AprDom1)=1,AprDom1+23,AprDom1+30)</f>
        <v>42486</v>
      </c>
      <c r="E8" s="10">
        <f>IF(DAY(AprDom1)=1,AprDom1+24,AprDom1+31)</f>
        <v>42487</v>
      </c>
      <c r="F8" s="10">
        <f>IF(DAY(AprDom1)=1,AprDom1+25,AprDom1+32)</f>
        <v>42488</v>
      </c>
      <c r="G8" s="10">
        <f>IF(DAY(AprDom1)=1,AprDom1+26,AprDom1+33)</f>
        <v>42489</v>
      </c>
      <c r="H8" s="10">
        <f>IF(DAY(AprDom1)=1,AprDom1+27,AprDom1+34)</f>
        <v>42490</v>
      </c>
      <c r="I8" s="10">
        <f>IF(DAY(AprDom1)=1,AprDom1+28,AprDom1+35)</f>
        <v>42491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IF(DAY(AprDom1)=1,AprDom1+29,AprDom1+36)</f>
        <v>42492</v>
      </c>
      <c r="D9" s="10">
        <f>IF(DAY(AprDom1)=1,AprDom1+30,AprDom1+37)</f>
        <v>42493</v>
      </c>
      <c r="E9" s="10">
        <f>IF(DAY(AprDom1)=1,AprDom1+31,AprDom1+38)</f>
        <v>42494</v>
      </c>
      <c r="F9" s="10">
        <f>IF(DAY(AprDom1)=1,AprDom1+32,AprDom1+39)</f>
        <v>42495</v>
      </c>
      <c r="G9" s="10">
        <f>IF(DAY(AprDom1)=1,AprDom1+33,AprDom1+40)</f>
        <v>42496</v>
      </c>
      <c r="H9" s="10">
        <f>IF(DAY(AprDom1)=1,AprDom1+34,AprDom1+41)</f>
        <v>42497</v>
      </c>
      <c r="I9" s="10">
        <f>IF(DAY(AprDom1)=1,AprDom1+35,AprDom1+42)</f>
        <v>42498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5" priority="3" stopIfTrue="1">
      <formula>DAY(C4)&gt;8</formula>
    </cfRule>
  </conditionalFormatting>
  <conditionalFormatting sqref="C8:I10">
    <cfRule type="expression" dxfId="34" priority="2" stopIfTrue="1">
      <formula>AND(DAY(C8)&gt;=1,DAY(C8)&lt;=15)</formula>
    </cfRule>
  </conditionalFormatting>
  <conditionalFormatting sqref="C4:I9">
    <cfRule type="expression" dxfId="33" priority="4">
      <formula>VLOOKUP(DAY(C4),GiorniAssegno,1,FALSE)=DAY(C4)</formula>
    </cfRule>
  </conditionalFormatting>
  <conditionalFormatting sqref="B14:J33">
    <cfRule type="expression" dxfId="3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26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IF(DAY(MagDom1)=1,MagDom1-6,MagDom1+1)</f>
        <v>42485</v>
      </c>
      <c r="D4" s="10">
        <f>IF(DAY(MagDom1)=1,MagDom1-5,MagDom1+2)</f>
        <v>42486</v>
      </c>
      <c r="E4" s="10">
        <f>IF(DAY(MagDom1)=1,MagDom1-4,MagDom1+3)</f>
        <v>42487</v>
      </c>
      <c r="F4" s="10">
        <f>IF(DAY(MagDom1)=1,MagDom1-3,MagDom1+4)</f>
        <v>42488</v>
      </c>
      <c r="G4" s="10">
        <f>IF(DAY(MagDom1)=1,MagDom1-2,MagDom1+5)</f>
        <v>42489</v>
      </c>
      <c r="H4" s="10">
        <f>IF(DAY(MagDom1)=1,MagDom1-1,MagDom1+6)</f>
        <v>42490</v>
      </c>
      <c r="I4" s="10">
        <f>IF(DAY(MagDom1)=1,MagDom1,MagDom1+7)</f>
        <v>42491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IF(DAY(MagDom1)=1,MagDom1+1,MagDom1+8)</f>
        <v>42492</v>
      </c>
      <c r="D5" s="10">
        <f>IF(DAY(MagDom1)=1,MagDom1+2,MagDom1+9)</f>
        <v>42493</v>
      </c>
      <c r="E5" s="10">
        <f>IF(DAY(MagDom1)=1,MagDom1+3,MagDom1+10)</f>
        <v>42494</v>
      </c>
      <c r="F5" s="10">
        <f>IF(DAY(MagDom1)=1,MagDom1+4,MagDom1+11)</f>
        <v>42495</v>
      </c>
      <c r="G5" s="10">
        <f>IF(DAY(MagDom1)=1,MagDom1+5,MagDom1+12)</f>
        <v>42496</v>
      </c>
      <c r="H5" s="10">
        <f>IF(DAY(MagDom1)=1,MagDom1+6,MagDom1+13)</f>
        <v>42497</v>
      </c>
      <c r="I5" s="10">
        <f>IF(DAY(MagDom1)=1,MagDom1+7,MagDom1+14)</f>
        <v>42498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IF(DAY(MagDom1)=1,MagDom1+8,MagDom1+15)</f>
        <v>42499</v>
      </c>
      <c r="D6" s="10">
        <f>IF(DAY(MagDom1)=1,MagDom1+9,MagDom1+16)</f>
        <v>42500</v>
      </c>
      <c r="E6" s="10">
        <f>IF(DAY(MagDom1)=1,MagDom1+10,MagDom1+17)</f>
        <v>42501</v>
      </c>
      <c r="F6" s="10">
        <f>IF(DAY(MagDom1)=1,MagDom1+11,MagDom1+18)</f>
        <v>42502</v>
      </c>
      <c r="G6" s="10">
        <f>IF(DAY(MagDom1)=1,MagDom1+12,MagDom1+19)</f>
        <v>42503</v>
      </c>
      <c r="H6" s="10">
        <f>IF(DAY(MagDom1)=1,MagDom1+13,MagDom1+20)</f>
        <v>42504</v>
      </c>
      <c r="I6" s="10">
        <f>IF(DAY(MagDom1)=1,MagDom1+14,MagDom1+21)</f>
        <v>42505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IF(DAY(MagDom1)=1,MagDom1+15,MagDom1+22)</f>
        <v>42506</v>
      </c>
      <c r="D7" s="10">
        <f>IF(DAY(MagDom1)=1,MagDom1+16,MagDom1+23)</f>
        <v>42507</v>
      </c>
      <c r="E7" s="10">
        <f>IF(DAY(MagDom1)=1,MagDom1+17,MagDom1+24)</f>
        <v>42508</v>
      </c>
      <c r="F7" s="10">
        <f>IF(DAY(MagDom1)=1,MagDom1+18,MagDom1+25)</f>
        <v>42509</v>
      </c>
      <c r="G7" s="10">
        <f>IF(DAY(MagDom1)=1,MagDom1+19,MagDom1+26)</f>
        <v>42510</v>
      </c>
      <c r="H7" s="10">
        <f>IF(DAY(MagDom1)=1,MagDom1+20,MagDom1+27)</f>
        <v>42511</v>
      </c>
      <c r="I7" s="10">
        <f>IF(DAY(MagDom1)=1,MagDom1+21,MagDom1+28)</f>
        <v>42512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IF(DAY(MagDom1)=1,MagDom1+22,MagDom1+29)</f>
        <v>42513</v>
      </c>
      <c r="D8" s="10">
        <f>IF(DAY(MagDom1)=1,MagDom1+23,MagDom1+30)</f>
        <v>42514</v>
      </c>
      <c r="E8" s="10">
        <f>IF(DAY(MagDom1)=1,MagDom1+24,MagDom1+31)</f>
        <v>42515</v>
      </c>
      <c r="F8" s="10">
        <f>IF(DAY(MagDom1)=1,MagDom1+25,MagDom1+32)</f>
        <v>42516</v>
      </c>
      <c r="G8" s="10">
        <f>IF(DAY(MagDom1)=1,MagDom1+26,MagDom1+33)</f>
        <v>42517</v>
      </c>
      <c r="H8" s="10">
        <f>IF(DAY(MagDom1)=1,MagDom1+27,MagDom1+34)</f>
        <v>42518</v>
      </c>
      <c r="I8" s="10">
        <f>IF(DAY(MagDom1)=1,MagDom1+28,MagDom1+35)</f>
        <v>42519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IF(DAY(MagDom1)=1,MagDom1+29,MagDom1+36)</f>
        <v>42520</v>
      </c>
      <c r="D9" s="10">
        <f>IF(DAY(MagDom1)=1,MagDom1+30,MagDom1+37)</f>
        <v>42521</v>
      </c>
      <c r="E9" s="10">
        <f>IF(DAY(MagDom1)=1,MagDom1+31,MagDom1+38)</f>
        <v>42522</v>
      </c>
      <c r="F9" s="10">
        <f>IF(DAY(MagDom1)=1,MagDom1+32,MagDom1+39)</f>
        <v>42523</v>
      </c>
      <c r="G9" s="10">
        <f>IF(DAY(MagDom1)=1,MagDom1+33,MagDom1+40)</f>
        <v>42524</v>
      </c>
      <c r="H9" s="10">
        <f>IF(DAY(MagDom1)=1,MagDom1+34,MagDom1+41)</f>
        <v>42525</v>
      </c>
      <c r="I9" s="10">
        <f>IF(DAY(MagDom1)=1,MagDom1+35,MagDom1+42)</f>
        <v>42526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31" priority="3" stopIfTrue="1">
      <formula>DAY(C4)&gt;8</formula>
    </cfRule>
  </conditionalFormatting>
  <conditionalFormatting sqref="C8:I10">
    <cfRule type="expression" dxfId="30" priority="2" stopIfTrue="1">
      <formula>AND(DAY(C8)&gt;=1,DAY(C8)&lt;=15)</formula>
    </cfRule>
  </conditionalFormatting>
  <conditionalFormatting sqref="C4:I9">
    <cfRule type="expression" dxfId="29" priority="4">
      <formula>VLOOKUP(DAY(C4),GiorniAssegno,1,FALSE)=DAY(C4)</formula>
    </cfRule>
  </conditionalFormatting>
  <conditionalFormatting sqref="B14:J33">
    <cfRule type="expression" dxfId="28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27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IF(DAY(GiuDom1)=1,GiuDom1-6,GiuDom1+1)</f>
        <v>42520</v>
      </c>
      <c r="D4" s="10">
        <f>IF(DAY(GiuDom1)=1,GiuDom1-5,GiuDom1+2)</f>
        <v>42521</v>
      </c>
      <c r="E4" s="10">
        <f>IF(DAY(GiuDom1)=1,GiuDom1-4,GiuDom1+3)</f>
        <v>42522</v>
      </c>
      <c r="F4" s="10">
        <f>IF(DAY(GiuDom1)=1,GiuDom1-3,GiuDom1+4)</f>
        <v>42523</v>
      </c>
      <c r="G4" s="10">
        <f>IF(DAY(GiuDom1)=1,GiuDom1-2,GiuDom1+5)</f>
        <v>42524</v>
      </c>
      <c r="H4" s="10">
        <f>IF(DAY(GiuDom1)=1,GiuDom1-1,GiuDom1+6)</f>
        <v>42525</v>
      </c>
      <c r="I4" s="10">
        <f>IF(DAY(GiuDom1)=1,GiuDom1,GiuDom1+7)</f>
        <v>42526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IF(DAY(GiuDom1)=1,GiuDom1+1,GiuDom1+8)</f>
        <v>42527</v>
      </c>
      <c r="D5" s="10">
        <f>IF(DAY(GiuDom1)=1,GiuDom1+2,GiuDom1+9)</f>
        <v>42528</v>
      </c>
      <c r="E5" s="10">
        <f>IF(DAY(GiuDom1)=1,GiuDom1+3,GiuDom1+10)</f>
        <v>42529</v>
      </c>
      <c r="F5" s="10">
        <f>IF(DAY(GiuDom1)=1,GiuDom1+4,GiuDom1+11)</f>
        <v>42530</v>
      </c>
      <c r="G5" s="10">
        <f>IF(DAY(GiuDom1)=1,GiuDom1+5,GiuDom1+12)</f>
        <v>42531</v>
      </c>
      <c r="H5" s="10">
        <f>IF(DAY(GiuDom1)=1,GiuDom1+6,GiuDom1+13)</f>
        <v>42532</v>
      </c>
      <c r="I5" s="10">
        <f>IF(DAY(GiuDom1)=1,GiuDom1+7,GiuDom1+14)</f>
        <v>42533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IF(DAY(GiuDom1)=1,GiuDom1+8,GiuDom1+15)</f>
        <v>42534</v>
      </c>
      <c r="D6" s="10">
        <f>IF(DAY(GiuDom1)=1,GiuDom1+9,GiuDom1+16)</f>
        <v>42535</v>
      </c>
      <c r="E6" s="10">
        <f>IF(DAY(GiuDom1)=1,GiuDom1+10,GiuDom1+17)</f>
        <v>42536</v>
      </c>
      <c r="F6" s="10">
        <f>IF(DAY(GiuDom1)=1,GiuDom1+11,GiuDom1+18)</f>
        <v>42537</v>
      </c>
      <c r="G6" s="10">
        <f>IF(DAY(GiuDom1)=1,GiuDom1+12,GiuDom1+19)</f>
        <v>42538</v>
      </c>
      <c r="H6" s="10">
        <f>IF(DAY(GiuDom1)=1,GiuDom1+13,GiuDom1+20)</f>
        <v>42539</v>
      </c>
      <c r="I6" s="10">
        <f>IF(DAY(GiuDom1)=1,GiuDom1+14,GiuDom1+21)</f>
        <v>42540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IF(DAY(GiuDom1)=1,GiuDom1+15,GiuDom1+22)</f>
        <v>42541</v>
      </c>
      <c r="D7" s="10">
        <f>IF(DAY(GiuDom1)=1,GiuDom1+16,GiuDom1+23)</f>
        <v>42542</v>
      </c>
      <c r="E7" s="10">
        <f>IF(DAY(GiuDom1)=1,GiuDom1+17,GiuDom1+24)</f>
        <v>42543</v>
      </c>
      <c r="F7" s="10">
        <f>IF(DAY(GiuDom1)=1,GiuDom1+18,GiuDom1+25)</f>
        <v>42544</v>
      </c>
      <c r="G7" s="10">
        <f>IF(DAY(GiuDom1)=1,GiuDom1+19,GiuDom1+26)</f>
        <v>42545</v>
      </c>
      <c r="H7" s="10">
        <f>IF(DAY(GiuDom1)=1,GiuDom1+20,GiuDom1+27)</f>
        <v>42546</v>
      </c>
      <c r="I7" s="10">
        <f>IF(DAY(GiuDom1)=1,GiuDom1+21,GiuDom1+28)</f>
        <v>42547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IF(DAY(GiuDom1)=1,GiuDom1+22,GiuDom1+29)</f>
        <v>42548</v>
      </c>
      <c r="D8" s="10">
        <f>IF(DAY(GiuDom1)=1,GiuDom1+23,GiuDom1+30)</f>
        <v>42549</v>
      </c>
      <c r="E8" s="10">
        <f>IF(DAY(GiuDom1)=1,GiuDom1+24,GiuDom1+31)</f>
        <v>42550</v>
      </c>
      <c r="F8" s="10">
        <f>IF(DAY(GiuDom1)=1,GiuDom1+25,GiuDom1+32)</f>
        <v>42551</v>
      </c>
      <c r="G8" s="10">
        <f>IF(DAY(GiuDom1)=1,GiuDom1+26,GiuDom1+33)</f>
        <v>42552</v>
      </c>
      <c r="H8" s="10">
        <f>IF(DAY(GiuDom1)=1,GiuDom1+27,GiuDom1+34)</f>
        <v>42553</v>
      </c>
      <c r="I8" s="10">
        <f>IF(DAY(GiuDom1)=1,GiuDom1+28,GiuDom1+35)</f>
        <v>42554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IF(DAY(GiuDom1)=1,GiuDom1+29,GiuDom1+36)</f>
        <v>42555</v>
      </c>
      <c r="D9" s="10">
        <f>IF(DAY(GiuDom1)=1,GiuDom1+30,GiuDom1+37)</f>
        <v>42556</v>
      </c>
      <c r="E9" s="10">
        <f>IF(DAY(GiuDom1)=1,GiuDom1+31,GiuDom1+38)</f>
        <v>42557</v>
      </c>
      <c r="F9" s="10">
        <f>IF(DAY(GiuDom1)=1,GiuDom1+32,GiuDom1+39)</f>
        <v>42558</v>
      </c>
      <c r="G9" s="10">
        <f>IF(DAY(GiuDom1)=1,GiuDom1+33,GiuDom1+40)</f>
        <v>42559</v>
      </c>
      <c r="H9" s="10">
        <f>IF(DAY(GiuDom1)=1,GiuDom1+34,GiuDom1+41)</f>
        <v>42560</v>
      </c>
      <c r="I9" s="10">
        <f>IF(DAY(GiuDom1)=1,GiuDom1+35,GiuDom1+42)</f>
        <v>42561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7" priority="3" stopIfTrue="1">
      <formula>DAY(C4)&gt;8</formula>
    </cfRule>
  </conditionalFormatting>
  <conditionalFormatting sqref="C8:I10">
    <cfRule type="expression" dxfId="26" priority="2" stopIfTrue="1">
      <formula>AND(DAY(C8)&gt;=1,DAY(C8)&lt;=15)</formula>
    </cfRule>
  </conditionalFormatting>
  <conditionalFormatting sqref="C4:I9">
    <cfRule type="expression" dxfId="25" priority="4">
      <formula>VLOOKUP(DAY(C4),GiorniAssegno,1,FALSE)=DAY(C4)</formula>
    </cfRule>
  </conditionalFormatting>
  <conditionalFormatting sqref="B14:J33">
    <cfRule type="expression" dxfId="24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28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IF(DAY(LugDom1)=1,LugDom1-6,LugDom1+1)</f>
        <v>42548</v>
      </c>
      <c r="D4" s="10">
        <f>IF(DAY(LugDom1)=1,LugDom1-5,LugDom1+2)</f>
        <v>42549</v>
      </c>
      <c r="E4" s="10">
        <f>IF(DAY(LugDom1)=1,LugDom1-4,LugDom1+3)</f>
        <v>42550</v>
      </c>
      <c r="F4" s="10">
        <f>IF(DAY(LugDom1)=1,LugDom1-3,LugDom1+4)</f>
        <v>42551</v>
      </c>
      <c r="G4" s="10">
        <f>IF(DAY(LugDom1)=1,LugDom1-2,LugDom1+5)</f>
        <v>42552</v>
      </c>
      <c r="H4" s="10">
        <f>IF(DAY(LugDom1)=1,LugDom1-1,LugDom1+6)</f>
        <v>42553</v>
      </c>
      <c r="I4" s="10">
        <f>IF(DAY(LugDom1)=1,LugDom1,LugDom1+7)</f>
        <v>42554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IF(DAY(LugDom1)=1,LugDom1+1,LugDom1+8)</f>
        <v>42555</v>
      </c>
      <c r="D5" s="10">
        <f>IF(DAY(LugDom1)=1,LugDom1+2,LugDom1+9)</f>
        <v>42556</v>
      </c>
      <c r="E5" s="10">
        <f>IF(DAY(LugDom1)=1,LugDom1+3,LugDom1+10)</f>
        <v>42557</v>
      </c>
      <c r="F5" s="10">
        <f>IF(DAY(LugDom1)=1,LugDom1+4,LugDom1+11)</f>
        <v>42558</v>
      </c>
      <c r="G5" s="10">
        <f>IF(DAY(LugDom1)=1,LugDom1+5,LugDom1+12)</f>
        <v>42559</v>
      </c>
      <c r="H5" s="10">
        <f>IF(DAY(LugDom1)=1,LugDom1+6,LugDom1+13)</f>
        <v>42560</v>
      </c>
      <c r="I5" s="10">
        <f>IF(DAY(LugDom1)=1,LugDom1+7,LugDom1+14)</f>
        <v>42561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IF(DAY(LugDom1)=1,LugDom1+8,LugDom1+15)</f>
        <v>42562</v>
      </c>
      <c r="D6" s="10">
        <f>IF(DAY(LugDom1)=1,LugDom1+9,LugDom1+16)</f>
        <v>42563</v>
      </c>
      <c r="E6" s="10">
        <f>IF(DAY(LugDom1)=1,LugDom1+10,LugDom1+17)</f>
        <v>42564</v>
      </c>
      <c r="F6" s="10">
        <f>IF(DAY(LugDom1)=1,LugDom1+11,LugDom1+18)</f>
        <v>42565</v>
      </c>
      <c r="G6" s="10">
        <f>IF(DAY(LugDom1)=1,LugDom1+12,LugDom1+19)</f>
        <v>42566</v>
      </c>
      <c r="H6" s="10">
        <f>IF(DAY(LugDom1)=1,LugDom1+13,LugDom1+20)</f>
        <v>42567</v>
      </c>
      <c r="I6" s="10">
        <f>IF(DAY(LugDom1)=1,LugDom1+14,LugDom1+21)</f>
        <v>42568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IF(DAY(LugDom1)=1,LugDom1+15,LugDom1+22)</f>
        <v>42569</v>
      </c>
      <c r="D7" s="10">
        <f>IF(DAY(LugDom1)=1,LugDom1+16,LugDom1+23)</f>
        <v>42570</v>
      </c>
      <c r="E7" s="10">
        <f>IF(DAY(LugDom1)=1,LugDom1+17,LugDom1+24)</f>
        <v>42571</v>
      </c>
      <c r="F7" s="10">
        <f>IF(DAY(LugDom1)=1,LugDom1+18,LugDom1+25)</f>
        <v>42572</v>
      </c>
      <c r="G7" s="10">
        <f>IF(DAY(LugDom1)=1,LugDom1+19,LugDom1+26)</f>
        <v>42573</v>
      </c>
      <c r="H7" s="10">
        <f>IF(DAY(LugDom1)=1,LugDom1+20,LugDom1+27)</f>
        <v>42574</v>
      </c>
      <c r="I7" s="10">
        <f>IF(DAY(LugDom1)=1,LugDom1+21,LugDom1+28)</f>
        <v>42575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IF(DAY(LugDom1)=1,LugDom1+22,LugDom1+29)</f>
        <v>42576</v>
      </c>
      <c r="D8" s="10">
        <f>IF(DAY(LugDom1)=1,LugDom1+23,LugDom1+30)</f>
        <v>42577</v>
      </c>
      <c r="E8" s="10">
        <f>IF(DAY(LugDom1)=1,LugDom1+24,LugDom1+31)</f>
        <v>42578</v>
      </c>
      <c r="F8" s="10">
        <f>IF(DAY(LugDom1)=1,LugDom1+25,LugDom1+32)</f>
        <v>42579</v>
      </c>
      <c r="G8" s="10">
        <f>IF(DAY(LugDom1)=1,LugDom1+26,LugDom1+33)</f>
        <v>42580</v>
      </c>
      <c r="H8" s="10">
        <f>IF(DAY(LugDom1)=1,LugDom1+27,LugDom1+34)</f>
        <v>42581</v>
      </c>
      <c r="I8" s="10">
        <f>IF(DAY(LugDom1)=1,LugDom1+28,LugDom1+35)</f>
        <v>42582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IF(DAY(LugDom1)=1,LugDom1+29,LugDom1+36)</f>
        <v>42583</v>
      </c>
      <c r="D9" s="10">
        <f>IF(DAY(LugDom1)=1,LugDom1+30,LugDom1+37)</f>
        <v>42584</v>
      </c>
      <c r="E9" s="10">
        <f>IF(DAY(LugDom1)=1,LugDom1+31,LugDom1+38)</f>
        <v>42585</v>
      </c>
      <c r="F9" s="10">
        <f>IF(DAY(LugDom1)=1,LugDom1+32,LugDom1+39)</f>
        <v>42586</v>
      </c>
      <c r="G9" s="10">
        <f>IF(DAY(LugDom1)=1,LugDom1+33,LugDom1+40)</f>
        <v>42587</v>
      </c>
      <c r="H9" s="10">
        <f>IF(DAY(LugDom1)=1,LugDom1+34,LugDom1+41)</f>
        <v>42588</v>
      </c>
      <c r="I9" s="10">
        <f>IF(DAY(LugDom1)=1,LugDom1+35,LugDom1+42)</f>
        <v>42589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23" priority="3" stopIfTrue="1">
      <formula>DAY(C4)&gt;8</formula>
    </cfRule>
  </conditionalFormatting>
  <conditionalFormatting sqref="C8:I10">
    <cfRule type="expression" dxfId="22" priority="2" stopIfTrue="1">
      <formula>AND(DAY(C8)&gt;=1,DAY(C8)&lt;=15)</formula>
    </cfRule>
  </conditionalFormatting>
  <conditionalFormatting sqref="C4:I9">
    <cfRule type="expression" dxfId="21" priority="4">
      <formula>VLOOKUP(DAY(C4),GiorniAssegno,1,FALSE)=DAY(C4)</formula>
    </cfRule>
  </conditionalFormatting>
  <conditionalFormatting sqref="B14:J33">
    <cfRule type="expression" dxfId="20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29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IF(DAY(AgoDom1)=1,AgoDom1-6,AgoDom1+1)</f>
        <v>42583</v>
      </c>
      <c r="D4" s="10">
        <f>IF(DAY(AgoDom1)=1,AgoDom1-5,AgoDom1+2)</f>
        <v>42584</v>
      </c>
      <c r="E4" s="10">
        <f>IF(DAY(AgoDom1)=1,AgoDom1-4,AgoDom1+3)</f>
        <v>42585</v>
      </c>
      <c r="F4" s="10">
        <f>IF(DAY(AgoDom1)=1,AgoDom1-3,AgoDom1+4)</f>
        <v>42586</v>
      </c>
      <c r="G4" s="10">
        <f>IF(DAY(AgoDom1)=1,AgoDom1-2,AgoDom1+5)</f>
        <v>42587</v>
      </c>
      <c r="H4" s="10">
        <f>IF(DAY(AgoDom1)=1,AgoDom1-1,AgoDom1+6)</f>
        <v>42588</v>
      </c>
      <c r="I4" s="10">
        <f>IF(DAY(AgoDom1)=1,AgoDom1,AgoDom1+7)</f>
        <v>42589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IF(DAY(AgoDom1)=1,AgoDom1+1,AgoDom1+8)</f>
        <v>42590</v>
      </c>
      <c r="D5" s="10">
        <f>IF(DAY(AgoDom1)=1,AgoDom1+2,AgoDom1+9)</f>
        <v>42591</v>
      </c>
      <c r="E5" s="10">
        <f>IF(DAY(AgoDom1)=1,AgoDom1+3,AgoDom1+10)</f>
        <v>42592</v>
      </c>
      <c r="F5" s="10">
        <f>IF(DAY(AgoDom1)=1,AgoDom1+4,AgoDom1+11)</f>
        <v>42593</v>
      </c>
      <c r="G5" s="10">
        <f>IF(DAY(AgoDom1)=1,AgoDom1+5,AgoDom1+12)</f>
        <v>42594</v>
      </c>
      <c r="H5" s="10">
        <f>IF(DAY(AgoDom1)=1,AgoDom1+6,AgoDom1+13)</f>
        <v>42595</v>
      </c>
      <c r="I5" s="10">
        <f>IF(DAY(AgoDom1)=1,AgoDom1+7,AgoDom1+14)</f>
        <v>42596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IF(DAY(AgoDom1)=1,AgoDom1+8,AgoDom1+15)</f>
        <v>42597</v>
      </c>
      <c r="D6" s="10">
        <f>IF(DAY(AgoDom1)=1,AgoDom1+9,AgoDom1+16)</f>
        <v>42598</v>
      </c>
      <c r="E6" s="10">
        <f>IF(DAY(AgoDom1)=1,AgoDom1+10,AgoDom1+17)</f>
        <v>42599</v>
      </c>
      <c r="F6" s="10">
        <f>IF(DAY(AgoDom1)=1,AgoDom1+11,AgoDom1+18)</f>
        <v>42600</v>
      </c>
      <c r="G6" s="10">
        <f>IF(DAY(AgoDom1)=1,AgoDom1+12,AgoDom1+19)</f>
        <v>42601</v>
      </c>
      <c r="H6" s="10">
        <f>IF(DAY(AgoDom1)=1,AgoDom1+13,AgoDom1+20)</f>
        <v>42602</v>
      </c>
      <c r="I6" s="10">
        <f>IF(DAY(AgoDom1)=1,AgoDom1+14,AgoDom1+21)</f>
        <v>42603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IF(DAY(AgoDom1)=1,AgoDom1+15,AgoDom1+22)</f>
        <v>42604</v>
      </c>
      <c r="D7" s="10">
        <f>IF(DAY(AgoDom1)=1,AgoDom1+16,AgoDom1+23)</f>
        <v>42605</v>
      </c>
      <c r="E7" s="10">
        <f>IF(DAY(AgoDom1)=1,AgoDom1+17,AgoDom1+24)</f>
        <v>42606</v>
      </c>
      <c r="F7" s="10">
        <f>IF(DAY(AgoDom1)=1,AgoDom1+18,AgoDom1+25)</f>
        <v>42607</v>
      </c>
      <c r="G7" s="10">
        <f>IF(DAY(AgoDom1)=1,AgoDom1+19,AgoDom1+26)</f>
        <v>42608</v>
      </c>
      <c r="H7" s="10">
        <f>IF(DAY(AgoDom1)=1,AgoDom1+20,AgoDom1+27)</f>
        <v>42609</v>
      </c>
      <c r="I7" s="10">
        <f>IF(DAY(AgoDom1)=1,AgoDom1+21,AgoDom1+28)</f>
        <v>42610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IF(DAY(AgoDom1)=1,AgoDom1+22,AgoDom1+29)</f>
        <v>42611</v>
      </c>
      <c r="D8" s="10">
        <f>IF(DAY(AgoDom1)=1,AgoDom1+23,AgoDom1+30)</f>
        <v>42612</v>
      </c>
      <c r="E8" s="10">
        <f>IF(DAY(AgoDom1)=1,AgoDom1+24,AgoDom1+31)</f>
        <v>42613</v>
      </c>
      <c r="F8" s="10">
        <f>IF(DAY(AgoDom1)=1,AgoDom1+25,AgoDom1+32)</f>
        <v>42614</v>
      </c>
      <c r="G8" s="10">
        <f>IF(DAY(AgoDom1)=1,AgoDom1+26,AgoDom1+33)</f>
        <v>42615</v>
      </c>
      <c r="H8" s="10">
        <f>IF(DAY(AgoDom1)=1,AgoDom1+27,AgoDom1+34)</f>
        <v>42616</v>
      </c>
      <c r="I8" s="10">
        <f>IF(DAY(AgoDom1)=1,AgoDom1+28,AgoDom1+35)</f>
        <v>42617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IF(DAY(AgoDom1)=1,AgoDom1+29,AgoDom1+36)</f>
        <v>42618</v>
      </c>
      <c r="D9" s="10">
        <f>IF(DAY(AgoDom1)=1,AgoDom1+30,AgoDom1+37)</f>
        <v>42619</v>
      </c>
      <c r="E9" s="10">
        <f>IF(DAY(AgoDom1)=1,AgoDom1+31,AgoDom1+38)</f>
        <v>42620</v>
      </c>
      <c r="F9" s="10">
        <f>IF(DAY(AgoDom1)=1,AgoDom1+32,AgoDom1+39)</f>
        <v>42621</v>
      </c>
      <c r="G9" s="10">
        <f>IF(DAY(AgoDom1)=1,AgoDom1+33,AgoDom1+40)</f>
        <v>42622</v>
      </c>
      <c r="H9" s="10">
        <f>IF(DAY(AgoDom1)=1,AgoDom1+34,AgoDom1+41)</f>
        <v>42623</v>
      </c>
      <c r="I9" s="10">
        <f>IF(DAY(AgoDom1)=1,AgoDom1+35,AgoDom1+42)</f>
        <v>42624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9" priority="3" stopIfTrue="1">
      <formula>DAY(C4)&gt;8</formula>
    </cfRule>
  </conditionalFormatting>
  <conditionalFormatting sqref="C8:I10">
    <cfRule type="expression" dxfId="18" priority="2" stopIfTrue="1">
      <formula>AND(DAY(C8)&gt;=1,DAY(C8)&lt;=15)</formula>
    </cfRule>
  </conditionalFormatting>
  <conditionalFormatting sqref="C4:I9">
    <cfRule type="expression" dxfId="17" priority="4">
      <formula>VLOOKUP(DAY(C4),GiorniAssegno,1,FALSE)=DAY(C4)</formula>
    </cfRule>
  </conditionalFormatting>
  <conditionalFormatting sqref="B14:J33">
    <cfRule type="expression" dxfId="16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/>
    <pageSetUpPr fitToPage="1"/>
  </sheetPr>
  <dimension ref="A1:O33"/>
  <sheetViews>
    <sheetView showGridLines="0" zoomScaleNormal="100" zoomScalePageLayoutView="84" workbookViewId="0"/>
  </sheetViews>
  <sheetFormatPr defaultColWidth="8.7109375" defaultRowHeight="16.5" customHeight="1" x14ac:dyDescent="0.2"/>
  <cols>
    <col min="1" max="1" width="2.28515625" style="1" customWidth="1"/>
    <col min="2" max="2" width="12.7109375" style="1" customWidth="1"/>
    <col min="3" max="4" width="7.28515625" style="1" customWidth="1"/>
    <col min="5" max="6" width="6.7109375" style="1" customWidth="1"/>
    <col min="7" max="8" width="7.28515625" style="1" customWidth="1"/>
    <col min="9" max="10" width="6.7109375" style="1" customWidth="1"/>
    <col min="11" max="11" width="7.28515625" style="1" customWidth="1"/>
    <col min="12" max="12" width="3.85546875" customWidth="1"/>
    <col min="13" max="13" width="51.42578125" style="1" customWidth="1"/>
    <col min="14" max="14" width="10.7109375" style="1" customWidth="1"/>
    <col min="15" max="15" width="2.28515625" customWidth="1"/>
    <col min="16" max="16384" width="8.7109375" style="1"/>
  </cols>
  <sheetData>
    <row r="1" spans="1:14" ht="11.25" customHeight="1" x14ac:dyDescent="0.2"/>
    <row r="2" spans="1:14" ht="18" customHeight="1" x14ac:dyDescent="0.2">
      <c r="A2" s="4"/>
      <c r="B2" s="30"/>
      <c r="C2" s="21"/>
      <c r="D2" s="21"/>
      <c r="E2" s="21"/>
      <c r="F2" s="21"/>
      <c r="G2" s="21"/>
      <c r="H2" s="21"/>
      <c r="I2" s="21"/>
      <c r="J2" s="22"/>
      <c r="K2" s="42" t="s">
        <v>17</v>
      </c>
      <c r="L2" s="43">
        <v>2013</v>
      </c>
      <c r="M2" s="43"/>
      <c r="N2" s="79">
        <f>AnnoCalendario</f>
        <v>2016</v>
      </c>
    </row>
    <row r="3" spans="1:14" ht="21" customHeight="1" x14ac:dyDescent="0.2">
      <c r="A3" s="4"/>
      <c r="B3" s="68" t="s">
        <v>30</v>
      </c>
      <c r="C3" s="2" t="s">
        <v>31</v>
      </c>
      <c r="D3" s="2" t="s">
        <v>32</v>
      </c>
      <c r="E3" s="2" t="s">
        <v>33</v>
      </c>
      <c r="F3" s="2" t="s">
        <v>34</v>
      </c>
      <c r="G3" s="2" t="s">
        <v>35</v>
      </c>
      <c r="H3" s="2" t="s">
        <v>36</v>
      </c>
      <c r="I3" s="2" t="s">
        <v>37</v>
      </c>
      <c r="J3" s="5"/>
      <c r="K3" s="44"/>
      <c r="L3" s="45"/>
      <c r="M3" s="45"/>
      <c r="N3" s="80"/>
    </row>
    <row r="4" spans="1:14" ht="18" customHeight="1" x14ac:dyDescent="0.2">
      <c r="A4" s="4"/>
      <c r="B4" s="68"/>
      <c r="C4" s="10">
        <f>IF(DAY(SetDom1)=1,SetDom1-6,SetDom1+1)</f>
        <v>42611</v>
      </c>
      <c r="D4" s="10">
        <f>IF(DAY(SetDom1)=1,SetDom1-5,SetDom1+2)</f>
        <v>42612</v>
      </c>
      <c r="E4" s="10">
        <f>IF(DAY(SetDom1)=1,SetDom1-4,SetDom1+3)</f>
        <v>42613</v>
      </c>
      <c r="F4" s="10">
        <f>IF(DAY(SetDom1)=1,SetDom1-3,SetDom1+4)</f>
        <v>42614</v>
      </c>
      <c r="G4" s="10">
        <f>IF(DAY(SetDom1)=1,SetDom1-2,SetDom1+5)</f>
        <v>42615</v>
      </c>
      <c r="H4" s="10">
        <f>IF(DAY(SetDom1)=1,SetDom1-1,SetDom1+6)</f>
        <v>42616</v>
      </c>
      <c r="I4" s="10">
        <f>IF(DAY(SetDom1)=1,SetDom1,SetDom1+7)</f>
        <v>42617</v>
      </c>
      <c r="J4" s="5"/>
      <c r="K4" s="46" t="s">
        <v>2</v>
      </c>
      <c r="L4" s="16"/>
      <c r="M4" s="47"/>
      <c r="N4" s="48"/>
    </row>
    <row r="5" spans="1:14" ht="18" customHeight="1" x14ac:dyDescent="0.2">
      <c r="A5" s="4"/>
      <c r="B5" s="28"/>
      <c r="C5" s="10">
        <f>IF(DAY(SetDom1)=1,SetDom1+1,SetDom1+8)</f>
        <v>42618</v>
      </c>
      <c r="D5" s="10">
        <f>IF(DAY(SetDom1)=1,SetDom1+2,SetDom1+9)</f>
        <v>42619</v>
      </c>
      <c r="E5" s="10">
        <f>IF(DAY(SetDom1)=1,SetDom1+3,SetDom1+10)</f>
        <v>42620</v>
      </c>
      <c r="F5" s="10">
        <f>IF(DAY(SetDom1)=1,SetDom1+4,SetDom1+11)</f>
        <v>42621</v>
      </c>
      <c r="G5" s="10">
        <f>IF(DAY(SetDom1)=1,SetDom1+5,SetDom1+12)</f>
        <v>42622</v>
      </c>
      <c r="H5" s="10">
        <f>IF(DAY(SetDom1)=1,SetDom1+6,SetDom1+13)</f>
        <v>42623</v>
      </c>
      <c r="I5" s="10">
        <f>IF(DAY(SetDom1)=1,SetDom1+7,SetDom1+14)</f>
        <v>42624</v>
      </c>
      <c r="J5" s="5"/>
      <c r="K5" s="32"/>
      <c r="L5" s="17"/>
      <c r="M5" s="33"/>
      <c r="N5" s="34"/>
    </row>
    <row r="6" spans="1:14" ht="18" customHeight="1" x14ac:dyDescent="0.2">
      <c r="A6" s="4"/>
      <c r="B6" s="28"/>
      <c r="C6" s="10">
        <f>IF(DAY(SetDom1)=1,SetDom1+8,SetDom1+15)</f>
        <v>42625</v>
      </c>
      <c r="D6" s="10">
        <f>IF(DAY(SetDom1)=1,SetDom1+9,SetDom1+16)</f>
        <v>42626</v>
      </c>
      <c r="E6" s="10">
        <f>IF(DAY(SetDom1)=1,SetDom1+10,SetDom1+17)</f>
        <v>42627</v>
      </c>
      <c r="F6" s="10">
        <f>IF(DAY(SetDom1)=1,SetDom1+11,SetDom1+18)</f>
        <v>42628</v>
      </c>
      <c r="G6" s="10">
        <f>IF(DAY(SetDom1)=1,SetDom1+12,SetDom1+19)</f>
        <v>42629</v>
      </c>
      <c r="H6" s="10">
        <f>IF(DAY(SetDom1)=1,SetDom1+13,SetDom1+20)</f>
        <v>42630</v>
      </c>
      <c r="I6" s="10">
        <f>IF(DAY(SetDom1)=1,SetDom1+14,SetDom1+21)</f>
        <v>42631</v>
      </c>
      <c r="J6" s="5"/>
      <c r="K6" s="32"/>
      <c r="L6" s="17"/>
      <c r="M6" s="33"/>
      <c r="N6" s="34"/>
    </row>
    <row r="7" spans="1:14" ht="18" customHeight="1" x14ac:dyDescent="0.2">
      <c r="A7" s="4"/>
      <c r="B7" s="28"/>
      <c r="C7" s="10">
        <f>IF(DAY(SetDom1)=1,SetDom1+15,SetDom1+22)</f>
        <v>42632</v>
      </c>
      <c r="D7" s="10">
        <f>IF(DAY(SetDom1)=1,SetDom1+16,SetDom1+23)</f>
        <v>42633</v>
      </c>
      <c r="E7" s="10">
        <f>IF(DAY(SetDom1)=1,SetDom1+17,SetDom1+24)</f>
        <v>42634</v>
      </c>
      <c r="F7" s="10">
        <f>IF(DAY(SetDom1)=1,SetDom1+18,SetDom1+25)</f>
        <v>42635</v>
      </c>
      <c r="G7" s="10">
        <f>IF(DAY(SetDom1)=1,SetDom1+19,SetDom1+26)</f>
        <v>42636</v>
      </c>
      <c r="H7" s="10">
        <f>IF(DAY(SetDom1)=1,SetDom1+20,SetDom1+27)</f>
        <v>42637</v>
      </c>
      <c r="I7" s="10">
        <f>IF(DAY(SetDom1)=1,SetDom1+21,SetDom1+28)</f>
        <v>42638</v>
      </c>
      <c r="J7" s="5"/>
      <c r="K7" s="11"/>
      <c r="L7" s="17"/>
      <c r="M7" s="33"/>
      <c r="N7" s="34"/>
    </row>
    <row r="8" spans="1:14" ht="18.75" customHeight="1" x14ac:dyDescent="0.2">
      <c r="A8" s="4"/>
      <c r="B8" s="28"/>
      <c r="C8" s="10">
        <f>IF(DAY(SetDom1)=1,SetDom1+22,SetDom1+29)</f>
        <v>42639</v>
      </c>
      <c r="D8" s="10">
        <f>IF(DAY(SetDom1)=1,SetDom1+23,SetDom1+30)</f>
        <v>42640</v>
      </c>
      <c r="E8" s="10">
        <f>IF(DAY(SetDom1)=1,SetDom1+24,SetDom1+31)</f>
        <v>42641</v>
      </c>
      <c r="F8" s="10">
        <f>IF(DAY(SetDom1)=1,SetDom1+25,SetDom1+32)</f>
        <v>42642</v>
      </c>
      <c r="G8" s="10">
        <f>IF(DAY(SetDom1)=1,SetDom1+26,SetDom1+33)</f>
        <v>42643</v>
      </c>
      <c r="H8" s="10">
        <f>IF(DAY(SetDom1)=1,SetDom1+27,SetDom1+34)</f>
        <v>42644</v>
      </c>
      <c r="I8" s="10">
        <f>IF(DAY(SetDom1)=1,SetDom1+28,SetDom1+35)</f>
        <v>42645</v>
      </c>
      <c r="J8" s="5"/>
      <c r="K8" s="11"/>
      <c r="L8" s="17"/>
      <c r="M8" s="33"/>
      <c r="N8" s="34"/>
    </row>
    <row r="9" spans="1:14" ht="18" customHeight="1" x14ac:dyDescent="0.2">
      <c r="A9" s="4"/>
      <c r="B9" s="28"/>
      <c r="C9" s="10">
        <f>IF(DAY(SetDom1)=1,SetDom1+29,SetDom1+36)</f>
        <v>42646</v>
      </c>
      <c r="D9" s="10">
        <f>IF(DAY(SetDom1)=1,SetDom1+30,SetDom1+37)</f>
        <v>42647</v>
      </c>
      <c r="E9" s="10">
        <f>IF(DAY(SetDom1)=1,SetDom1+31,SetDom1+38)</f>
        <v>42648</v>
      </c>
      <c r="F9" s="10">
        <f>IF(DAY(SetDom1)=1,SetDom1+32,SetDom1+39)</f>
        <v>42649</v>
      </c>
      <c r="G9" s="10">
        <f>IF(DAY(SetDom1)=1,SetDom1+33,SetDom1+40)</f>
        <v>42650</v>
      </c>
      <c r="H9" s="10">
        <f>IF(DAY(SetDom1)=1,SetDom1+34,SetDom1+41)</f>
        <v>42651</v>
      </c>
      <c r="I9" s="10">
        <f>IF(DAY(SetDom1)=1,SetDom1+35,SetDom1+42)</f>
        <v>42652</v>
      </c>
      <c r="J9" s="5"/>
      <c r="K9" s="12"/>
      <c r="L9" s="18"/>
      <c r="M9" s="35"/>
      <c r="N9" s="36"/>
    </row>
    <row r="10" spans="1:14" ht="18" customHeight="1" x14ac:dyDescent="0.2">
      <c r="A10" s="4"/>
      <c r="B10" s="29"/>
      <c r="C10" s="23"/>
      <c r="D10" s="23"/>
      <c r="E10" s="23"/>
      <c r="F10" s="23"/>
      <c r="G10" s="23"/>
      <c r="H10" s="23"/>
      <c r="I10" s="23"/>
      <c r="J10" s="24"/>
      <c r="K10" s="31" t="s">
        <v>9</v>
      </c>
      <c r="L10" s="16"/>
      <c r="M10" s="37"/>
      <c r="N10" s="38"/>
    </row>
    <row r="11" spans="1:14" ht="18" customHeight="1" x14ac:dyDescent="0.2">
      <c r="A11" s="4"/>
      <c r="B11" s="70" t="s">
        <v>1</v>
      </c>
      <c r="C11" s="71"/>
      <c r="D11" s="71"/>
      <c r="E11" s="71"/>
      <c r="F11" s="71"/>
      <c r="G11" s="71"/>
      <c r="H11" s="71"/>
      <c r="I11" s="71"/>
      <c r="J11" s="72"/>
      <c r="K11" s="32"/>
      <c r="L11" s="17"/>
      <c r="M11" s="33"/>
      <c r="N11" s="34"/>
    </row>
    <row r="12" spans="1:14" ht="18" customHeight="1" x14ac:dyDescent="0.2">
      <c r="A12" s="4"/>
      <c r="B12" s="70"/>
      <c r="C12" s="71"/>
      <c r="D12" s="71"/>
      <c r="E12" s="71"/>
      <c r="F12" s="71"/>
      <c r="G12" s="71"/>
      <c r="H12" s="71"/>
      <c r="I12" s="71"/>
      <c r="J12" s="72"/>
      <c r="K12" s="32"/>
      <c r="L12" s="17"/>
      <c r="M12" s="33"/>
      <c r="N12" s="34"/>
    </row>
    <row r="13" spans="1:14" ht="18" customHeight="1" x14ac:dyDescent="0.2">
      <c r="B13" s="3" t="s">
        <v>2</v>
      </c>
      <c r="C13" s="39" t="s">
        <v>9</v>
      </c>
      <c r="D13" s="41"/>
      <c r="E13" s="39" t="s">
        <v>14</v>
      </c>
      <c r="F13" s="41"/>
      <c r="G13" s="39" t="s">
        <v>15</v>
      </c>
      <c r="H13" s="41"/>
      <c r="I13" s="39" t="s">
        <v>16</v>
      </c>
      <c r="J13" s="40"/>
      <c r="K13" s="11"/>
      <c r="L13" s="17"/>
      <c r="M13" s="33"/>
      <c r="N13" s="34"/>
    </row>
    <row r="14" spans="1:14" ht="18" customHeight="1" x14ac:dyDescent="0.2">
      <c r="B14" s="8" t="s">
        <v>3</v>
      </c>
      <c r="C14" s="53"/>
      <c r="D14" s="54"/>
      <c r="E14" s="53" t="s">
        <v>3</v>
      </c>
      <c r="F14" s="54"/>
      <c r="G14" s="53"/>
      <c r="H14" s="54"/>
      <c r="I14" s="53" t="s">
        <v>3</v>
      </c>
      <c r="J14" s="62"/>
      <c r="K14" s="11"/>
      <c r="L14" s="17"/>
      <c r="M14" s="33"/>
      <c r="N14" s="34"/>
    </row>
    <row r="15" spans="1:14" ht="18" customHeight="1" x14ac:dyDescent="0.2">
      <c r="B15" s="6" t="s">
        <v>4</v>
      </c>
      <c r="C15" s="51"/>
      <c r="D15" s="52"/>
      <c r="E15" s="51" t="s">
        <v>4</v>
      </c>
      <c r="F15" s="52"/>
      <c r="G15" s="51"/>
      <c r="H15" s="52"/>
      <c r="I15" s="59" t="s">
        <v>4</v>
      </c>
      <c r="J15" s="60"/>
      <c r="K15" s="13"/>
      <c r="L15" s="19"/>
      <c r="M15" s="35"/>
      <c r="N15" s="36"/>
    </row>
    <row r="16" spans="1:14" ht="18" customHeight="1" x14ac:dyDescent="0.2">
      <c r="B16" s="8"/>
      <c r="C16" s="53" t="s">
        <v>10</v>
      </c>
      <c r="D16" s="54"/>
      <c r="E16" s="53"/>
      <c r="F16" s="54"/>
      <c r="G16" s="53" t="s">
        <v>10</v>
      </c>
      <c r="H16" s="54"/>
      <c r="I16" s="63"/>
      <c r="J16" s="64"/>
      <c r="K16" s="31" t="s">
        <v>14</v>
      </c>
      <c r="L16" s="16"/>
      <c r="M16" s="37"/>
      <c r="N16" s="38"/>
    </row>
    <row r="17" spans="2:14" ht="18" customHeight="1" x14ac:dyDescent="0.2">
      <c r="B17" s="6"/>
      <c r="C17" s="51" t="s">
        <v>11</v>
      </c>
      <c r="D17" s="52"/>
      <c r="E17" s="51"/>
      <c r="F17" s="52"/>
      <c r="G17" s="51" t="s">
        <v>11</v>
      </c>
      <c r="H17" s="52"/>
      <c r="I17" s="59"/>
      <c r="J17" s="60"/>
      <c r="K17" s="32"/>
      <c r="L17" s="17"/>
      <c r="M17" s="33"/>
      <c r="N17" s="34"/>
    </row>
    <row r="18" spans="2:14" ht="18" customHeight="1" x14ac:dyDescent="0.2">
      <c r="B18" s="9" t="s">
        <v>5</v>
      </c>
      <c r="C18" s="55"/>
      <c r="D18" s="56"/>
      <c r="E18" s="55" t="s">
        <v>5</v>
      </c>
      <c r="F18" s="56"/>
      <c r="G18" s="55"/>
      <c r="H18" s="56"/>
      <c r="I18" s="55" t="s">
        <v>5</v>
      </c>
      <c r="J18" s="61"/>
      <c r="K18" s="32"/>
      <c r="L18" s="17"/>
      <c r="M18" s="33"/>
      <c r="N18" s="34"/>
    </row>
    <row r="19" spans="2:14" ht="18" customHeight="1" x14ac:dyDescent="0.2">
      <c r="B19" s="6" t="s">
        <v>6</v>
      </c>
      <c r="C19" s="51"/>
      <c r="D19" s="52"/>
      <c r="E19" s="51" t="s">
        <v>6</v>
      </c>
      <c r="F19" s="52"/>
      <c r="G19" s="51"/>
      <c r="H19" s="52"/>
      <c r="I19" s="59" t="s">
        <v>6</v>
      </c>
      <c r="J19" s="60"/>
      <c r="K19" s="11"/>
      <c r="L19" s="17"/>
      <c r="M19" s="33"/>
      <c r="N19" s="34"/>
    </row>
    <row r="20" spans="2:14" ht="18" customHeight="1" x14ac:dyDescent="0.2">
      <c r="B20" s="8"/>
      <c r="C20" s="53"/>
      <c r="D20" s="54"/>
      <c r="E20" s="53"/>
      <c r="F20" s="54"/>
      <c r="G20" s="53"/>
      <c r="H20" s="54"/>
      <c r="I20" s="53"/>
      <c r="J20" s="62"/>
      <c r="K20" s="11"/>
      <c r="L20" s="17"/>
      <c r="M20" s="33"/>
      <c r="N20" s="34"/>
    </row>
    <row r="21" spans="2:14" ht="18" customHeight="1" x14ac:dyDescent="0.2">
      <c r="B21" s="6"/>
      <c r="C21" s="51"/>
      <c r="D21" s="52"/>
      <c r="E21" s="51"/>
      <c r="F21" s="52"/>
      <c r="G21" s="51"/>
      <c r="H21" s="52"/>
      <c r="I21" s="65"/>
      <c r="J21" s="66"/>
      <c r="K21" s="13"/>
      <c r="L21" s="19"/>
      <c r="M21" s="35"/>
      <c r="N21" s="36"/>
    </row>
    <row r="22" spans="2:14" ht="18" customHeight="1" x14ac:dyDescent="0.2">
      <c r="B22" s="8"/>
      <c r="C22" s="53"/>
      <c r="D22" s="54"/>
      <c r="E22" s="53"/>
      <c r="F22" s="54"/>
      <c r="G22" s="53"/>
      <c r="H22" s="54"/>
      <c r="I22" s="53"/>
      <c r="J22" s="62"/>
      <c r="K22" s="31" t="s">
        <v>15</v>
      </c>
      <c r="L22" s="16"/>
      <c r="M22" s="37"/>
      <c r="N22" s="38"/>
    </row>
    <row r="23" spans="2:14" ht="18" customHeight="1" x14ac:dyDescent="0.2">
      <c r="B23" s="6"/>
      <c r="C23" s="51"/>
      <c r="D23" s="52"/>
      <c r="E23" s="51"/>
      <c r="F23" s="52"/>
      <c r="G23" s="51"/>
      <c r="H23" s="52"/>
      <c r="I23" s="59"/>
      <c r="J23" s="60"/>
      <c r="K23" s="32"/>
      <c r="L23" s="17"/>
      <c r="M23" s="33"/>
      <c r="N23" s="34"/>
    </row>
    <row r="24" spans="2:14" ht="18" customHeight="1" x14ac:dyDescent="0.2">
      <c r="B24" s="8"/>
      <c r="C24" s="53"/>
      <c r="D24" s="54"/>
      <c r="E24" s="53"/>
      <c r="F24" s="54"/>
      <c r="G24" s="53"/>
      <c r="H24" s="54"/>
      <c r="I24" s="53"/>
      <c r="J24" s="62"/>
      <c r="K24" s="32"/>
      <c r="L24" s="17"/>
      <c r="M24" s="33"/>
      <c r="N24" s="34"/>
    </row>
    <row r="25" spans="2:14" ht="18" customHeight="1" x14ac:dyDescent="0.2">
      <c r="B25" s="6"/>
      <c r="C25" s="51"/>
      <c r="D25" s="52"/>
      <c r="E25" s="51"/>
      <c r="F25" s="52"/>
      <c r="G25" s="51"/>
      <c r="H25" s="52"/>
      <c r="I25" s="59"/>
      <c r="J25" s="60"/>
      <c r="K25" s="32"/>
      <c r="L25" s="17"/>
      <c r="M25" s="33"/>
      <c r="N25" s="34"/>
    </row>
    <row r="26" spans="2:14" ht="18" customHeight="1" x14ac:dyDescent="0.2">
      <c r="B26" s="8" t="s">
        <v>7</v>
      </c>
      <c r="C26" s="53"/>
      <c r="D26" s="54"/>
      <c r="E26" s="53" t="s">
        <v>7</v>
      </c>
      <c r="F26" s="54"/>
      <c r="G26" s="53"/>
      <c r="H26" s="54"/>
      <c r="I26" s="53" t="s">
        <v>7</v>
      </c>
      <c r="J26" s="62"/>
      <c r="K26" s="11"/>
      <c r="L26" s="17"/>
      <c r="M26" s="33"/>
      <c r="N26" s="34"/>
    </row>
    <row r="27" spans="2:14" ht="18" customHeight="1" x14ac:dyDescent="0.2">
      <c r="B27" s="6" t="s">
        <v>8</v>
      </c>
      <c r="C27" s="51"/>
      <c r="D27" s="52"/>
      <c r="E27" s="51" t="s">
        <v>8</v>
      </c>
      <c r="F27" s="52"/>
      <c r="G27" s="51"/>
      <c r="H27" s="52"/>
      <c r="I27" s="59" t="s">
        <v>8</v>
      </c>
      <c r="J27" s="60"/>
      <c r="K27" s="13"/>
      <c r="L27" s="19"/>
      <c r="M27" s="35"/>
      <c r="N27" s="36"/>
    </row>
    <row r="28" spans="2:14" ht="18" customHeight="1" x14ac:dyDescent="0.2">
      <c r="B28" s="8"/>
      <c r="C28" s="53"/>
      <c r="D28" s="54"/>
      <c r="E28" s="53"/>
      <c r="F28" s="54"/>
      <c r="G28" s="53"/>
      <c r="H28" s="54"/>
      <c r="I28" s="53"/>
      <c r="J28" s="62"/>
      <c r="K28" s="31" t="s">
        <v>16</v>
      </c>
      <c r="L28" s="16"/>
      <c r="M28" s="37"/>
      <c r="N28" s="38"/>
    </row>
    <row r="29" spans="2:14" ht="18" customHeight="1" x14ac:dyDescent="0.2">
      <c r="B29" s="6"/>
      <c r="C29" s="51"/>
      <c r="D29" s="52"/>
      <c r="E29" s="51"/>
      <c r="F29" s="52"/>
      <c r="G29" s="51"/>
      <c r="H29" s="52"/>
      <c r="I29" s="51"/>
      <c r="J29" s="67"/>
      <c r="K29" s="32"/>
      <c r="L29" s="17"/>
      <c r="M29" s="33"/>
      <c r="N29" s="34"/>
    </row>
    <row r="30" spans="2:14" ht="18" customHeight="1" x14ac:dyDescent="0.2">
      <c r="B30" s="8"/>
      <c r="C30" s="53" t="s">
        <v>12</v>
      </c>
      <c r="D30" s="54"/>
      <c r="E30" s="53"/>
      <c r="F30" s="54"/>
      <c r="G30" s="53" t="s">
        <v>12</v>
      </c>
      <c r="H30" s="54"/>
      <c r="I30" s="75"/>
      <c r="J30" s="76"/>
      <c r="K30" s="32"/>
      <c r="L30" s="17"/>
      <c r="M30" s="33"/>
      <c r="N30" s="34"/>
    </row>
    <row r="31" spans="2:14" ht="18" customHeight="1" x14ac:dyDescent="0.2">
      <c r="B31" s="6"/>
      <c r="C31" s="51" t="s">
        <v>13</v>
      </c>
      <c r="D31" s="52"/>
      <c r="E31" s="51"/>
      <c r="F31" s="52"/>
      <c r="G31" s="51" t="s">
        <v>13</v>
      </c>
      <c r="H31" s="52"/>
      <c r="I31" s="51"/>
      <c r="J31" s="67"/>
      <c r="K31" s="14"/>
      <c r="L31" s="17"/>
      <c r="M31" s="33"/>
      <c r="N31" s="34"/>
    </row>
    <row r="32" spans="2:14" ht="18" customHeight="1" x14ac:dyDescent="0.2">
      <c r="B32" s="8"/>
      <c r="C32" s="53"/>
      <c r="D32" s="54"/>
      <c r="E32" s="53"/>
      <c r="F32" s="54"/>
      <c r="G32" s="53"/>
      <c r="H32" s="54"/>
      <c r="I32" s="63"/>
      <c r="J32" s="64"/>
      <c r="K32" s="14"/>
      <c r="L32" s="17"/>
      <c r="M32" s="33"/>
      <c r="N32" s="34"/>
    </row>
    <row r="33" spans="2:14" ht="18" customHeight="1" x14ac:dyDescent="0.2">
      <c r="B33" s="7"/>
      <c r="C33" s="57"/>
      <c r="D33" s="58"/>
      <c r="E33" s="57"/>
      <c r="F33" s="58"/>
      <c r="G33" s="57"/>
      <c r="H33" s="58"/>
      <c r="I33" s="77"/>
      <c r="J33" s="78"/>
      <c r="K33" s="15"/>
      <c r="L33" s="20"/>
      <c r="M33" s="73"/>
      <c r="N33" s="74"/>
    </row>
  </sheetData>
  <mergeCells count="123">
    <mergeCell ref="C33:D33"/>
    <mergeCell ref="E33:F33"/>
    <mergeCell ref="G33:H33"/>
    <mergeCell ref="I33:J33"/>
    <mergeCell ref="M33:N33"/>
    <mergeCell ref="C31:D31"/>
    <mergeCell ref="E31:F31"/>
    <mergeCell ref="G31:H31"/>
    <mergeCell ref="I31:J31"/>
    <mergeCell ref="M31:N31"/>
    <mergeCell ref="C32:D32"/>
    <mergeCell ref="E32:F32"/>
    <mergeCell ref="G32:H32"/>
    <mergeCell ref="I32:J32"/>
    <mergeCell ref="M32:N32"/>
    <mergeCell ref="M29:N29"/>
    <mergeCell ref="C30:D30"/>
    <mergeCell ref="E30:F30"/>
    <mergeCell ref="G30:H30"/>
    <mergeCell ref="I30:J30"/>
    <mergeCell ref="M30:N30"/>
    <mergeCell ref="C28:D28"/>
    <mergeCell ref="E28:F28"/>
    <mergeCell ref="G28:H28"/>
    <mergeCell ref="I28:J28"/>
    <mergeCell ref="K28:K30"/>
    <mergeCell ref="M28:N28"/>
    <mergeCell ref="C29:D29"/>
    <mergeCell ref="E29:F29"/>
    <mergeCell ref="G29:H29"/>
    <mergeCell ref="I29:J29"/>
    <mergeCell ref="I25:J25"/>
    <mergeCell ref="M25:N25"/>
    <mergeCell ref="C26:D26"/>
    <mergeCell ref="E26:F26"/>
    <mergeCell ref="G26:H26"/>
    <mergeCell ref="I26:J26"/>
    <mergeCell ref="M26:N26"/>
    <mergeCell ref="C27:D27"/>
    <mergeCell ref="E27:F27"/>
    <mergeCell ref="G27:H27"/>
    <mergeCell ref="I27:J27"/>
    <mergeCell ref="M27:N27"/>
    <mergeCell ref="M22:N22"/>
    <mergeCell ref="C23:D23"/>
    <mergeCell ref="E23:F23"/>
    <mergeCell ref="G23:H23"/>
    <mergeCell ref="I23:J23"/>
    <mergeCell ref="M23:N23"/>
    <mergeCell ref="C21:D21"/>
    <mergeCell ref="E21:F21"/>
    <mergeCell ref="G21:H21"/>
    <mergeCell ref="I21:J21"/>
    <mergeCell ref="M21:N21"/>
    <mergeCell ref="C22:D22"/>
    <mergeCell ref="E22:F22"/>
    <mergeCell ref="G22:H22"/>
    <mergeCell ref="I22:J22"/>
    <mergeCell ref="K22:K25"/>
    <mergeCell ref="C24:D24"/>
    <mergeCell ref="E24:F24"/>
    <mergeCell ref="G24:H24"/>
    <mergeCell ref="I24:J24"/>
    <mergeCell ref="M24:N24"/>
    <mergeCell ref="C25:D25"/>
    <mergeCell ref="E25:F25"/>
    <mergeCell ref="G25:H25"/>
    <mergeCell ref="C19:D19"/>
    <mergeCell ref="E19:F19"/>
    <mergeCell ref="G19:H19"/>
    <mergeCell ref="I19:J19"/>
    <mergeCell ref="M19:N19"/>
    <mergeCell ref="C20:D20"/>
    <mergeCell ref="E20:F20"/>
    <mergeCell ref="G20:H20"/>
    <mergeCell ref="I20:J20"/>
    <mergeCell ref="M20:N20"/>
    <mergeCell ref="M17:N17"/>
    <mergeCell ref="C18:D18"/>
    <mergeCell ref="E18:F18"/>
    <mergeCell ref="G18:H18"/>
    <mergeCell ref="I18:J18"/>
    <mergeCell ref="M18:N18"/>
    <mergeCell ref="C16:D16"/>
    <mergeCell ref="E16:F16"/>
    <mergeCell ref="G16:H16"/>
    <mergeCell ref="I16:J16"/>
    <mergeCell ref="K16:K18"/>
    <mergeCell ref="M16:N16"/>
    <mergeCell ref="C17:D17"/>
    <mergeCell ref="E17:F17"/>
    <mergeCell ref="G17:H17"/>
    <mergeCell ref="I17:J17"/>
    <mergeCell ref="C14:D14"/>
    <mergeCell ref="E14:F14"/>
    <mergeCell ref="G14:H14"/>
    <mergeCell ref="I14:J14"/>
    <mergeCell ref="M14:N14"/>
    <mergeCell ref="C15:D15"/>
    <mergeCell ref="E15:F15"/>
    <mergeCell ref="G15:H15"/>
    <mergeCell ref="I15:J15"/>
    <mergeCell ref="M15:N15"/>
    <mergeCell ref="K10:K12"/>
    <mergeCell ref="N2:N3"/>
    <mergeCell ref="M10:N10"/>
    <mergeCell ref="B11:J12"/>
    <mergeCell ref="M11:N11"/>
    <mergeCell ref="M12:N12"/>
    <mergeCell ref="C13:D13"/>
    <mergeCell ref="E13:F13"/>
    <mergeCell ref="G13:H13"/>
    <mergeCell ref="I13:J13"/>
    <mergeCell ref="M13:N13"/>
    <mergeCell ref="B3:B4"/>
    <mergeCell ref="K2:M3"/>
    <mergeCell ref="K4:K6"/>
    <mergeCell ref="M4:N4"/>
    <mergeCell ref="M5:N5"/>
    <mergeCell ref="M6:N6"/>
    <mergeCell ref="M7:N7"/>
    <mergeCell ref="M8:N8"/>
    <mergeCell ref="M9:N9"/>
  </mergeCells>
  <conditionalFormatting sqref="C4:H4">
    <cfRule type="expression" dxfId="15" priority="3" stopIfTrue="1">
      <formula>DAY(C4)&gt;8</formula>
    </cfRule>
  </conditionalFormatting>
  <conditionalFormatting sqref="C8:I10">
    <cfRule type="expression" dxfId="14" priority="2" stopIfTrue="1">
      <formula>AND(DAY(C8)&gt;=1,DAY(C8)&lt;=15)</formula>
    </cfRule>
  </conditionalFormatting>
  <conditionalFormatting sqref="C4:I9">
    <cfRule type="expression" dxfId="13" priority="4">
      <formula>VLOOKUP(DAY(C4),GiorniAssegno,1,FALSE)=DAY(C4)</formula>
    </cfRule>
  </conditionalFormatting>
  <conditionalFormatting sqref="B14:J33">
    <cfRule type="expression" dxfId="12" priority="1">
      <formula>B14&lt;&gt;""</formula>
    </cfRule>
  </conditionalFormatting>
  <printOptions horizontalCentered="1" verticalCentered="1"/>
  <pageMargins left="0.5" right="0.5" top="0.5" bottom="0.5" header="0.3" footer="0.3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37</vt:i4>
      </vt:variant>
    </vt:vector>
  </HeadingPairs>
  <TitlesOfParts>
    <vt:vector size="49" baseType="lpstr">
      <vt:lpstr>Gen</vt:lpstr>
      <vt:lpstr>Feb</vt:lpstr>
      <vt:lpstr>Mar</vt:lpstr>
      <vt:lpstr>Apr</vt:lpstr>
      <vt:lpstr>Mag</vt:lpstr>
      <vt:lpstr>Giu</vt:lpstr>
      <vt:lpstr>Lug</vt:lpstr>
      <vt:lpstr>Ago</vt:lpstr>
      <vt:lpstr>Set</vt:lpstr>
      <vt:lpstr>Ott</vt:lpstr>
      <vt:lpstr>Nov</vt:lpstr>
      <vt:lpstr>Dic</vt:lpstr>
      <vt:lpstr>AnnoCalendario</vt:lpstr>
      <vt:lpstr>Ago!GiorniAssegno</vt:lpstr>
      <vt:lpstr>Apr!GiorniAssegno</vt:lpstr>
      <vt:lpstr>Dic!GiorniAssegno</vt:lpstr>
      <vt:lpstr>Feb!GiorniAssegno</vt:lpstr>
      <vt:lpstr>Giu!GiorniAssegno</vt:lpstr>
      <vt:lpstr>Lug!GiorniAssegno</vt:lpstr>
      <vt:lpstr>Mag!GiorniAssegno</vt:lpstr>
      <vt:lpstr>Mar!GiorniAssegno</vt:lpstr>
      <vt:lpstr>Nov!GiorniAssegno</vt:lpstr>
      <vt:lpstr>Ott!GiorniAssegno</vt:lpstr>
      <vt:lpstr>Set!GiorniAssegno</vt:lpstr>
      <vt:lpstr>GiorniAssegno</vt:lpstr>
      <vt:lpstr>Ago!Print_Area</vt:lpstr>
      <vt:lpstr>Apr!Print_Area</vt:lpstr>
      <vt:lpstr>Dic!Print_Area</vt:lpstr>
      <vt:lpstr>Feb!Print_Area</vt:lpstr>
      <vt:lpstr>Gen!Print_Area</vt:lpstr>
      <vt:lpstr>Giu!Print_Area</vt:lpstr>
      <vt:lpstr>Lug!Print_Area</vt:lpstr>
      <vt:lpstr>Mag!Print_Area</vt:lpstr>
      <vt:lpstr>Mar!Print_Area</vt:lpstr>
      <vt:lpstr>Nov!Print_Area</vt:lpstr>
      <vt:lpstr>Ott!Print_Area</vt:lpstr>
      <vt:lpstr>Set!Print_Area</vt:lpstr>
      <vt:lpstr>Ago!TabellaDateImportanti</vt:lpstr>
      <vt:lpstr>Apr!TabellaDateImportanti</vt:lpstr>
      <vt:lpstr>Dic!TabellaDateImportanti</vt:lpstr>
      <vt:lpstr>Feb!TabellaDateImportanti</vt:lpstr>
      <vt:lpstr>Giu!TabellaDateImportanti</vt:lpstr>
      <vt:lpstr>Lug!TabellaDateImportanti</vt:lpstr>
      <vt:lpstr>Mag!TabellaDateImportanti</vt:lpstr>
      <vt:lpstr>Mar!TabellaDateImportanti</vt:lpstr>
      <vt:lpstr>Nov!TabellaDateImportanti</vt:lpstr>
      <vt:lpstr>Ott!TabellaDateImportanti</vt:lpstr>
      <vt:lpstr>Set!TabellaDateImportanti</vt:lpstr>
      <vt:lpstr>TabellaDateImportanti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dcterms:created xsi:type="dcterms:W3CDTF">2013-11-22T23:21:45Z</dcterms:created>
  <dcterms:modified xsi:type="dcterms:W3CDTF">2015-10-22T15:04:54Z</dcterms:modified>
</cp:coreProperties>
</file>