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14_FY14_Jan01\07_For_HB\HUN\"/>
    </mc:Choice>
  </mc:AlternateContent>
  <bookViews>
    <workbookView xWindow="0" yWindow="0" windowWidth="20490" windowHeight="7515"/>
  </bookViews>
  <sheets>
    <sheet name="Családi költségvetés" sheetId="1" r:id="rId1"/>
  </sheets>
  <definedNames>
    <definedName name="_xlnm.Print_Titles">'Családi költségvetés'!$B:$D,'Családi költségvetés'!$17:$17</definedName>
  </definedNames>
  <calcPr calcId="152511"/>
</workbook>
</file>

<file path=xl/calcChain.xml><?xml version="1.0" encoding="utf-8"?>
<calcChain xmlns="http://schemas.openxmlformats.org/spreadsheetml/2006/main">
  <c r="P19" i="1" l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18" i="1"/>
  <c r="P14" i="1"/>
  <c r="P15" i="1"/>
  <c r="P13" i="1"/>
  <c r="O15" i="1"/>
  <c r="O14" i="1"/>
  <c r="O13" i="1"/>
  <c r="N10" i="1"/>
  <c r="N9" i="1"/>
  <c r="N8" i="1"/>
  <c r="M10" i="1"/>
  <c r="M9" i="1"/>
  <c r="M8" i="1"/>
  <c r="L10" i="1"/>
  <c r="L9" i="1"/>
  <c r="L8" i="1"/>
  <c r="K10" i="1"/>
  <c r="K9" i="1"/>
  <c r="K8" i="1"/>
  <c r="J9" i="1"/>
  <c r="J8" i="1"/>
  <c r="I9" i="1"/>
  <c r="I8" i="1"/>
  <c r="H9" i="1"/>
  <c r="H8" i="1"/>
  <c r="G9" i="1"/>
  <c r="G8" i="1"/>
  <c r="F9" i="1"/>
  <c r="F8" i="1"/>
  <c r="E9" i="1"/>
  <c r="E8" i="1"/>
  <c r="D9" i="1"/>
  <c r="D8" i="1"/>
  <c r="C9" i="1"/>
  <c r="C8" i="1"/>
  <c r="G10" i="1" l="1"/>
  <c r="E10" i="1"/>
  <c r="J10" i="1"/>
  <c r="I10" i="1"/>
  <c r="H10" i="1"/>
  <c r="F10" i="1"/>
  <c r="D10" i="1"/>
  <c r="C10" i="1"/>
  <c r="P8" i="1"/>
  <c r="O8" i="1"/>
  <c r="P9" i="1"/>
  <c r="P10" i="1" l="1"/>
  <c r="O9" i="1"/>
  <c r="O10" i="1" l="1"/>
</calcChain>
</file>

<file path=xl/sharedStrings.xml><?xml version="1.0" encoding="utf-8"?>
<sst xmlns="http://schemas.openxmlformats.org/spreadsheetml/2006/main" count="73" uniqueCount="44">
  <si>
    <t>[ÉV]</t>
  </si>
  <si>
    <t>Összesítés</t>
  </si>
  <si>
    <t>Jövedelem</t>
  </si>
  <si>
    <t>Kiadás</t>
  </si>
  <si>
    <t>Rendelkezésre álló készpénz</t>
  </si>
  <si>
    <t>Jövedelemtípus</t>
  </si>
  <si>
    <t>Jövedelem 1</t>
  </si>
  <si>
    <t>Jövedelem 2</t>
  </si>
  <si>
    <t>Egyéb jövedelem</t>
  </si>
  <si>
    <t>Lakás</t>
  </si>
  <si>
    <t>Autó költségei 1</t>
  </si>
  <si>
    <t>Autó költségei 2</t>
  </si>
  <si>
    <t>1. hitelkártya</t>
  </si>
  <si>
    <t>2. hitelkártya</t>
  </si>
  <si>
    <t>Biztosítás</t>
  </si>
  <si>
    <t>Otthoni telefon</t>
  </si>
  <si>
    <t>Mobiltelefon</t>
  </si>
  <si>
    <t>Kábeltévé</t>
  </si>
  <si>
    <t>Internet</t>
  </si>
  <si>
    <t>Áram</t>
  </si>
  <si>
    <t>Víz</t>
  </si>
  <si>
    <t>Gáz</t>
  </si>
  <si>
    <t>Szórakozás</t>
  </si>
  <si>
    <t>Tandíj</t>
  </si>
  <si>
    <t>Megtakarítás</t>
  </si>
  <si>
    <t>Egyéb</t>
  </si>
  <si>
    <t>JAN.</t>
  </si>
  <si>
    <t>FEBR.</t>
  </si>
  <si>
    <t>Családi
költségvetés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</si>
  <si>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</si>
  <si>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</si>
  <si>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</si>
  <si>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</si>
  <si>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</si>
  <si>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</si>
  <si>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</si>
  <si>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</si>
  <si>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</si>
  <si>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</si>
  <si>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IDEI ÖSSZESEN</t>
  </si>
  <si>
    <t>HAVI ÁTLAG</t>
  </si>
  <si>
    <t xml:space="preserve"> </t>
  </si>
  <si>
    <t>Rendelkezésre állókészpénz tendenciája:</t>
  </si>
  <si>
    <t>Élelmiszer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</si>
</sst>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\ &quot;Ft&quot;"/>
  </numFmts>
  <fonts count="10" x14ac:knownFonts="1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  <font>
      <b/>
      <sz val="10"/>
      <color theme="2"/>
      <name val="Segoe UI"/>
      <family val="2"/>
      <scheme val="minor"/>
    </font>
    <font>
      <sz val="72"/>
      <color theme="2"/>
      <name val="Segoe UI"/>
      <family val="2"/>
      <scheme val="major"/>
    </font>
    <font>
      <b/>
      <sz val="24"/>
      <color theme="2"/>
      <name val="Segoe UI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4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1" fillId="5" borderId="0" xfId="2" applyFill="1"/>
    <xf numFmtId="0" fontId="0" fillId="0" borderId="0" xfId="0" applyFont="1" applyFill="1" applyAlignment="1">
      <alignment horizontal="left" vertical="center" indent="1"/>
    </xf>
    <xf numFmtId="0" fontId="0" fillId="5" borderId="0" xfId="0" applyFill="1" applyAlignment="1"/>
    <xf numFmtId="0" fontId="0" fillId="0" borderId="0" xfId="0" applyFont="1" applyFill="1" applyBorder="1" applyAlignment="1">
      <alignment horizontal="left" vertical="center" indent="1"/>
    </xf>
    <xf numFmtId="0" fontId="0" fillId="8" borderId="0" xfId="0" applyFill="1">
      <alignment vertical="center"/>
    </xf>
    <xf numFmtId="164" fontId="0" fillId="8" borderId="0" xfId="0" applyNumberFormat="1" applyFill="1" applyAlignment="1">
      <alignment horizontal="right" vertical="center" indent="3"/>
    </xf>
    <xf numFmtId="164" fontId="1" fillId="8" borderId="0" xfId="2" applyNumberFormat="1" applyFill="1"/>
    <xf numFmtId="164" fontId="0" fillId="8" borderId="0" xfId="0" applyNumberFormat="1" applyFill="1" applyAlignment="1"/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6" fillId="7" borderId="0" xfId="4" applyNumberFormat="1" applyFill="1" applyAlignment="1">
      <alignment horizontal="left" vertical="center" wrapText="1" indent="1"/>
    </xf>
    <xf numFmtId="0" fontId="6" fillId="5" borderId="0" xfId="4" applyNumberFormat="1" applyFill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3" borderId="0" xfId="0" applyNumberFormat="1" applyFill="1">
      <alignment vertical="center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164" fontId="1" fillId="8" borderId="0" xfId="2" applyNumberFormat="1" applyFill="1" applyAlignment="1">
      <alignment horizontal="right" vertical="center" indent="3"/>
    </xf>
    <xf numFmtId="0" fontId="0" fillId="3" borderId="0" xfId="0" applyNumberFormat="1" applyFill="1" applyAlignment="1">
      <alignment vertical="center"/>
    </xf>
    <xf numFmtId="0" fontId="0" fillId="5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0" fontId="7" fillId="6" borderId="0" xfId="0" applyNumberFormat="1" applyFont="1" applyFill="1" applyAlignment="1">
      <alignment horizontal="left" vertical="top" indent="1"/>
    </xf>
    <xf numFmtId="0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165" fontId="0" fillId="8" borderId="0" xfId="0" applyNumberFormat="1" applyFont="1" applyFill="1">
      <alignment vertical="center"/>
    </xf>
    <xf numFmtId="165" fontId="0" fillId="8" borderId="0" xfId="0" applyNumberFormat="1" applyFont="1" applyFill="1" applyAlignment="1">
      <alignment horizontal="right" vertical="center" indent="3"/>
    </xf>
    <xf numFmtId="165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right" vertical="center" indent="3"/>
    </xf>
    <xf numFmtId="165" fontId="0" fillId="0" borderId="0" xfId="0" applyNumberFormat="1" applyFont="1" applyFill="1">
      <alignment vertical="center"/>
    </xf>
    <xf numFmtId="165" fontId="0" fillId="8" borderId="0" xfId="0" applyNumberFormat="1" applyFill="1">
      <alignment vertical="center"/>
    </xf>
    <xf numFmtId="165" fontId="0" fillId="8" borderId="0" xfId="0" applyNumberFormat="1" applyFill="1" applyAlignment="1">
      <alignment horizontal="right" vertical="center" indent="3"/>
    </xf>
    <xf numFmtId="0" fontId="8" fillId="4" borderId="0" xfId="3" applyNumberFormat="1" applyAlignment="1">
      <alignment horizontal="left" vertical="center" indent="1"/>
    </xf>
    <xf numFmtId="0" fontId="9" fillId="5" borderId="0" xfId="1" applyNumberFormat="1" applyFont="1" applyFill="1" applyBorder="1" applyAlignment="1">
      <alignment vertical="center" wrapText="1"/>
    </xf>
  </cellXfs>
  <cellStyles count="8">
    <cellStyle name="20% - 1. jelölőszín" xfId="2" builtinId="30"/>
    <cellStyle name="Cím" xfId="3" builtinId="15" customBuiltin="1"/>
    <cellStyle name="Címsor 1" xfId="1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Normál" xfId="0" builtinId="0" customBuiltin="1"/>
    <cellStyle name="Összesen" xfId="7" builtinId="25" customBuiltin="1"/>
  </cellStyles>
  <dxfs count="83">
    <dxf>
      <numFmt numFmtId="165" formatCode="#,##0.00\ &quot;Ft&quot;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Ft&quot;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Ft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Ft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Ft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Ft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Ft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Ft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Ft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Ft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Ft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Ft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Ft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Ft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Ft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Segoe U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Családi költségvetés" defaultPivotStyle="PivotStyleMedium4">
    <tableStyle name="Családi költségvetés" pivot="0" count="3">
      <tableStyleElement type="wholeTable" dxfId="82"/>
      <tableStyleElement type="headerRow" dxfId="81"/>
      <tableStyleElement type="firstHeaderCell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'Családi költségvetés'!$B$10</c:f>
              <c:strCache>
                <c:ptCount val="1"/>
                <c:pt idx="0">
                  <c:v>Rendelkezésre álló készpénz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'Családi költségvetés'!$C$7:$N$7</c:f>
              <c:strCache>
                <c:ptCount val="12"/>
                <c:pt idx="0">
                  <c:v>JAN.</c:v>
                </c:pt>
                <c:pt idx="1">
                  <c:v>FEBR.</c:v>
                </c:pt>
                <c:pt idx="2">
                  <c:v>MÁRC.</c:v>
                </c:pt>
                <c:pt idx="3">
                  <c:v>ÁPR.</c:v>
                </c:pt>
                <c:pt idx="4">
                  <c:v>MÁJ.</c:v>
                </c:pt>
                <c:pt idx="5">
                  <c:v>JÚN.</c:v>
                </c:pt>
                <c:pt idx="6">
                  <c:v>JÚL.</c:v>
                </c:pt>
                <c:pt idx="7">
                  <c:v>AUG.</c:v>
                </c:pt>
                <c:pt idx="8">
                  <c:v>SZEPT.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'Családi költségvetés'!$C$10:$N$10</c:f>
              <c:numCache>
                <c:formatCode>#\ ##0.00\ "Ft"</c:formatCode>
                <c:ptCount val="12"/>
                <c:pt idx="0">
                  <c:v>-28000</c:v>
                </c:pt>
                <c:pt idx="1">
                  <c:v>-8500</c:v>
                </c:pt>
                <c:pt idx="2">
                  <c:v>-40800</c:v>
                </c:pt>
                <c:pt idx="3">
                  <c:v>-21500</c:v>
                </c:pt>
                <c:pt idx="4">
                  <c:v>-19800</c:v>
                </c:pt>
                <c:pt idx="5">
                  <c:v>-34950</c:v>
                </c:pt>
                <c:pt idx="6">
                  <c:v>-54400</c:v>
                </c:pt>
                <c:pt idx="7">
                  <c:v>-55000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462560"/>
        <c:axId val="602463648"/>
      </c:lineChart>
      <c:catAx>
        <c:axId val="602462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2463648"/>
        <c:crosses val="autoZero"/>
        <c:auto val="1"/>
        <c:lblAlgn val="ctr"/>
        <c:lblOffset val="100"/>
        <c:noMultiLvlLbl val="0"/>
      </c:catAx>
      <c:valAx>
        <c:axId val="602463648"/>
        <c:scaling>
          <c:orientation val="minMax"/>
        </c:scaling>
        <c:delete val="1"/>
        <c:axPos val="l"/>
        <c:numFmt formatCode="#\ ##0.00\ &quot;Ft&quot;" sourceLinked="1"/>
        <c:majorTickMark val="none"/>
        <c:minorTickMark val="none"/>
        <c:tickLblPos val="nextTo"/>
        <c:crossAx val="60246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0</xdr:rowOff>
    </xdr:from>
    <xdr:to>
      <xdr:col>16</xdr:col>
      <xdr:colOff>0</xdr:colOff>
      <xdr:row>2</xdr:row>
      <xdr:rowOff>0</xdr:rowOff>
    </xdr:to>
    <xdr:pic>
      <xdr:nvPicPr>
        <xdr:cNvPr id="4" name="3. kép" descr="Kávéscsésze, számológép, laptop és papírra író személy. Úgy megvágott kép, hogy a személy keze, a csésze alsó része és a laptop látszódjon. " title="Sablon fejléckép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171450"/>
          <a:ext cx="9258300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4. 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Jövedelemtbl" displayName="Jövedelemtbl" ref="B12:P15" headerRowDxfId="30" totalsRowDxfId="29">
  <tableColumns count="15">
    <tableColumn id="1" name="Jövedelemtípus" totalsRowLabel="TOTAL INCOME" totalsRowDxfId="28"/>
    <tableColumn id="2" name="JAN." totalsRowFunction="sum" dataDxfId="26" totalsRowDxfId="27"/>
    <tableColumn id="3" name="FEBR." totalsRowFunction="sum" dataDxfId="24" totalsRowDxfId="25"/>
    <tableColumn id="4" name="MÁRC." totalsRowFunction="sum" dataDxfId="22" totalsRowDxfId="23"/>
    <tableColumn id="5" name="ÁPR." totalsRowFunction="sum" dataDxfId="20" totalsRowDxfId="21"/>
    <tableColumn id="6" name="MÁJ." totalsRowFunction="sum" dataDxfId="18" totalsRowDxfId="19"/>
    <tableColumn id="7" name="JÚN." totalsRowFunction="sum" dataDxfId="16" totalsRowDxfId="17"/>
    <tableColumn id="8" name="JÚL." totalsRowFunction="sum" dataDxfId="14" totalsRowDxfId="15"/>
    <tableColumn id="9" name="AUG." totalsRowFunction="sum" dataDxfId="12" totalsRowDxfId="13"/>
    <tableColumn id="10" name="SZEPT." totalsRowFunction="sum" dataDxfId="10" totalsRowDxfId="11"/>
    <tableColumn id="11" name="OKT." totalsRowFunction="sum" dataDxfId="8" totalsRowDxfId="9"/>
    <tableColumn id="12" name="NOV." totalsRowFunction="sum" dataDxfId="6" totalsRowDxfId="7"/>
    <tableColumn id="13" name="DEC." totalsRowFunction="sum" dataDxfId="4" totalsRowDxfId="5"/>
    <tableColumn id="14" name="IDEI ÖSSZESEN" totalsRowFunction="sum" dataDxfId="2" totalsRowDxfId="3"/>
    <tableColumn id="15" name="HAVI ÁTLAG" dataDxfId="0" totalsRowDxfId="1">
      <calculatedColumnFormula>IFERROR(AVERAGE(Jövedelemtbl[[#This Row],[JAN.]:[DEC.]]),"")</calculatedColumnFormula>
    </tableColumn>
  </tableColumns>
  <tableStyleInfo name="Családi költségvetés" showFirstColumn="1" showLastColumn="0" showRowStripes="1" showColumnStripes="0"/>
  <extLst>
    <ext xmlns:x14="http://schemas.microsoft.com/office/spreadsheetml/2009/9/main" uri="{504A1905-F514-4f6f-8877-14C23A59335A}">
      <x14:table altText="Havi jövedelem" altTextSummary="Jövedelem összesítése típus szerint az egyes naptári hónapokra."/>
    </ext>
  </extLst>
</table>
</file>

<file path=xl/tables/table2.xml><?xml version="1.0" encoding="utf-8"?>
<table xmlns="http://schemas.openxmlformats.org/spreadsheetml/2006/main" id="2" name="Kiadásoktbl" displayName="Kiadásoktbl" ref="B17:P35" headerRowDxfId="79" totalsRowDxfId="78">
  <tableColumns count="15">
    <tableColumn id="1" name="Kiadás" totalsRowLabel="TOTAL EXPENSES" dataDxfId="77" totalsRowDxfId="76"/>
    <tableColumn id="2" name="JAN." totalsRowFunction="sum" dataDxfId="75" totalsRowDxfId="74"/>
    <tableColumn id="3" name="FEBR." totalsRowFunction="sum" dataDxfId="73" totalsRowDxfId="72"/>
    <tableColumn id="4" name="MÁRC." totalsRowFunction="sum" dataDxfId="71" totalsRowDxfId="70"/>
    <tableColumn id="5" name="ÁPR." totalsRowFunction="sum" dataDxfId="69" totalsRowDxfId="68"/>
    <tableColumn id="6" name="MÁJ." totalsRowFunction="sum" dataDxfId="67" totalsRowDxfId="66"/>
    <tableColumn id="7" name="JÚN." totalsRowFunction="sum" dataDxfId="65" totalsRowDxfId="64"/>
    <tableColumn id="8" name="JÚL." totalsRowFunction="sum" dataDxfId="63" totalsRowDxfId="62"/>
    <tableColumn id="9" name="AUG." totalsRowFunction="sum" dataDxfId="61" totalsRowDxfId="60"/>
    <tableColumn id="10" name="SZEPT." totalsRowFunction="sum" dataDxfId="59" totalsRowDxfId="58"/>
    <tableColumn id="11" name="OKT." totalsRowFunction="sum" dataDxfId="57" totalsRowDxfId="56"/>
    <tableColumn id="12" name="NOV." totalsRowFunction="sum" dataDxfId="55" totalsRowDxfId="54"/>
    <tableColumn id="13" name="DEC." totalsRowFunction="sum" dataDxfId="53" totalsRowDxfId="52"/>
    <tableColumn id="14" name="IDEI ÖSSZESEN" totalsRowFunction="sum" dataDxfId="51" totalsRowDxfId="50">
      <calculatedColumnFormula>SUM(Kiadásoktbl[[#This Row],[JAN.]:[DEC.]])</calculatedColumnFormula>
    </tableColumn>
    <tableColumn id="15" name="HAVI ÁTLAG" totalsRowFunction="sum" dataDxfId="49" totalsRowDxfId="48">
      <calculatedColumnFormula>IFERROR(AVERAGE(Kiadásoktbl[[#This Row],[JAN.]:[DEC.]]),"")</calculatedColumnFormula>
    </tableColumn>
  </tableColumns>
  <tableStyleInfo name="Családi költségvetés" showFirstColumn="1" showLastColumn="0" showRowStripes="1" showColumnStripes="0"/>
  <extLst>
    <ext xmlns:x14="http://schemas.microsoft.com/office/spreadsheetml/2009/9/main" uri="{504A1905-F514-4f6f-8877-14C23A59335A}">
      <x14:table altText="Havi kiadás" altTextSummary="Kiadásösszesítés az egyes naptári hónapokra."/>
    </ext>
  </extLst>
</table>
</file>

<file path=xl/tables/table3.xml><?xml version="1.0" encoding="utf-8"?>
<table xmlns="http://schemas.openxmlformats.org/spreadsheetml/2006/main" id="3" name="Táblázat3" displayName="Táblázat3" ref="B7:P10" totalsRowShown="0" headerRowDxfId="47" dataDxfId="46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Összesítés" dataDxfId="45"/>
    <tableColumn id="2" name="JAN." dataDxfId="44"/>
    <tableColumn id="3" name="FEBR." dataDxfId="43"/>
    <tableColumn id="4" name="MÁRC." dataDxfId="42"/>
    <tableColumn id="5" name="ÁPR." dataDxfId="41"/>
    <tableColumn id="6" name="MÁJ." dataDxfId="40"/>
    <tableColumn id="7" name="JÚN." dataDxfId="39"/>
    <tableColumn id="8" name="JÚL." dataDxfId="38"/>
    <tableColumn id="9" name="AUG." dataDxfId="37"/>
    <tableColumn id="10" name="SZEPT." dataDxfId="36"/>
    <tableColumn id="11" name="OKT." dataDxfId="35"/>
    <tableColumn id="12" name="NOV." dataDxfId="34"/>
    <tableColumn id="13" name="DEC." dataDxfId="33"/>
    <tableColumn id="14" name="IDEI ÖSSZESEN" dataDxfId="32">
      <calculatedColumnFormula>SUM(C8:N8)</calculatedColumnFormula>
    </tableColumn>
    <tableColumn id="15" name="HAVI ÁTLAG" dataDxfId="31">
      <calculatedColumnFormula>IFERROR(AVERAGE(C8:N8),"")</calculatedColumnFormula>
    </tableColumn>
  </tableColumns>
  <tableStyleInfo name="Családi költségveté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35"/>
  <sheetViews>
    <sheetView showGridLines="0" tabSelected="1" zoomScaleNormal="100" workbookViewId="0"/>
  </sheetViews>
  <sheetFormatPr defaultRowHeight="21" customHeight="1" x14ac:dyDescent="0.25"/>
  <cols>
    <col min="1" max="1" width="2.5703125" style="2" customWidth="1"/>
    <col min="2" max="2" width="27.5703125" style="9" customWidth="1"/>
    <col min="3" max="4" width="12.7109375" style="40" customWidth="1"/>
    <col min="5" max="6" width="14.7109375" style="40" customWidth="1"/>
    <col min="7" max="14" width="12.7109375" style="40" customWidth="1"/>
    <col min="15" max="15" width="16.7109375" style="40" customWidth="1"/>
    <col min="16" max="16" width="25" style="41" customWidth="1"/>
    <col min="17" max="17" width="2.5703125" style="2" customWidth="1"/>
    <col min="18" max="16384" width="9.140625" style="2"/>
  </cols>
  <sheetData>
    <row r="1" spans="1:17" ht="13.5" customHeight="1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8"/>
    </row>
    <row r="2" spans="1:17" ht="141" customHeight="1" x14ac:dyDescent="0.3">
      <c r="A2" s="1"/>
      <c r="B2" s="42" t="s">
        <v>0</v>
      </c>
      <c r="C2" s="42"/>
      <c r="D2" s="42"/>
      <c r="E2" s="43" t="s">
        <v>28</v>
      </c>
      <c r="F2" s="43"/>
      <c r="G2" s="13"/>
      <c r="H2" s="14"/>
      <c r="I2" s="14"/>
      <c r="J2" s="14"/>
      <c r="K2" s="13"/>
      <c r="L2" s="13"/>
      <c r="M2" s="14"/>
      <c r="N2" s="13"/>
      <c r="O2" s="13"/>
      <c r="P2" s="29"/>
      <c r="Q2" s="2" t="s">
        <v>41</v>
      </c>
    </row>
    <row r="3" spans="1:17" ht="15.75" customHeight="1" x14ac:dyDescent="0.3">
      <c r="A3" s="1"/>
      <c r="B3" s="15"/>
      <c r="C3" s="15"/>
      <c r="D3" s="16"/>
      <c r="E3" s="16"/>
      <c r="F3" s="17"/>
      <c r="G3" s="18"/>
      <c r="H3" s="17"/>
      <c r="I3" s="17"/>
      <c r="J3" s="17"/>
      <c r="K3" s="18"/>
      <c r="L3" s="18"/>
      <c r="M3" s="17"/>
      <c r="N3" s="18"/>
      <c r="O3" s="18"/>
      <c r="P3" s="30"/>
    </row>
    <row r="4" spans="1:17" ht="76.5" customHeight="1" x14ac:dyDescent="0.3">
      <c r="A4" s="1"/>
      <c r="B4" s="19" t="s">
        <v>42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7"/>
      <c r="P4" s="26"/>
    </row>
    <row r="5" spans="1:17" ht="16.5" customHeight="1" x14ac:dyDescent="0.3">
      <c r="A5" s="1"/>
      <c r="B5" s="19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7"/>
      <c r="P5" s="26"/>
    </row>
    <row r="6" spans="1:17" ht="9" customHeight="1" x14ac:dyDescent="0.3">
      <c r="A6" s="1"/>
      <c r="B6" s="20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7"/>
      <c r="P6" s="26"/>
    </row>
    <row r="7" spans="1:17" ht="21" customHeight="1" x14ac:dyDescent="0.3">
      <c r="A7" s="1"/>
      <c r="B7" s="31" t="s">
        <v>1</v>
      </c>
      <c r="C7" s="32" t="s">
        <v>26</v>
      </c>
      <c r="D7" s="32" t="s">
        <v>27</v>
      </c>
      <c r="E7" s="32" t="s">
        <v>29</v>
      </c>
      <c r="F7" s="32" t="s">
        <v>30</v>
      </c>
      <c r="G7" s="32" t="s">
        <v>31</v>
      </c>
      <c r="H7" s="32" t="s">
        <v>32</v>
      </c>
      <c r="I7" s="32" t="s">
        <v>33</v>
      </c>
      <c r="J7" s="32" t="s">
        <v>34</v>
      </c>
      <c r="K7" s="32" t="s">
        <v>35</v>
      </c>
      <c r="L7" s="32" t="s">
        <v>36</v>
      </c>
      <c r="M7" s="32" t="s">
        <v>37</v>
      </c>
      <c r="N7" s="32" t="s">
        <v>38</v>
      </c>
      <c r="O7" s="32" t="s">
        <v>39</v>
      </c>
      <c r="P7" s="33" t="s">
        <v>40</v>
      </c>
    </row>
    <row r="8" spans="1:17" ht="21" customHeight="1" x14ac:dyDescent="0.3">
      <c r="A8" s="1"/>
      <c r="B8" s="34" t="s">
        <v>2</v>
      </c>
      <c r="C8" s="35">
        <f>IF(COUNT(Jövedelemtbl[JAN.])=0,"",SUM(Jövedelemtbl[JAN.]))</f>
        <v>367500</v>
      </c>
      <c r="D8" s="35">
        <f>IF(COUNT(Jövedelemtbl[FEBR.])=0,"",SUM(Jövedelemtbl[FEBR.]))</f>
        <v>387000</v>
      </c>
      <c r="E8" s="35">
        <f>IF(COUNT(Jövedelemtbl[MÁRC.])=0,"",SUM(Jövedelemtbl[MÁRC.]))</f>
        <v>359000</v>
      </c>
      <c r="F8" s="35">
        <f>IF(COUNT(Jövedelemtbl[ÁPR.])=0,"",SUM(Jövedelemtbl[ÁPR.]))</f>
        <v>375500</v>
      </c>
      <c r="G8" s="35">
        <f>IF(COUNT(Jövedelemtbl[MÁJ.])=0,"",SUM(Jövedelemtbl[MÁJ.]))</f>
        <v>371000</v>
      </c>
      <c r="H8" s="35">
        <f>IF(COUNT(Jövedelemtbl[JÚN.])=0,"",SUM(Jövedelemtbl[JÚN.]))</f>
        <v>364750</v>
      </c>
      <c r="I8" s="35">
        <f>IF(COUNT(Jövedelemtbl[JÚL.])=0,"",SUM(Jövedelemtbl[JÚL.]))</f>
        <v>365000</v>
      </c>
      <c r="J8" s="35">
        <f>IF(COUNT(Jövedelemtbl[AUG.])=0,"",SUM(Jövedelemtbl[AUG.]))</f>
        <v>370200</v>
      </c>
      <c r="K8" s="35" t="str">
        <f>IF(COUNT(Jövedelemtbl[SZEPT.])=0,"",SUM(Jövedelemtbl[SZEPT.]))</f>
        <v/>
      </c>
      <c r="L8" s="35" t="str">
        <f>IF(COUNT(Jövedelemtbl[OKT.])=0,"",SUM(Jövedelemtbl[OKT.]))</f>
        <v/>
      </c>
      <c r="M8" s="35" t="str">
        <f>IF(COUNT(Jövedelemtbl[NOV.])=0,"",SUM(Jövedelemtbl[NOV.]))</f>
        <v/>
      </c>
      <c r="N8" s="35" t="str">
        <f>IF(COUNT(Jövedelemtbl[DEC.])=0,"",SUM(Jövedelemtbl[DEC.]))</f>
        <v/>
      </c>
      <c r="O8" s="35">
        <f>SUM(C8:N8)</f>
        <v>2959950</v>
      </c>
      <c r="P8" s="36">
        <f>IFERROR(AVERAGE(C8:N8),"")</f>
        <v>369993.75</v>
      </c>
    </row>
    <row r="9" spans="1:17" ht="21" customHeight="1" x14ac:dyDescent="0.3">
      <c r="A9" s="1"/>
      <c r="B9" s="34" t="s">
        <v>3</v>
      </c>
      <c r="C9" s="35">
        <f>IF(COUNT(Kiadásoktbl[JAN.])=0,"",SUM(Kiadásoktbl[JAN.]))</f>
        <v>395500</v>
      </c>
      <c r="D9" s="35">
        <f>IF(COUNT(Kiadásoktbl[FEBR.])=0,"",SUM(Kiadásoktbl[FEBR.]))</f>
        <v>395500</v>
      </c>
      <c r="E9" s="35">
        <f>IF(COUNT(Kiadásoktbl[MÁRC.])=0,"",SUM(Kiadásoktbl[MÁRC.]))</f>
        <v>399800</v>
      </c>
      <c r="F9" s="35">
        <f>IF(COUNT(Kiadásoktbl[ÁPR.])=0,"",SUM(Kiadásoktbl[ÁPR.]))</f>
        <v>397000</v>
      </c>
      <c r="G9" s="35">
        <f>IF(COUNT(Kiadásoktbl[MÁJ.])=0,"",SUM(Kiadásoktbl[MÁJ.]))</f>
        <v>390800</v>
      </c>
      <c r="H9" s="35">
        <f>IF(COUNT(Kiadásoktbl[JÚN.])=0,"",SUM(Kiadásoktbl[JÚN.]))</f>
        <v>399700</v>
      </c>
      <c r="I9" s="35">
        <f>IF(COUNT(Kiadásoktbl[JÚL.])=0,"",SUM(Kiadásoktbl[JÚL.]))</f>
        <v>419400</v>
      </c>
      <c r="J9" s="35">
        <f>IF(COUNT(Kiadásoktbl[AUG.])=0,"",SUM(Kiadásoktbl[AUG.]))</f>
        <v>425200</v>
      </c>
      <c r="K9" s="35" t="str">
        <f>IF(COUNT(Kiadásoktbl[SZEPT.])=0,"",SUM(Kiadásoktbl[SZEPT.]))</f>
        <v/>
      </c>
      <c r="L9" s="35" t="str">
        <f>IF(COUNT(Kiadásoktbl[OKT.])=0,"",SUM(Kiadásoktbl[OKT.]))</f>
        <v/>
      </c>
      <c r="M9" s="35" t="str">
        <f>IF(COUNT(Kiadásoktbl[NOV.])=0,"",SUM(Kiadásoktbl[NOV.]))</f>
        <v/>
      </c>
      <c r="N9" s="35" t="str">
        <f>IF(COUNT(Kiadásoktbl[DEC.])=0,"",SUM(Kiadásoktbl[DEC.]))</f>
        <v/>
      </c>
      <c r="O9" s="35">
        <f t="shared" ref="O9:O10" si="0">SUM(C9:N9)</f>
        <v>3222900</v>
      </c>
      <c r="P9" s="36">
        <f t="shared" ref="P9:P10" si="1">IFERROR(AVERAGE(C9:N9),"")</f>
        <v>402862.5</v>
      </c>
    </row>
    <row r="10" spans="1:17" ht="21" customHeight="1" x14ac:dyDescent="0.3">
      <c r="A10" s="1"/>
      <c r="B10" s="34" t="s">
        <v>4</v>
      </c>
      <c r="C10" s="35">
        <f>IFERROR(IF(COUNT(Jövedelemtbl[JAN.])=0,"",C8-C9),"")</f>
        <v>-28000</v>
      </c>
      <c r="D10" s="35">
        <f>IFERROR(IF(COUNT(Jövedelemtbl[FEBR.])=0,"",D8-D9),"")</f>
        <v>-8500</v>
      </c>
      <c r="E10" s="35">
        <f>IFERROR(IF(COUNT(Jövedelemtbl[MÁRC.])=0,"",E8-E9),"")</f>
        <v>-40800</v>
      </c>
      <c r="F10" s="35">
        <f>IFERROR(IF(COUNT(Jövedelemtbl[ÁPR.])=0,"",F8-F9),"")</f>
        <v>-21500</v>
      </c>
      <c r="G10" s="35">
        <f>IFERROR(IF(COUNT(Jövedelemtbl[MÁJ.])=0,"",G8-G9),"")</f>
        <v>-19800</v>
      </c>
      <c r="H10" s="35">
        <f>IFERROR(IF(COUNT(Jövedelemtbl[JÚN.])=0,"",H8-H9),"")</f>
        <v>-34950</v>
      </c>
      <c r="I10" s="35">
        <f>IFERROR(IF(COUNT(Jövedelemtbl[JÚL.])=0,"",I8-I9),"")</f>
        <v>-54400</v>
      </c>
      <c r="J10" s="35">
        <f>IFERROR(IF(COUNT(Jövedelemtbl[AUG.])=0,"",J8-J9),"")</f>
        <v>-55000</v>
      </c>
      <c r="K10" s="35" t="str">
        <f>IFERROR(IF(COUNT(Jövedelemtbl[SZEPT.])=0,"",K8-K9),"")</f>
        <v/>
      </c>
      <c r="L10" s="35" t="str">
        <f>IFERROR(IF(COUNT(Jövedelemtbl[OKT.])=0,"",L8-L9),"")</f>
        <v/>
      </c>
      <c r="M10" s="35" t="str">
        <f>IFERROR(IF(COUNT(Jövedelemtbl[NOV.])=0,"",M8-M9),"")</f>
        <v/>
      </c>
      <c r="N10" s="35" t="str">
        <f>IFERROR(IF(COUNT(Jövedelemtbl[DEC.])=0,"",N8-N9),"")</f>
        <v/>
      </c>
      <c r="O10" s="35">
        <f t="shared" si="0"/>
        <v>-262950</v>
      </c>
      <c r="P10" s="36">
        <f t="shared" si="1"/>
        <v>-32868.75</v>
      </c>
    </row>
    <row r="11" spans="1:17" ht="9" customHeight="1" x14ac:dyDescent="0.3">
      <c r="A11" s="1"/>
      <c r="B11" s="5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27"/>
    </row>
    <row r="12" spans="1:17" s="3" customFormat="1" ht="21" customHeight="1" x14ac:dyDescent="0.25">
      <c r="B12" s="21" t="s">
        <v>5</v>
      </c>
      <c r="C12" s="22" t="s">
        <v>26</v>
      </c>
      <c r="D12" s="22" t="s">
        <v>27</v>
      </c>
      <c r="E12" s="22" t="s">
        <v>29</v>
      </c>
      <c r="F12" s="22" t="s">
        <v>30</v>
      </c>
      <c r="G12" s="22" t="s">
        <v>31</v>
      </c>
      <c r="H12" s="22" t="s">
        <v>32</v>
      </c>
      <c r="I12" s="22" t="s">
        <v>33</v>
      </c>
      <c r="J12" s="22" t="s">
        <v>34</v>
      </c>
      <c r="K12" s="22" t="s">
        <v>35</v>
      </c>
      <c r="L12" s="22" t="s">
        <v>36</v>
      </c>
      <c r="M12" s="22" t="s">
        <v>37</v>
      </c>
      <c r="N12" s="22" t="s">
        <v>38</v>
      </c>
      <c r="O12" s="22" t="s">
        <v>39</v>
      </c>
      <c r="P12" s="23" t="s">
        <v>40</v>
      </c>
    </row>
    <row r="13" spans="1:17" s="3" customFormat="1" ht="21" customHeight="1" x14ac:dyDescent="0.25">
      <c r="A13" s="4"/>
      <c r="B13" s="8" t="s">
        <v>6</v>
      </c>
      <c r="C13" s="37">
        <v>150000</v>
      </c>
      <c r="D13" s="37">
        <v>157000</v>
      </c>
      <c r="E13" s="37">
        <v>153000</v>
      </c>
      <c r="F13" s="37">
        <v>160000</v>
      </c>
      <c r="G13" s="37">
        <v>165000</v>
      </c>
      <c r="H13" s="37">
        <v>157000</v>
      </c>
      <c r="I13" s="37">
        <v>152000</v>
      </c>
      <c r="J13" s="37">
        <v>158000</v>
      </c>
      <c r="K13" s="37"/>
      <c r="L13" s="37"/>
      <c r="M13" s="37"/>
      <c r="N13" s="37"/>
      <c r="O13" s="37">
        <f>SUM(Jövedelemtbl[[#This Row],[JAN.]:[DEC.]])</f>
        <v>1252000</v>
      </c>
      <c r="P13" s="38">
        <f>IFERROR(AVERAGE(Jövedelemtbl[[#This Row],[JAN.]:[DEC.]]),"")</f>
        <v>156500</v>
      </c>
    </row>
    <row r="14" spans="1:17" ht="21" customHeight="1" x14ac:dyDescent="0.3">
      <c r="A14" s="1"/>
      <c r="B14" s="8" t="s">
        <v>7</v>
      </c>
      <c r="C14" s="37">
        <v>137500</v>
      </c>
      <c r="D14" s="37">
        <v>148000</v>
      </c>
      <c r="E14" s="37">
        <v>125500</v>
      </c>
      <c r="F14" s="37">
        <v>134500</v>
      </c>
      <c r="G14" s="37">
        <v>126000</v>
      </c>
      <c r="H14" s="37">
        <v>126000</v>
      </c>
      <c r="I14" s="37">
        <v>131000</v>
      </c>
      <c r="J14" s="37">
        <v>129000</v>
      </c>
      <c r="K14" s="37"/>
      <c r="L14" s="37"/>
      <c r="M14" s="37"/>
      <c r="N14" s="37"/>
      <c r="O14" s="37">
        <f>SUM(Jövedelemtbl[[#This Row],[JAN.]:[DEC.]])</f>
        <v>1057500</v>
      </c>
      <c r="P14" s="38">
        <f>IFERROR(AVERAGE(Jövedelemtbl[[#This Row],[JAN.]:[DEC.]]),"")</f>
        <v>132187.5</v>
      </c>
    </row>
    <row r="15" spans="1:17" ht="21" customHeight="1" x14ac:dyDescent="0.3">
      <c r="A15" s="1"/>
      <c r="B15" s="8" t="s">
        <v>8</v>
      </c>
      <c r="C15" s="37">
        <v>80000</v>
      </c>
      <c r="D15" s="37">
        <v>82000</v>
      </c>
      <c r="E15" s="37">
        <v>80500</v>
      </c>
      <c r="F15" s="37">
        <v>81000</v>
      </c>
      <c r="G15" s="37">
        <v>80000</v>
      </c>
      <c r="H15" s="37">
        <v>81750</v>
      </c>
      <c r="I15" s="37">
        <v>82000</v>
      </c>
      <c r="J15" s="37">
        <v>83200</v>
      </c>
      <c r="K15" s="37"/>
      <c r="L15" s="37"/>
      <c r="M15" s="37"/>
      <c r="N15" s="37"/>
      <c r="O15" s="37">
        <f>SUM(Jövedelemtbl[[#This Row],[JAN.]:[DEC.]])</f>
        <v>650450</v>
      </c>
      <c r="P15" s="38">
        <f>IFERROR(AVERAGE(Jövedelemtbl[[#This Row],[JAN.]:[DEC.]]),"")</f>
        <v>81306.25</v>
      </c>
    </row>
    <row r="16" spans="1:17" ht="9" customHeight="1" x14ac:dyDescent="0.3">
      <c r="A16" s="1"/>
      <c r="B16" s="7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0"/>
    </row>
    <row r="17" spans="1:16" ht="21" customHeight="1" x14ac:dyDescent="0.3">
      <c r="A17" s="1"/>
      <c r="B17" s="21" t="s">
        <v>3</v>
      </c>
      <c r="C17" s="22" t="s">
        <v>26</v>
      </c>
      <c r="D17" s="22" t="s">
        <v>27</v>
      </c>
      <c r="E17" s="22" t="s">
        <v>29</v>
      </c>
      <c r="F17" s="22" t="s">
        <v>30</v>
      </c>
      <c r="G17" s="22" t="s">
        <v>31</v>
      </c>
      <c r="H17" s="22" t="s">
        <v>32</v>
      </c>
      <c r="I17" s="22" t="s">
        <v>33</v>
      </c>
      <c r="J17" s="22" t="s">
        <v>34</v>
      </c>
      <c r="K17" s="22" t="s">
        <v>35</v>
      </c>
      <c r="L17" s="22" t="s">
        <v>36</v>
      </c>
      <c r="M17" s="22" t="s">
        <v>37</v>
      </c>
      <c r="N17" s="22" t="s">
        <v>38</v>
      </c>
      <c r="O17" s="22" t="s">
        <v>39</v>
      </c>
      <c r="P17" s="23" t="s">
        <v>40</v>
      </c>
    </row>
    <row r="18" spans="1:16" ht="21" customHeight="1" x14ac:dyDescent="0.3">
      <c r="A18" s="1"/>
      <c r="B18" s="8" t="s">
        <v>9</v>
      </c>
      <c r="C18" s="37">
        <v>150000</v>
      </c>
      <c r="D18" s="37">
        <v>150000</v>
      </c>
      <c r="E18" s="37">
        <v>150000</v>
      </c>
      <c r="F18" s="37">
        <v>150000</v>
      </c>
      <c r="G18" s="37">
        <v>150000</v>
      </c>
      <c r="H18" s="37">
        <v>150000</v>
      </c>
      <c r="I18" s="37">
        <v>150000</v>
      </c>
      <c r="J18" s="37">
        <v>150000</v>
      </c>
      <c r="K18" s="37"/>
      <c r="L18" s="37"/>
      <c r="M18" s="37"/>
      <c r="N18" s="37"/>
      <c r="O18" s="37">
        <f>SUM(Kiadásoktbl[[#This Row],[JAN.]:[DEC.]])</f>
        <v>1200000</v>
      </c>
      <c r="P18" s="38">
        <f>IFERROR(AVERAGE(Kiadásoktbl[[#This Row],[JAN.]:[DEC.]]),"")</f>
        <v>150000</v>
      </c>
    </row>
    <row r="19" spans="1:16" ht="21" customHeight="1" x14ac:dyDescent="0.3">
      <c r="A19" s="1"/>
      <c r="B19" s="8" t="s">
        <v>43</v>
      </c>
      <c r="C19" s="37">
        <v>25000</v>
      </c>
      <c r="D19" s="37">
        <v>25000</v>
      </c>
      <c r="E19" s="37">
        <v>25000</v>
      </c>
      <c r="F19" s="37">
        <v>25000</v>
      </c>
      <c r="G19" s="37">
        <v>25000</v>
      </c>
      <c r="H19" s="37">
        <v>25000</v>
      </c>
      <c r="I19" s="37">
        <v>25000</v>
      </c>
      <c r="J19" s="37">
        <v>25000</v>
      </c>
      <c r="K19" s="37"/>
      <c r="L19" s="37"/>
      <c r="M19" s="37"/>
      <c r="N19" s="37"/>
      <c r="O19" s="37">
        <f>SUM(Kiadásoktbl[[#This Row],[JAN.]:[DEC.]])</f>
        <v>200000</v>
      </c>
      <c r="P19" s="38">
        <f>IFERROR(AVERAGE(Kiadásoktbl[[#This Row],[JAN.]:[DEC.]]),"")</f>
        <v>25000</v>
      </c>
    </row>
    <row r="20" spans="1:16" ht="21" customHeight="1" x14ac:dyDescent="0.3">
      <c r="A20" s="1"/>
      <c r="B20" s="8" t="s">
        <v>10</v>
      </c>
      <c r="C20" s="37">
        <v>34500</v>
      </c>
      <c r="D20" s="37">
        <v>34500</v>
      </c>
      <c r="E20" s="37">
        <v>34500</v>
      </c>
      <c r="F20" s="37">
        <v>34500</v>
      </c>
      <c r="G20" s="37">
        <v>34500</v>
      </c>
      <c r="H20" s="37">
        <v>34500</v>
      </c>
      <c r="I20" s="37">
        <v>34500</v>
      </c>
      <c r="J20" s="37">
        <v>34500</v>
      </c>
      <c r="K20" s="37"/>
      <c r="L20" s="37"/>
      <c r="M20" s="37"/>
      <c r="N20" s="37"/>
      <c r="O20" s="37">
        <f>SUM(Kiadásoktbl[[#This Row],[JAN.]:[DEC.]])</f>
        <v>276000</v>
      </c>
      <c r="P20" s="38">
        <f>IFERROR(AVERAGE(Kiadásoktbl[[#This Row],[JAN.]:[DEC.]]),"")</f>
        <v>34500</v>
      </c>
    </row>
    <row r="21" spans="1:16" ht="21" customHeight="1" x14ac:dyDescent="0.3">
      <c r="A21" s="1"/>
      <c r="B21" s="8" t="s">
        <v>11</v>
      </c>
      <c r="C21" s="37">
        <v>28500</v>
      </c>
      <c r="D21" s="37">
        <v>28500</v>
      </c>
      <c r="E21" s="37">
        <v>28500</v>
      </c>
      <c r="F21" s="37">
        <v>28500</v>
      </c>
      <c r="G21" s="37">
        <v>28500</v>
      </c>
      <c r="H21" s="37">
        <v>28500</v>
      </c>
      <c r="I21" s="37">
        <v>28500</v>
      </c>
      <c r="J21" s="37">
        <v>28500</v>
      </c>
      <c r="K21" s="37"/>
      <c r="L21" s="37"/>
      <c r="M21" s="37"/>
      <c r="N21" s="37"/>
      <c r="O21" s="37">
        <f>SUM(Kiadásoktbl[[#This Row],[JAN.]:[DEC.]])</f>
        <v>228000</v>
      </c>
      <c r="P21" s="38">
        <f>IFERROR(AVERAGE(Kiadásoktbl[[#This Row],[JAN.]:[DEC.]]),"")</f>
        <v>28500</v>
      </c>
    </row>
    <row r="22" spans="1:16" ht="21" customHeight="1" x14ac:dyDescent="0.3">
      <c r="A22" s="1"/>
      <c r="B22" s="8" t="s">
        <v>12</v>
      </c>
      <c r="C22" s="37">
        <v>4500</v>
      </c>
      <c r="D22" s="37">
        <v>4500</v>
      </c>
      <c r="E22" s="37">
        <v>4500</v>
      </c>
      <c r="F22" s="37">
        <v>4500</v>
      </c>
      <c r="G22" s="37">
        <v>4500</v>
      </c>
      <c r="H22" s="37">
        <v>4500</v>
      </c>
      <c r="I22" s="37">
        <v>4500</v>
      </c>
      <c r="J22" s="37">
        <v>4500</v>
      </c>
      <c r="K22" s="37"/>
      <c r="L22" s="37"/>
      <c r="M22" s="37"/>
      <c r="N22" s="37"/>
      <c r="O22" s="37">
        <f>SUM(Kiadásoktbl[[#This Row],[JAN.]:[DEC.]])</f>
        <v>36000</v>
      </c>
      <c r="P22" s="38">
        <f>IFERROR(AVERAGE(Kiadásoktbl[[#This Row],[JAN.]:[DEC.]]),"")</f>
        <v>4500</v>
      </c>
    </row>
    <row r="23" spans="1:16" ht="21" customHeight="1" x14ac:dyDescent="0.3">
      <c r="A23" s="1"/>
      <c r="B23" s="8" t="s">
        <v>13</v>
      </c>
      <c r="C23" s="37">
        <v>5000</v>
      </c>
      <c r="D23" s="37">
        <v>5000</v>
      </c>
      <c r="E23" s="37">
        <v>5000</v>
      </c>
      <c r="F23" s="37">
        <v>5000</v>
      </c>
      <c r="G23" s="37">
        <v>5000</v>
      </c>
      <c r="H23" s="37">
        <v>5000</v>
      </c>
      <c r="I23" s="37">
        <v>5000</v>
      </c>
      <c r="J23" s="37">
        <v>5000</v>
      </c>
      <c r="K23" s="37"/>
      <c r="L23" s="37"/>
      <c r="M23" s="37"/>
      <c r="N23" s="37"/>
      <c r="O23" s="37">
        <f>SUM(Kiadásoktbl[[#This Row],[JAN.]:[DEC.]])</f>
        <v>40000</v>
      </c>
      <c r="P23" s="38">
        <f>IFERROR(AVERAGE(Kiadásoktbl[[#This Row],[JAN.]:[DEC.]]),"")</f>
        <v>5000</v>
      </c>
    </row>
    <row r="24" spans="1:16" ht="21" customHeight="1" x14ac:dyDescent="0.3">
      <c r="A24" s="1"/>
      <c r="B24" s="8" t="s">
        <v>14</v>
      </c>
      <c r="C24" s="37">
        <v>12000</v>
      </c>
      <c r="D24" s="37">
        <v>12000</v>
      </c>
      <c r="E24" s="37">
        <v>12000</v>
      </c>
      <c r="F24" s="37">
        <v>12000</v>
      </c>
      <c r="G24" s="37">
        <v>12000</v>
      </c>
      <c r="H24" s="37">
        <v>12000</v>
      </c>
      <c r="I24" s="37">
        <v>12000</v>
      </c>
      <c r="J24" s="37">
        <v>12000</v>
      </c>
      <c r="K24" s="37"/>
      <c r="L24" s="37"/>
      <c r="M24" s="37"/>
      <c r="N24" s="37"/>
      <c r="O24" s="37">
        <f>SUM(Kiadásoktbl[[#This Row],[JAN.]:[DEC.]])</f>
        <v>96000</v>
      </c>
      <c r="P24" s="38">
        <f>IFERROR(AVERAGE(Kiadásoktbl[[#This Row],[JAN.]:[DEC.]]),"")</f>
        <v>12000</v>
      </c>
    </row>
    <row r="25" spans="1:16" ht="21" customHeight="1" x14ac:dyDescent="0.3">
      <c r="A25" s="1"/>
      <c r="B25" s="8" t="s">
        <v>15</v>
      </c>
      <c r="C25" s="37">
        <v>5000</v>
      </c>
      <c r="D25" s="37">
        <v>5000</v>
      </c>
      <c r="E25" s="37">
        <v>5000</v>
      </c>
      <c r="F25" s="37">
        <v>5000</v>
      </c>
      <c r="G25" s="37">
        <v>5000</v>
      </c>
      <c r="H25" s="37">
        <v>5000</v>
      </c>
      <c r="I25" s="37">
        <v>5000</v>
      </c>
      <c r="J25" s="37">
        <v>5000</v>
      </c>
      <c r="K25" s="37"/>
      <c r="L25" s="37"/>
      <c r="M25" s="37"/>
      <c r="N25" s="37"/>
      <c r="O25" s="37">
        <f>SUM(Kiadásoktbl[[#This Row],[JAN.]:[DEC.]])</f>
        <v>40000</v>
      </c>
      <c r="P25" s="38">
        <f>IFERROR(AVERAGE(Kiadásoktbl[[#This Row],[JAN.]:[DEC.]]),"")</f>
        <v>5000</v>
      </c>
    </row>
    <row r="26" spans="1:16" ht="21" customHeight="1" x14ac:dyDescent="0.3">
      <c r="A26" s="1"/>
      <c r="B26" s="8" t="s">
        <v>16</v>
      </c>
      <c r="C26" s="37">
        <v>7200</v>
      </c>
      <c r="D26" s="37">
        <v>7000</v>
      </c>
      <c r="E26" s="37">
        <v>8000</v>
      </c>
      <c r="F26" s="37">
        <v>7000</v>
      </c>
      <c r="G26" s="37">
        <v>7500</v>
      </c>
      <c r="H26" s="37">
        <v>8000</v>
      </c>
      <c r="I26" s="37">
        <v>9000</v>
      </c>
      <c r="J26" s="37">
        <v>7300</v>
      </c>
      <c r="K26" s="37"/>
      <c r="L26" s="37"/>
      <c r="M26" s="37"/>
      <c r="N26" s="37"/>
      <c r="O26" s="37">
        <f>SUM(Kiadásoktbl[[#This Row],[JAN.]:[DEC.]])</f>
        <v>61000</v>
      </c>
      <c r="P26" s="38">
        <f>IFERROR(AVERAGE(Kiadásoktbl[[#This Row],[JAN.]:[DEC.]]),"")</f>
        <v>7625</v>
      </c>
    </row>
    <row r="27" spans="1:16" ht="21" customHeight="1" x14ac:dyDescent="0.3">
      <c r="A27" s="1"/>
      <c r="B27" s="8" t="s">
        <v>17</v>
      </c>
      <c r="C27" s="37">
        <v>6000</v>
      </c>
      <c r="D27" s="37">
        <v>6300</v>
      </c>
      <c r="E27" s="37">
        <v>6500</v>
      </c>
      <c r="F27" s="37">
        <v>6000</v>
      </c>
      <c r="G27" s="37">
        <v>6500</v>
      </c>
      <c r="H27" s="37">
        <v>6000</v>
      </c>
      <c r="I27" s="37">
        <v>6300</v>
      </c>
      <c r="J27" s="37">
        <v>6000</v>
      </c>
      <c r="K27" s="37"/>
      <c r="L27" s="37"/>
      <c r="M27" s="37"/>
      <c r="N27" s="37"/>
      <c r="O27" s="37">
        <f>SUM(Kiadásoktbl[[#This Row],[JAN.]:[DEC.]])</f>
        <v>49600</v>
      </c>
      <c r="P27" s="38">
        <f>IFERROR(AVERAGE(Kiadásoktbl[[#This Row],[JAN.]:[DEC.]]),"")</f>
        <v>6200</v>
      </c>
    </row>
    <row r="28" spans="1:16" ht="21" customHeight="1" x14ac:dyDescent="0.3">
      <c r="A28" s="1"/>
      <c r="B28" s="8" t="s">
        <v>18</v>
      </c>
      <c r="C28" s="37">
        <v>4500</v>
      </c>
      <c r="D28" s="37">
        <v>4500</v>
      </c>
      <c r="E28" s="37">
        <v>4500</v>
      </c>
      <c r="F28" s="37">
        <v>4500</v>
      </c>
      <c r="G28" s="37">
        <v>4500</v>
      </c>
      <c r="H28" s="37">
        <v>4500</v>
      </c>
      <c r="I28" s="37">
        <v>4500</v>
      </c>
      <c r="J28" s="37">
        <v>4500</v>
      </c>
      <c r="K28" s="37"/>
      <c r="L28" s="37"/>
      <c r="M28" s="37"/>
      <c r="N28" s="37"/>
      <c r="O28" s="37">
        <f>SUM(Kiadásoktbl[[#This Row],[JAN.]:[DEC.]])</f>
        <v>36000</v>
      </c>
      <c r="P28" s="38">
        <f>IFERROR(AVERAGE(Kiadásoktbl[[#This Row],[JAN.]:[DEC.]]),"")</f>
        <v>4500</v>
      </c>
    </row>
    <row r="29" spans="1:16" ht="21" customHeight="1" x14ac:dyDescent="0.3">
      <c r="A29" s="1"/>
      <c r="B29" s="8" t="s">
        <v>19</v>
      </c>
      <c r="C29" s="37">
        <v>15500</v>
      </c>
      <c r="D29" s="37">
        <v>15500</v>
      </c>
      <c r="E29" s="37">
        <v>15800</v>
      </c>
      <c r="F29" s="37">
        <v>16000</v>
      </c>
      <c r="G29" s="37">
        <v>16500</v>
      </c>
      <c r="H29" s="37">
        <v>20000</v>
      </c>
      <c r="I29" s="37">
        <v>34000</v>
      </c>
      <c r="J29" s="37">
        <v>35000</v>
      </c>
      <c r="K29" s="37"/>
      <c r="L29" s="37"/>
      <c r="M29" s="37"/>
      <c r="N29" s="37"/>
      <c r="O29" s="37">
        <f>SUM(Kiadásoktbl[[#This Row],[JAN.]:[DEC.]])</f>
        <v>168300</v>
      </c>
      <c r="P29" s="38">
        <f>IFERROR(AVERAGE(Kiadásoktbl[[#This Row],[JAN.]:[DEC.]]),"")</f>
        <v>21037.5</v>
      </c>
    </row>
    <row r="30" spans="1:16" ht="21" customHeight="1" x14ac:dyDescent="0.25">
      <c r="B30" s="8" t="s">
        <v>20</v>
      </c>
      <c r="C30" s="37">
        <v>3500</v>
      </c>
      <c r="D30" s="37">
        <v>3500</v>
      </c>
      <c r="E30" s="37">
        <v>3700</v>
      </c>
      <c r="F30" s="37">
        <v>3900</v>
      </c>
      <c r="G30" s="37">
        <v>4500</v>
      </c>
      <c r="H30" s="37">
        <v>4200</v>
      </c>
      <c r="I30" s="37">
        <v>4200</v>
      </c>
      <c r="J30" s="37">
        <v>3600</v>
      </c>
      <c r="K30" s="37"/>
      <c r="L30" s="37"/>
      <c r="M30" s="37"/>
      <c r="N30" s="37"/>
      <c r="O30" s="37">
        <f>SUM(Kiadásoktbl[[#This Row],[JAN.]:[DEC.]])</f>
        <v>31100</v>
      </c>
      <c r="P30" s="38">
        <f>IFERROR(AVERAGE(Kiadásoktbl[[#This Row],[JAN.]:[DEC.]]),"")</f>
        <v>3887.5</v>
      </c>
    </row>
    <row r="31" spans="1:16" ht="21" customHeight="1" x14ac:dyDescent="0.3">
      <c r="A31" s="1"/>
      <c r="B31" s="8" t="s">
        <v>21</v>
      </c>
      <c r="C31" s="37">
        <v>5000</v>
      </c>
      <c r="D31" s="37">
        <v>4500</v>
      </c>
      <c r="E31" s="37">
        <v>4000</v>
      </c>
      <c r="F31" s="37">
        <v>4000</v>
      </c>
      <c r="G31" s="37">
        <v>4200</v>
      </c>
      <c r="H31" s="37">
        <v>5000</v>
      </c>
      <c r="I31" s="37">
        <v>5500</v>
      </c>
      <c r="J31" s="37">
        <v>4000</v>
      </c>
      <c r="K31" s="37"/>
      <c r="L31" s="37"/>
      <c r="M31" s="37"/>
      <c r="N31" s="37"/>
      <c r="O31" s="37">
        <f>SUM(Kiadásoktbl[[#This Row],[JAN.]:[DEC.]])</f>
        <v>36200</v>
      </c>
      <c r="P31" s="38">
        <f>IFERROR(AVERAGE(Kiadásoktbl[[#This Row],[JAN.]:[DEC.]]),"")</f>
        <v>4525</v>
      </c>
    </row>
    <row r="32" spans="1:16" ht="21" customHeight="1" x14ac:dyDescent="0.25">
      <c r="B32" s="8" t="s">
        <v>22</v>
      </c>
      <c r="C32" s="37">
        <v>12300</v>
      </c>
      <c r="D32" s="37">
        <v>9200</v>
      </c>
      <c r="E32" s="37">
        <v>5800</v>
      </c>
      <c r="F32" s="37">
        <v>13100</v>
      </c>
      <c r="G32" s="37">
        <v>4600</v>
      </c>
      <c r="H32" s="37">
        <v>10500</v>
      </c>
      <c r="I32" s="37">
        <v>8400</v>
      </c>
      <c r="J32" s="37">
        <v>10800</v>
      </c>
      <c r="K32" s="37"/>
      <c r="L32" s="37"/>
      <c r="M32" s="37"/>
      <c r="N32" s="37"/>
      <c r="O32" s="37">
        <f>SUM(Kiadásoktbl[[#This Row],[JAN.]:[DEC.]])</f>
        <v>74700</v>
      </c>
      <c r="P32" s="38">
        <f>IFERROR(AVERAGE(Kiadásoktbl[[#This Row],[JAN.]:[DEC.]]),"")</f>
        <v>9337.5</v>
      </c>
    </row>
    <row r="33" spans="2:16" ht="21" customHeight="1" x14ac:dyDescent="0.25">
      <c r="B33" s="8" t="s">
        <v>23</v>
      </c>
      <c r="C33" s="37">
        <v>55000</v>
      </c>
      <c r="D33" s="37">
        <v>55000</v>
      </c>
      <c r="E33" s="37">
        <v>55000</v>
      </c>
      <c r="F33" s="37">
        <v>55000</v>
      </c>
      <c r="G33" s="37">
        <v>55000</v>
      </c>
      <c r="H33" s="37">
        <v>55000</v>
      </c>
      <c r="I33" s="37">
        <v>55000</v>
      </c>
      <c r="J33" s="37">
        <v>55000</v>
      </c>
      <c r="K33" s="37"/>
      <c r="L33" s="37"/>
      <c r="M33" s="37"/>
      <c r="N33" s="37"/>
      <c r="O33" s="37">
        <f>SUM(Kiadásoktbl[[#This Row],[JAN.]:[DEC.]])</f>
        <v>440000</v>
      </c>
      <c r="P33" s="38">
        <f>IFERROR(AVERAGE(Kiadásoktbl[[#This Row],[JAN.]:[DEC.]]),"")</f>
        <v>55000</v>
      </c>
    </row>
    <row r="34" spans="2:16" ht="21" customHeight="1" x14ac:dyDescent="0.25">
      <c r="B34" s="8" t="s">
        <v>24</v>
      </c>
      <c r="C34" s="37">
        <v>20000</v>
      </c>
      <c r="D34" s="37">
        <v>22500</v>
      </c>
      <c r="E34" s="37">
        <v>30000</v>
      </c>
      <c r="F34" s="37">
        <v>20000</v>
      </c>
      <c r="G34" s="37">
        <v>20000</v>
      </c>
      <c r="H34" s="37">
        <v>20000</v>
      </c>
      <c r="I34" s="37">
        <v>25000</v>
      </c>
      <c r="J34" s="37">
        <v>32500</v>
      </c>
      <c r="K34" s="37"/>
      <c r="L34" s="37"/>
      <c r="M34" s="37"/>
      <c r="N34" s="37"/>
      <c r="O34" s="37">
        <f>SUM(Kiadásoktbl[[#This Row],[JAN.]:[DEC.]])</f>
        <v>190000</v>
      </c>
      <c r="P34" s="38">
        <f>IFERROR(AVERAGE(Kiadásoktbl[[#This Row],[JAN.]:[DEC.]]),"")</f>
        <v>23750</v>
      </c>
    </row>
    <row r="35" spans="2:16" ht="21" customHeight="1" x14ac:dyDescent="0.25">
      <c r="B35" s="6" t="s">
        <v>25</v>
      </c>
      <c r="C35" s="39">
        <v>2000</v>
      </c>
      <c r="D35" s="39">
        <v>3000</v>
      </c>
      <c r="E35" s="39">
        <v>2000</v>
      </c>
      <c r="F35" s="39">
        <v>3000</v>
      </c>
      <c r="G35" s="39">
        <v>3000</v>
      </c>
      <c r="H35" s="39">
        <v>2000</v>
      </c>
      <c r="I35" s="39">
        <v>3000</v>
      </c>
      <c r="J35" s="39">
        <v>2000</v>
      </c>
      <c r="K35" s="39"/>
      <c r="L35" s="39"/>
      <c r="M35" s="39"/>
      <c r="N35" s="39"/>
      <c r="O35" s="37">
        <f>SUM(Kiadásoktbl[[#This Row],[JAN.]:[DEC.]])</f>
        <v>20000</v>
      </c>
      <c r="P35" s="38">
        <f>IFERROR(AVERAGE(Kiadásoktbl[[#This Row],[JAN.]:[DEC.]]),"")</f>
        <v>2500</v>
      </c>
    </row>
  </sheetData>
  <mergeCells count="2">
    <mergeCell ref="B2:D2"/>
    <mergeCell ref="E2:F2"/>
  </mergeCells>
  <printOptions horizontalCentered="1"/>
  <pageMargins left="0.25" right="0.25" top="0.5" bottom="0.75" header="0.3" footer="0.3"/>
  <pageSetup paperSize="9"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Családi költségvetés</vt:lpstr>
      <vt:lpstr>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2013-11-29T19:17:45Z</dcterms:created>
  <dcterms:modified xsi:type="dcterms:W3CDTF">2014-02-25T15:36:02Z</dcterms:modified>
</cp:coreProperties>
</file>