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0000000\PLK\"/>
    </mc:Choice>
  </mc:AlternateContent>
  <bookViews>
    <workbookView xWindow="0" yWindow="900" windowWidth="20490" windowHeight="7515" tabRatio="741"/>
  </bookViews>
  <sheets>
    <sheet name="Sty" sheetId="1" r:id="rId1"/>
    <sheet name="Lut" sheetId="6" r:id="rId2"/>
    <sheet name="Mar" sheetId="7" r:id="rId3"/>
    <sheet name="Kwi" sheetId="8" r:id="rId4"/>
    <sheet name="Maj" sheetId="9" r:id="rId5"/>
    <sheet name="Cze" sheetId="10" r:id="rId6"/>
    <sheet name="Lip" sheetId="11" r:id="rId7"/>
    <sheet name="Sie" sheetId="12" r:id="rId8"/>
    <sheet name="Wrz" sheetId="13" r:id="rId9"/>
    <sheet name="Paź" sheetId="14" r:id="rId10"/>
    <sheet name="Lis" sheetId="15" r:id="rId11"/>
    <sheet name="Gru" sheetId="16" r:id="rId12"/>
  </sheets>
  <definedNames>
    <definedName name="Cze_n_1">DATE(Rok_kalendarzowy,6,1)-WEEKDAY(DATE(Rok_kalendarzowy,6,1))+1</definedName>
    <definedName name="Dni_zadania" localSheetId="5">Cze!$L$4:$L$33</definedName>
    <definedName name="Dni_zadania" localSheetId="11">Gru!$L$4:$L$33</definedName>
    <definedName name="Dni_zadania" localSheetId="3">Kwi!$L$4:$L$33</definedName>
    <definedName name="Dni_zadania" localSheetId="6">Lip!$L$4:$L$33</definedName>
    <definedName name="Dni_zadania" localSheetId="10">Lis!$L$4:$L$33</definedName>
    <definedName name="Dni_zadania" localSheetId="1">Lut!$L$4:$L$33</definedName>
    <definedName name="Dni_zadania" localSheetId="4">Maj!$L$4:$L$33</definedName>
    <definedName name="Dni_zadania" localSheetId="2">Mar!$L$4:$L$33</definedName>
    <definedName name="Dni_zadania" localSheetId="9">Paź!$L$4:$L$33</definedName>
    <definedName name="Dni_zadania" localSheetId="7">Sie!$L$4:$L$33</definedName>
    <definedName name="Dni_zadania" localSheetId="8">Wrz!$L$4:$L$33</definedName>
    <definedName name="Dni_zadania">Sty!$L$4:$L$33</definedName>
    <definedName name="Gru_n_1">DATE(Rok_kalendarzowy,12,1)-WEEKDAY(DATE(Rok_kalendarzowy,12,1))+1</definedName>
    <definedName name="Kwi_n_1">DATE(Rok_kalendarzowy,4,1)-WEEKDAY(DATE(Rok_kalendarzowy,4,1))+1</definedName>
    <definedName name="Lip_n_1">DATE(Rok_kalendarzowy,7,1)-WEEKDAY(DATE(Rok_kalendarzowy,7,1))+1</definedName>
    <definedName name="Lis_n_1">DATE(Rok_kalendarzowy,11,1)-WEEKDAY(DATE(Rok_kalendarzowy,11,1))+1</definedName>
    <definedName name="Lut_n_1">DATE(Rok_kalendarzowy,2,1)-WEEKDAY(DATE(Rok_kalendarzowy,2,1))+1</definedName>
    <definedName name="Maj_n_1">DATE(Rok_kalendarzowy,5,1)-WEEKDAY(DATE(Rok_kalendarzowy,5,1))+1</definedName>
    <definedName name="Mar_n_1">DATE(Rok_kalendarzowy,3,1)-WEEKDAY(DATE(Rok_kalendarzowy,3,1))+1</definedName>
    <definedName name="_xlnm.Print_Area" localSheetId="5">Cze!$A$1:$N$33</definedName>
    <definedName name="_xlnm.Print_Area" localSheetId="11">Gru!$A$1:$N$33</definedName>
    <definedName name="_xlnm.Print_Area" localSheetId="3">Kwi!$A$1:$N$33</definedName>
    <definedName name="_xlnm.Print_Area" localSheetId="6">Lip!$A$1:$N$33</definedName>
    <definedName name="_xlnm.Print_Area" localSheetId="10">Lis!$A$1:$N$33</definedName>
    <definedName name="_xlnm.Print_Area" localSheetId="1">Lut!$A$1:$N$33</definedName>
    <definedName name="_xlnm.Print_Area" localSheetId="4">Maj!$A$1:$N$33</definedName>
    <definedName name="_xlnm.Print_Area" localSheetId="2">Mar!$A$1:$N$33</definedName>
    <definedName name="_xlnm.Print_Area" localSheetId="9">Paź!$A$1:$N$33</definedName>
    <definedName name="_xlnm.Print_Area" localSheetId="7">Sie!$A$1:$N$33</definedName>
    <definedName name="_xlnm.Print_Area" localSheetId="0">Sty!$A$1:$N$33</definedName>
    <definedName name="_xlnm.Print_Area" localSheetId="8">Wrz!$A$1:$N$33</definedName>
    <definedName name="Paź_n_1">DATE(Rok_kalendarzowy,10,1)-WEEKDAY(DATE(Rok_kalendarzowy,10,1))+1</definedName>
    <definedName name="Rok_kalendarzowy">Sty!$N$2</definedName>
    <definedName name="Sie_n_1">DATE(Rok_kalendarzowy,8,1)-WEEKDAY(DATE(Rok_kalendarzowy,8,1))+1</definedName>
    <definedName name="Sty_n_1">DATE(Rok_kalendarzowy,1,1)-WEEKDAY(DATE(Rok_kalendarzowy,1,1))+1</definedName>
    <definedName name="Tabela_ważnych_dat" localSheetId="5">Cze!$L$4:$M$8</definedName>
    <definedName name="Tabela_ważnych_dat" localSheetId="11">Gru!$L$4:$M$8</definedName>
    <definedName name="Tabela_ważnych_dat" localSheetId="3">Kwi!$L$4:$M$8</definedName>
    <definedName name="Tabela_ważnych_dat" localSheetId="6">Lip!$L$4:$M$8</definedName>
    <definedName name="Tabela_ważnych_dat" localSheetId="10">Lis!$L$4:$M$8</definedName>
    <definedName name="Tabela_ważnych_dat" localSheetId="1">Lut!$L$4:$M$8</definedName>
    <definedName name="Tabela_ważnych_dat" localSheetId="4">Maj!$L$4:$M$8</definedName>
    <definedName name="Tabela_ważnych_dat" localSheetId="2">Mar!$L$4:$M$8</definedName>
    <definedName name="Tabela_ważnych_dat" localSheetId="9">Paź!$L$4:$M$8</definedName>
    <definedName name="Tabela_ważnych_dat" localSheetId="7">Sie!$L$4:$M$8</definedName>
    <definedName name="Tabela_ważnych_dat" localSheetId="8">Wrz!$L$4:$M$8</definedName>
    <definedName name="Tabela_ważnych_dat">Sty!$L$4:$M$8</definedName>
    <definedName name="Wrz_n_1">DATE(Rok_kalendarzowy,9,1)-WEEKDAY(DATE(Rok_kalendarzowy,9,1))+1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" i="8" l="1"/>
  <c r="N2" i="9"/>
  <c r="N2" i="10"/>
  <c r="N2" i="13"/>
  <c r="N2" i="12"/>
  <c r="N2" i="11"/>
  <c r="N2" i="6"/>
  <c r="N2" i="15"/>
  <c r="N2" i="7"/>
  <c r="N2" i="14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8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H4" i="1"/>
  <c r="G4" i="1"/>
  <c r="F4" i="1"/>
  <c r="E4" i="1"/>
  <c r="D4" i="1"/>
  <c r="C4" i="1"/>
  <c r="N2" i="16"/>
</calcChain>
</file>

<file path=xl/sharedStrings.xml><?xml version="1.0" encoding="utf-8"?>
<sst xmlns="http://schemas.openxmlformats.org/spreadsheetml/2006/main" count="555" uniqueCount="38">
  <si>
    <t>STY</t>
  </si>
  <si>
    <t>HARMONOGRAM TYGODNIA</t>
  </si>
  <si>
    <t>PN</t>
  </si>
  <si>
    <t>8:00</t>
  </si>
  <si>
    <t>Francuski</t>
  </si>
  <si>
    <t>10:00</t>
  </si>
  <si>
    <t>Matematyka</t>
  </si>
  <si>
    <t>14:00</t>
  </si>
  <si>
    <t>Angielski</t>
  </si>
  <si>
    <t>P</t>
  </si>
  <si>
    <t>WT</t>
  </si>
  <si>
    <t>9:00</t>
  </si>
  <si>
    <t>Historia sztuki</t>
  </si>
  <si>
    <t>16:00</t>
  </si>
  <si>
    <t>Programowanie</t>
  </si>
  <si>
    <t>W</t>
  </si>
  <si>
    <t>Ś</t>
  </si>
  <si>
    <t>ŚR</t>
  </si>
  <si>
    <t>C</t>
  </si>
  <si>
    <t>CZ</t>
  </si>
  <si>
    <t>S</t>
  </si>
  <si>
    <t>N</t>
  </si>
  <si>
    <t>PT</t>
  </si>
  <si>
    <t>ZADANIA</t>
  </si>
  <si>
    <t>Francuski: Termin pierwszej wersji pracy pisemnej</t>
  </si>
  <si>
    <t>Historia sztuki: Test</t>
  </si>
  <si>
    <t>&lt; Wpisz rok kalendarzowy w komórce N2.</t>
  </si>
  <si>
    <t>PAŹ</t>
  </si>
  <si>
    <t>LIS</t>
  </si>
  <si>
    <t>GRU</t>
  </si>
  <si>
    <t>LUT</t>
  </si>
  <si>
    <t>MAR</t>
  </si>
  <si>
    <t>KWI</t>
  </si>
  <si>
    <t>MAJ</t>
  </si>
  <si>
    <t>CZE</t>
  </si>
  <si>
    <t>LIP</t>
  </si>
  <si>
    <t>SIE</t>
  </si>
  <si>
    <t>WRZ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</si>
</sst>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1" x14ac:knownFonts="1">
    <font>
      <sz val="10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b/>
      <sz val="10"/>
      <color rgb="FF39B5D4"/>
      <name val="Arial"/>
      <family val="2"/>
      <scheme val="minor"/>
    </font>
    <font>
      <b/>
      <sz val="10"/>
      <color theme="4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6">
    <xf numFmtId="0" fontId="0" fillId="0" borderId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textRotation="90"/>
    </xf>
  </cellStyleXfs>
  <cellXfs count="81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indent="1"/>
    </xf>
    <xf numFmtId="0" fontId="0" fillId="0" borderId="8" xfId="0" applyFont="1" applyBorder="1"/>
    <xf numFmtId="0" fontId="0" fillId="0" borderId="15" xfId="0" applyFont="1" applyBorder="1"/>
    <xf numFmtId="0" fontId="10" fillId="3" borderId="20" xfId="0" applyFont="1" applyFill="1" applyBorder="1" applyAlignment="1">
      <alignment horizontal="left" vertical="top" indent="1"/>
    </xf>
    <xf numFmtId="0" fontId="10" fillId="3" borderId="10" xfId="0" applyFont="1" applyFill="1" applyBorder="1" applyAlignment="1">
      <alignment horizontal="left" vertical="top" indent="1"/>
    </xf>
    <xf numFmtId="49" fontId="9" fillId="3" borderId="7" xfId="0" applyNumberFormat="1" applyFont="1" applyFill="1" applyBorder="1" applyAlignment="1">
      <alignment horizontal="left" indent="1"/>
    </xf>
    <xf numFmtId="49" fontId="9" fillId="3" borderId="23" xfId="0" applyNumberFormat="1" applyFont="1" applyFill="1" applyBorder="1" applyAlignment="1">
      <alignment horizontal="left" inden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textRotation="90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textRotation="90"/>
    </xf>
    <xf numFmtId="164" fontId="1" fillId="0" borderId="13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0" fillId="0" borderId="39" xfId="0" applyFont="1" applyBorder="1"/>
    <xf numFmtId="0" fontId="0" fillId="0" borderId="40" xfId="0" applyFont="1" applyBorder="1"/>
    <xf numFmtId="164" fontId="15" fillId="0" borderId="13" xfId="0" applyNumberFormat="1" applyFont="1" applyFill="1" applyBorder="1" applyAlignment="1">
      <alignment horizontal="left" vertical="center" wrapText="1" indent="1"/>
    </xf>
    <xf numFmtId="0" fontId="0" fillId="0" borderId="14" xfId="0" applyFont="1" applyBorder="1"/>
    <xf numFmtId="0" fontId="19" fillId="0" borderId="0" xfId="0" applyFont="1" applyAlignment="1">
      <alignment vertical="center" wrapText="1"/>
    </xf>
    <xf numFmtId="0" fontId="17" fillId="0" borderId="6" xfId="2" applyFill="1" applyBorder="1" applyAlignment="1">
      <alignment vertical="top"/>
    </xf>
    <xf numFmtId="0" fontId="17" fillId="0" borderId="41" xfId="2" applyFill="1" applyBorder="1" applyAlignment="1">
      <alignment vertical="top"/>
    </xf>
    <xf numFmtId="0" fontId="17" fillId="0" borderId="6" xfId="2" applyFill="1" applyBorder="1" applyAlignment="1">
      <alignment vertical="center" textRotation="90"/>
    </xf>
    <xf numFmtId="0" fontId="17" fillId="0" borderId="41" xfId="2" applyFill="1" applyBorder="1" applyAlignment="1">
      <alignment vertical="center" textRotation="90"/>
    </xf>
    <xf numFmtId="0" fontId="0" fillId="0" borderId="38" xfId="0" applyFont="1" applyBorder="1"/>
    <xf numFmtId="0" fontId="7" fillId="0" borderId="35" xfId="5" applyBorder="1" applyAlignment="1">
      <alignment vertical="top"/>
    </xf>
    <xf numFmtId="0" fontId="7" fillId="0" borderId="28" xfId="5" applyBorder="1" applyAlignment="1">
      <alignment vertical="top"/>
    </xf>
    <xf numFmtId="0" fontId="12" fillId="0" borderId="2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8" fillId="2" borderId="9" xfId="0" applyFont="1" applyFill="1" applyBorder="1" applyAlignment="1">
      <alignment horizontal="left" indent="1"/>
    </xf>
    <xf numFmtId="0" fontId="8" fillId="2" borderId="15" xfId="0" applyFont="1" applyFill="1" applyBorder="1" applyAlignment="1">
      <alignment horizontal="left" indent="1"/>
    </xf>
    <xf numFmtId="0" fontId="8" fillId="2" borderId="5" xfId="0" applyFont="1" applyFill="1" applyBorder="1" applyAlignment="1">
      <alignment horizontal="left" indent="1"/>
    </xf>
    <xf numFmtId="0" fontId="16" fillId="0" borderId="32" xfId="3" applyBorder="1" applyAlignment="1">
      <alignment horizontal="left" vertical="center"/>
    </xf>
    <xf numFmtId="0" fontId="16" fillId="0" borderId="33" xfId="3" applyBorder="1" applyAlignment="1">
      <alignment horizontal="left" vertical="center"/>
    </xf>
    <xf numFmtId="0" fontId="16" fillId="0" borderId="29" xfId="3" applyBorder="1" applyAlignment="1">
      <alignment horizontal="left" vertical="center"/>
    </xf>
    <xf numFmtId="0" fontId="16" fillId="0" borderId="30" xfId="3" applyBorder="1" applyAlignment="1">
      <alignment horizontal="left" vertical="center"/>
    </xf>
    <xf numFmtId="0" fontId="7" fillId="0" borderId="32" xfId="5" applyBorder="1" applyAlignment="1">
      <alignment vertical="top"/>
    </xf>
    <xf numFmtId="0" fontId="12" fillId="0" borderId="36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6" fillId="0" borderId="34" xfId="3" applyFill="1" applyBorder="1" applyAlignment="1">
      <alignment horizontal="center" vertical="center"/>
    </xf>
    <xf numFmtId="0" fontId="16" fillId="0" borderId="31" xfId="3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 vertical="top" indent="1"/>
    </xf>
    <xf numFmtId="0" fontId="10" fillId="3" borderId="22" xfId="0" applyFont="1" applyFill="1" applyBorder="1" applyAlignment="1">
      <alignment horizontal="left" vertical="top" indent="1"/>
    </xf>
    <xf numFmtId="49" fontId="9" fillId="3" borderId="9" xfId="0" applyNumberFormat="1" applyFont="1" applyFill="1" applyBorder="1" applyAlignment="1">
      <alignment horizontal="left" indent="1"/>
    </xf>
    <xf numFmtId="49" fontId="9" fillId="3" borderId="5" xfId="0" applyNumberFormat="1" applyFont="1" applyFill="1" applyBorder="1" applyAlignment="1">
      <alignment horizontal="left" indent="1"/>
    </xf>
    <xf numFmtId="49" fontId="9" fillId="3" borderId="24" xfId="0" applyNumberFormat="1" applyFont="1" applyFill="1" applyBorder="1" applyAlignment="1">
      <alignment horizontal="left" indent="1"/>
    </xf>
    <xf numFmtId="49" fontId="9" fillId="3" borderId="25" xfId="0" applyNumberFormat="1" applyFont="1" applyFill="1" applyBorder="1" applyAlignment="1">
      <alignment horizontal="left" indent="1"/>
    </xf>
    <xf numFmtId="0" fontId="10" fillId="3" borderId="11" xfId="0" applyFont="1" applyFill="1" applyBorder="1" applyAlignment="1">
      <alignment horizontal="left" vertical="top" indent="1"/>
    </xf>
    <xf numFmtId="0" fontId="10" fillId="3" borderId="12" xfId="0" applyFont="1" applyFill="1" applyBorder="1" applyAlignment="1">
      <alignment horizontal="left" vertical="top" indent="1"/>
    </xf>
    <xf numFmtId="164" fontId="10" fillId="3" borderId="21" xfId="0" applyNumberFormat="1" applyFont="1" applyFill="1" applyBorder="1" applyAlignment="1">
      <alignment horizontal="left" vertical="top" indent="1"/>
    </xf>
    <xf numFmtId="164" fontId="10" fillId="3" borderId="26" xfId="0" applyNumberFormat="1" applyFont="1" applyFill="1" applyBorder="1" applyAlignment="1">
      <alignment horizontal="left" vertical="top" indent="1"/>
    </xf>
    <xf numFmtId="49" fontId="9" fillId="3" borderId="27" xfId="0" applyNumberFormat="1" applyFont="1" applyFill="1" applyBorder="1" applyAlignment="1">
      <alignment horizontal="left" indent="1"/>
    </xf>
    <xf numFmtId="49" fontId="9" fillId="3" borderId="15" xfId="0" applyNumberFormat="1" applyFont="1" applyFill="1" applyBorder="1" applyAlignment="1">
      <alignment horizontal="left" indent="1"/>
    </xf>
    <xf numFmtId="49" fontId="9" fillId="3" borderId="9" xfId="0" applyNumberFormat="1" applyFont="1" applyFill="1" applyBorder="1" applyAlignment="1">
      <alignment horizontal="left" vertical="center" indent="1"/>
    </xf>
    <xf numFmtId="49" fontId="9" fillId="3" borderId="15" xfId="0" applyNumberFormat="1" applyFont="1" applyFill="1" applyBorder="1" applyAlignment="1">
      <alignment horizontal="left" vertical="center" indent="1"/>
    </xf>
    <xf numFmtId="0" fontId="11" fillId="3" borderId="21" xfId="0" applyFont="1" applyFill="1" applyBorder="1" applyAlignment="1">
      <alignment horizontal="left" vertical="top" indent="1"/>
    </xf>
    <xf numFmtId="0" fontId="11" fillId="3" borderId="26" xfId="0" applyFont="1" applyFill="1" applyBorder="1" applyAlignment="1">
      <alignment horizontal="left" vertical="top" indent="1"/>
    </xf>
    <xf numFmtId="0" fontId="10" fillId="3" borderId="26" xfId="0" applyFont="1" applyFill="1" applyBorder="1" applyAlignment="1">
      <alignment horizontal="left" vertical="top" indent="1"/>
    </xf>
    <xf numFmtId="0" fontId="17" fillId="0" borderId="6" xfId="2" applyFill="1" applyBorder="1" applyAlignment="1">
      <alignment vertical="top"/>
    </xf>
    <xf numFmtId="0" fontId="20" fillId="0" borderId="0" xfId="0" applyFont="1" applyAlignment="1">
      <alignment vertical="center" wrapText="1"/>
    </xf>
    <xf numFmtId="0" fontId="7" fillId="0" borderId="6" xfId="4" applyBorder="1" applyAlignment="1">
      <alignment horizontal="left" vertical="center"/>
    </xf>
    <xf numFmtId="0" fontId="7" fillId="0" borderId="0" xfId="4" applyAlignment="1">
      <alignment horizontal="left" vertical="center"/>
    </xf>
    <xf numFmtId="0" fontId="7" fillId="0" borderId="15" xfId="4" applyBorder="1" applyAlignment="1">
      <alignment horizontal="left" vertical="center"/>
    </xf>
    <xf numFmtId="164" fontId="13" fillId="0" borderId="4" xfId="0" applyNumberFormat="1" applyFont="1" applyFill="1" applyBorder="1" applyAlignment="1">
      <alignment horizontal="left"/>
    </xf>
    <xf numFmtId="164" fontId="13" fillId="0" borderId="19" xfId="0" applyNumberFormat="1" applyFont="1" applyFill="1" applyBorder="1" applyAlignment="1">
      <alignment horizontal="left"/>
    </xf>
    <xf numFmtId="49" fontId="11" fillId="3" borderId="9" xfId="0" applyNumberFormat="1" applyFont="1" applyFill="1" applyBorder="1" applyAlignment="1">
      <alignment horizontal="left" indent="1"/>
    </xf>
    <xf numFmtId="49" fontId="11" fillId="3" borderId="15" xfId="0" applyNumberFormat="1" applyFont="1" applyFill="1" applyBorder="1" applyAlignment="1">
      <alignment horizontal="left" indent="1"/>
    </xf>
    <xf numFmtId="164" fontId="10" fillId="3" borderId="11" xfId="0" applyNumberFormat="1" applyFont="1" applyFill="1" applyBorder="1" applyAlignment="1">
      <alignment horizontal="left" vertical="top" indent="1"/>
    </xf>
    <xf numFmtId="164" fontId="10" fillId="3" borderId="14" xfId="0" applyNumberFormat="1" applyFont="1" applyFill="1" applyBorder="1" applyAlignment="1">
      <alignment horizontal="left" vertical="top" indent="1"/>
    </xf>
    <xf numFmtId="0" fontId="16" fillId="0" borderId="42" xfId="3" applyBorder="1" applyAlignment="1">
      <alignment horizontal="center" vertical="center"/>
    </xf>
    <xf numFmtId="0" fontId="16" fillId="0" borderId="43" xfId="3" applyBorder="1" applyAlignment="1">
      <alignment horizontal="center" vertical="center"/>
    </xf>
  </cellXfs>
  <cellStyles count="6"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ormalny" xfId="0" builtinId="0" customBuiltin="1"/>
    <cellStyle name="Tytuł" xfId="1" builtinId="15" customBuiltin="1"/>
  </cellStyles>
  <dxfs count="111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Styl_tabeli_jasny_7 2" pivot="0" count="7">
      <tableStyleElement type="wholeTable" dxfId="110"/>
      <tableStyleElement type="headerRow" dxfId="109"/>
      <tableStyleElement type="totalRow" dxfId="108"/>
      <tableStyleElement type="firstColumn" dxfId="107"/>
      <tableStyleElement type="lastColumn" dxfId="106"/>
      <tableStyleElement type="firstRowStripe" dxfId="105"/>
      <tableStyleElement type="firstColumnStripe" dxfId="104"/>
    </tableStyle>
    <tableStyle name="Styl_tabeli_jasny_9 2" pivot="0" count="4">
      <tableStyleElement type="wholeTable" dxfId="103"/>
      <tableStyleElement type="headerRow" dxfId="102"/>
      <tableStyleElement type="totalRow" dxfId="101"/>
      <tableStyleElement type="firstColumn" dxfId="10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P33"/>
  <sheetViews>
    <sheetView showGridLines="0" tabSelected="1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" width="39.85546875" bestFit="1" customWidth="1"/>
    <col min="17" max="16384" width="8.7109375" style="1"/>
  </cols>
  <sheetData>
    <row r="1" spans="1:16" ht="11.25" customHeight="1" x14ac:dyDescent="0.2"/>
    <row r="2" spans="1:16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23</v>
      </c>
      <c r="L2" s="43">
        <v>2013</v>
      </c>
      <c r="M2" s="43"/>
      <c r="N2" s="49">
        <v>2016</v>
      </c>
      <c r="P2" s="69" t="s">
        <v>26</v>
      </c>
    </row>
    <row r="3" spans="1:16" ht="21" customHeight="1" x14ac:dyDescent="0.2">
      <c r="A3" s="4"/>
      <c r="B3" s="68" t="s">
        <v>0</v>
      </c>
      <c r="C3" s="2" t="s">
        <v>9</v>
      </c>
      <c r="D3" s="2" t="s">
        <v>15</v>
      </c>
      <c r="E3" s="2" t="s">
        <v>16</v>
      </c>
      <c r="F3" s="2" t="s">
        <v>18</v>
      </c>
      <c r="G3" s="2" t="s">
        <v>9</v>
      </c>
      <c r="H3" s="2" t="s">
        <v>20</v>
      </c>
      <c r="I3" s="2" t="s">
        <v>21</v>
      </c>
      <c r="J3" s="5"/>
      <c r="K3" s="44"/>
      <c r="L3" s="45"/>
      <c r="M3" s="45"/>
      <c r="N3" s="50"/>
      <c r="P3" s="69"/>
    </row>
    <row r="4" spans="1:16" ht="18" customHeight="1" x14ac:dyDescent="0.2">
      <c r="A4" s="4"/>
      <c r="B4" s="68"/>
      <c r="C4" s="10">
        <f>IF(DAY(Sty_n_1)=1,Sty_n_1-6,Sty_n_1+1)</f>
        <v>42366</v>
      </c>
      <c r="D4" s="10">
        <f>IF(DAY(Sty_n_1)=1,Sty_n_1-5,Sty_n_1+2)</f>
        <v>42367</v>
      </c>
      <c r="E4" s="10">
        <f>IF(DAY(Sty_n_1)=1,Sty_n_1-4,Sty_n_1+3)</f>
        <v>42368</v>
      </c>
      <c r="F4" s="10">
        <f>IF(DAY(Sty_n_1)=1,Sty_n_1-3,Sty_n_1+4)</f>
        <v>42369</v>
      </c>
      <c r="G4" s="10">
        <f>IF(DAY(Sty_n_1)=1,Sty_n_1-2,Sty_n_1+5)</f>
        <v>42370</v>
      </c>
      <c r="H4" s="10">
        <f>IF(DAY(Sty_n_1)=1,Sty_n_1-1,Sty_n_1+6)</f>
        <v>42371</v>
      </c>
      <c r="I4" s="10">
        <f>IF(DAY(Sty_n_1)=1,Sty_n_1,Sty_n_1+7)</f>
        <v>42372</v>
      </c>
      <c r="J4" s="5"/>
      <c r="K4" s="46" t="s">
        <v>2</v>
      </c>
      <c r="L4" s="16">
        <v>5</v>
      </c>
      <c r="M4" s="47" t="s">
        <v>24</v>
      </c>
      <c r="N4" s="48"/>
      <c r="P4" s="25"/>
    </row>
    <row r="5" spans="1:16" ht="18" customHeight="1" x14ac:dyDescent="0.2">
      <c r="A5" s="4"/>
      <c r="B5" s="26"/>
      <c r="C5" s="10">
        <f>IF(DAY(Sty_n_1)=1,Sty_n_1+1,Sty_n_1+8)</f>
        <v>42373</v>
      </c>
      <c r="D5" s="10">
        <f>IF(DAY(Sty_n_1)=1,Sty_n_1+2,Sty_n_1+9)</f>
        <v>42374</v>
      </c>
      <c r="E5" s="10">
        <f>IF(DAY(Sty_n_1)=1,Sty_n_1+3,Sty_n_1+10)</f>
        <v>42375</v>
      </c>
      <c r="F5" s="10">
        <f>IF(DAY(Sty_n_1)=1,Sty_n_1+4,Sty_n_1+11)</f>
        <v>42376</v>
      </c>
      <c r="G5" s="10">
        <f>IF(DAY(Sty_n_1)=1,Sty_n_1+5,Sty_n_1+12)</f>
        <v>42377</v>
      </c>
      <c r="H5" s="10">
        <f>IF(DAY(Sty_n_1)=1,Sty_n_1+6,Sty_n_1+13)</f>
        <v>42378</v>
      </c>
      <c r="I5" s="10">
        <f>IF(DAY(Sty_n_1)=1,Sty_n_1+7,Sty_n_1+14)</f>
        <v>42379</v>
      </c>
      <c r="J5" s="5"/>
      <c r="K5" s="32"/>
      <c r="L5" s="17"/>
      <c r="M5" s="33"/>
      <c r="N5" s="34"/>
      <c r="P5" s="25"/>
    </row>
    <row r="6" spans="1:16" ht="18" customHeight="1" x14ac:dyDescent="0.2">
      <c r="A6" s="4"/>
      <c r="B6" s="26"/>
      <c r="C6" s="10">
        <f>IF(DAY(Sty_n_1)=1,Sty_n_1+8,Sty_n_1+15)</f>
        <v>42380</v>
      </c>
      <c r="D6" s="10">
        <f>IF(DAY(Sty_n_1)=1,Sty_n_1+9,Sty_n_1+16)</f>
        <v>42381</v>
      </c>
      <c r="E6" s="10">
        <f>IF(DAY(Sty_n_1)=1,Sty_n_1+10,Sty_n_1+17)</f>
        <v>42382</v>
      </c>
      <c r="F6" s="10">
        <f>IF(DAY(Sty_n_1)=1,Sty_n_1+11,Sty_n_1+18)</f>
        <v>42383</v>
      </c>
      <c r="G6" s="10">
        <f>IF(DAY(Sty_n_1)=1,Sty_n_1+12,Sty_n_1+19)</f>
        <v>42384</v>
      </c>
      <c r="H6" s="10">
        <f>IF(DAY(Sty_n_1)=1,Sty_n_1+13,Sty_n_1+20)</f>
        <v>42385</v>
      </c>
      <c r="I6" s="10">
        <f>IF(DAY(Sty_n_1)=1,Sty_n_1+14,Sty_n_1+21)</f>
        <v>42386</v>
      </c>
      <c r="J6" s="5"/>
      <c r="K6" s="32"/>
      <c r="L6" s="17"/>
      <c r="M6" s="33"/>
      <c r="N6" s="34"/>
    </row>
    <row r="7" spans="1:16" ht="18" customHeight="1" x14ac:dyDescent="0.2">
      <c r="A7" s="4"/>
      <c r="B7" s="26"/>
      <c r="C7" s="10">
        <f>IF(DAY(Sty_n_1)=1,Sty_n_1+15,Sty_n_1+22)</f>
        <v>42387</v>
      </c>
      <c r="D7" s="10">
        <f>IF(DAY(Sty_n_1)=1,Sty_n_1+16,Sty_n_1+23)</f>
        <v>42388</v>
      </c>
      <c r="E7" s="10">
        <f>IF(DAY(Sty_n_1)=1,Sty_n_1+17,Sty_n_1+24)</f>
        <v>42389</v>
      </c>
      <c r="F7" s="10">
        <f>IF(DAY(Sty_n_1)=1,Sty_n_1+18,Sty_n_1+25)</f>
        <v>42390</v>
      </c>
      <c r="G7" s="10">
        <f>IF(DAY(Sty_n_1)=1,Sty_n_1+19,Sty_n_1+26)</f>
        <v>42391</v>
      </c>
      <c r="H7" s="10">
        <f>IF(DAY(Sty_n_1)=1,Sty_n_1+20,Sty_n_1+27)</f>
        <v>42392</v>
      </c>
      <c r="I7" s="10">
        <f>IF(DAY(Sty_n_1)=1,Sty_n_1+21,Sty_n_1+28)</f>
        <v>42393</v>
      </c>
      <c r="J7" s="5"/>
      <c r="K7" s="11"/>
      <c r="L7" s="17"/>
      <c r="M7" s="33"/>
      <c r="N7" s="34"/>
    </row>
    <row r="8" spans="1:16" ht="18.75" customHeight="1" x14ac:dyDescent="0.2">
      <c r="A8" s="4"/>
      <c r="B8" s="26"/>
      <c r="C8" s="10">
        <f>IF(DAY(Sty_n_1)=1,Sty_n_1+22,Sty_n_1+29)</f>
        <v>42394</v>
      </c>
      <c r="D8" s="10">
        <f>IF(DAY(Sty_n_1)=1,Sty_n_1+23,Sty_n_1+30)</f>
        <v>42395</v>
      </c>
      <c r="E8" s="10">
        <f>IF(DAY(Sty_n_1)=1,Sty_n_1+24,Sty_n_1+31)</f>
        <v>42396</v>
      </c>
      <c r="F8" s="10">
        <f>IF(DAY(Sty_n_1)=1,Sty_n_1+25,Sty_n_1+32)</f>
        <v>42397</v>
      </c>
      <c r="G8" s="10">
        <f>IF(DAY(Sty_n_1)=1,Sty_n_1+26,Sty_n_1+33)</f>
        <v>42398</v>
      </c>
      <c r="H8" s="10">
        <f>IF(DAY(Sty_n_1)=1,Sty_n_1+27,Sty_n_1+34)</f>
        <v>42399</v>
      </c>
      <c r="I8" s="10">
        <f>IF(DAY(Sty_n_1)=1,Sty_n_1+28,Sty_n_1+35)</f>
        <v>42400</v>
      </c>
      <c r="J8" s="5"/>
      <c r="K8" s="11"/>
      <c r="L8" s="17"/>
      <c r="M8" s="33"/>
      <c r="N8" s="34"/>
    </row>
    <row r="9" spans="1:16" ht="18" customHeight="1" x14ac:dyDescent="0.2">
      <c r="A9" s="4"/>
      <c r="B9" s="26"/>
      <c r="C9" s="10">
        <f>IF(DAY(Sty_n_1)=1,Sty_n_1+29,Sty_n_1+36)</f>
        <v>42401</v>
      </c>
      <c r="D9" s="10">
        <f>IF(DAY(Sty_n_1)=1,Sty_n_1+30,Sty_n_1+37)</f>
        <v>42402</v>
      </c>
      <c r="E9" s="10">
        <f>IF(DAY(Sty_n_1)=1,Sty_n_1+31,Sty_n_1+38)</f>
        <v>42403</v>
      </c>
      <c r="F9" s="10">
        <f>IF(DAY(Sty_n_1)=1,Sty_n_1+32,Sty_n_1+39)</f>
        <v>42404</v>
      </c>
      <c r="G9" s="10">
        <f>IF(DAY(Sty_n_1)=1,Sty_n_1+33,Sty_n_1+40)</f>
        <v>42405</v>
      </c>
      <c r="H9" s="10">
        <f>IF(DAY(Sty_n_1)=1,Sty_n_1+34,Sty_n_1+41)</f>
        <v>42406</v>
      </c>
      <c r="I9" s="10">
        <f>IF(DAY(Sty_n_1)=1,Sty_n_1+35,Sty_n_1+42)</f>
        <v>42407</v>
      </c>
      <c r="J9" s="5"/>
      <c r="K9" s="12"/>
      <c r="L9" s="18"/>
      <c r="M9" s="35"/>
      <c r="N9" s="36"/>
    </row>
    <row r="10" spans="1:16" ht="18" customHeight="1" x14ac:dyDescent="0.2">
      <c r="A10" s="4"/>
      <c r="B10" s="27"/>
      <c r="C10" s="23"/>
      <c r="D10" s="23"/>
      <c r="E10" s="23"/>
      <c r="F10" s="23"/>
      <c r="G10" s="23"/>
      <c r="H10" s="23"/>
      <c r="I10" s="23"/>
      <c r="J10" s="24"/>
      <c r="K10" s="31" t="s">
        <v>10</v>
      </c>
      <c r="L10" s="16">
        <v>20</v>
      </c>
      <c r="M10" s="37" t="s">
        <v>25</v>
      </c>
      <c r="N10" s="38"/>
    </row>
    <row r="11" spans="1:16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6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6" ht="18" customHeight="1" x14ac:dyDescent="0.2">
      <c r="B13" s="3" t="s">
        <v>2</v>
      </c>
      <c r="C13" s="39" t="s">
        <v>10</v>
      </c>
      <c r="D13" s="41"/>
      <c r="E13" s="39" t="s">
        <v>17</v>
      </c>
      <c r="F13" s="41"/>
      <c r="G13" s="39" t="s">
        <v>19</v>
      </c>
      <c r="H13" s="41"/>
      <c r="I13" s="39" t="s">
        <v>22</v>
      </c>
      <c r="J13" s="40"/>
      <c r="K13" s="11"/>
      <c r="L13" s="17"/>
      <c r="M13" s="33"/>
      <c r="N13" s="34"/>
    </row>
    <row r="14" spans="1:16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6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6" ht="18" customHeight="1" x14ac:dyDescent="0.2">
      <c r="B16" s="8"/>
      <c r="C16" s="53" t="s">
        <v>11</v>
      </c>
      <c r="D16" s="54"/>
      <c r="E16" s="53"/>
      <c r="F16" s="54"/>
      <c r="G16" s="53" t="s">
        <v>11</v>
      </c>
      <c r="H16" s="54"/>
      <c r="I16" s="63"/>
      <c r="J16" s="64"/>
      <c r="K16" s="31" t="s">
        <v>17</v>
      </c>
      <c r="L16" s="16"/>
      <c r="M16" s="37"/>
      <c r="N16" s="38"/>
    </row>
    <row r="17" spans="2:14" ht="18" customHeight="1" x14ac:dyDescent="0.2">
      <c r="B17" s="6"/>
      <c r="C17" s="51" t="s">
        <v>12</v>
      </c>
      <c r="D17" s="52"/>
      <c r="E17" s="51"/>
      <c r="F17" s="52"/>
      <c r="G17" s="51" t="s">
        <v>12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19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22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13</v>
      </c>
      <c r="D30" s="54"/>
      <c r="E30" s="53"/>
      <c r="F30" s="54"/>
      <c r="G30" s="53" t="s">
        <v>13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14</v>
      </c>
      <c r="D31" s="52"/>
      <c r="E31" s="51"/>
      <c r="F31" s="52"/>
      <c r="G31" s="51" t="s">
        <v>14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4">
    <mergeCell ref="B3:B4"/>
    <mergeCell ref="P2:P3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</mergeCells>
  <phoneticPr fontId="2" type="noConversion"/>
  <conditionalFormatting sqref="C4:H4">
    <cfRule type="expression" dxfId="99" priority="4" stopIfTrue="1">
      <formula>DAY(C4)&gt;8</formula>
    </cfRule>
  </conditionalFormatting>
  <conditionalFormatting sqref="C8:I10">
    <cfRule type="expression" dxfId="98" priority="3" stopIfTrue="1">
      <formula>AND(DAY(C8)&gt;=1,DAY(C8)&lt;=15)</formula>
    </cfRule>
  </conditionalFormatting>
  <conditionalFormatting sqref="C4:I9">
    <cfRule type="expression" dxfId="96" priority="15">
      <formula>VLOOKUP(DAY(C4),Dni_zadania,1,FALSE)=DAY(C4)</formula>
    </cfRule>
  </conditionalFormatting>
  <conditionalFormatting sqref="B14:J33">
    <cfRule type="expression" dxfId="97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 verticalCentered="1"/>
  <pageMargins left="0.5" right="0.5" top="0.5" bottom="0.5" header="0.3" footer="0.3"/>
  <pageSetup paperSize="9" scale="91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23</v>
      </c>
      <c r="L2" s="43">
        <v>2013</v>
      </c>
      <c r="M2" s="43"/>
      <c r="N2" s="79">
        <f>Rok_kalendarzowy</f>
        <v>2016</v>
      </c>
    </row>
    <row r="3" spans="1:14" ht="21" customHeight="1" x14ac:dyDescent="0.2">
      <c r="A3" s="4"/>
      <c r="B3" s="68" t="s">
        <v>27</v>
      </c>
      <c r="C3" s="2" t="s">
        <v>9</v>
      </c>
      <c r="D3" s="2" t="s">
        <v>15</v>
      </c>
      <c r="E3" s="2" t="s">
        <v>16</v>
      </c>
      <c r="F3" s="2" t="s">
        <v>18</v>
      </c>
      <c r="G3" s="2" t="s">
        <v>9</v>
      </c>
      <c r="H3" s="2" t="s">
        <v>20</v>
      </c>
      <c r="I3" s="2" t="s">
        <v>21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IF(DAY(Paź_n_1)=1,Paź_n_1-6,Paź_n_1+1)</f>
        <v>42639</v>
      </c>
      <c r="D4" s="10">
        <f>IF(DAY(Paź_n_1)=1,Paź_n_1-5,Paź_n_1+2)</f>
        <v>42640</v>
      </c>
      <c r="E4" s="10">
        <f>IF(DAY(Paź_n_1)=1,Paź_n_1-4,Paź_n_1+3)</f>
        <v>42641</v>
      </c>
      <c r="F4" s="10">
        <f>IF(DAY(Paź_n_1)=1,Paź_n_1-3,Paź_n_1+4)</f>
        <v>42642</v>
      </c>
      <c r="G4" s="10">
        <f>IF(DAY(Paź_n_1)=1,Paź_n_1-2,Paź_n_1+5)</f>
        <v>42643</v>
      </c>
      <c r="H4" s="10">
        <f>IF(DAY(Paź_n_1)=1,Paź_n_1-1,Paź_n_1+6)</f>
        <v>42644</v>
      </c>
      <c r="I4" s="10">
        <f>IF(DAY(Paź_n_1)=1,Paź_n_1,Paź_n_1+7)</f>
        <v>42645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IF(DAY(Paź_n_1)=1,Paź_n_1+1,Paź_n_1+8)</f>
        <v>42646</v>
      </c>
      <c r="D5" s="10">
        <f>IF(DAY(Paź_n_1)=1,Paź_n_1+2,Paź_n_1+9)</f>
        <v>42647</v>
      </c>
      <c r="E5" s="10">
        <f>IF(DAY(Paź_n_1)=1,Paź_n_1+3,Paź_n_1+10)</f>
        <v>42648</v>
      </c>
      <c r="F5" s="10">
        <f>IF(DAY(Paź_n_1)=1,Paź_n_1+4,Paź_n_1+11)</f>
        <v>42649</v>
      </c>
      <c r="G5" s="10">
        <f>IF(DAY(Paź_n_1)=1,Paź_n_1+5,Paź_n_1+12)</f>
        <v>42650</v>
      </c>
      <c r="H5" s="10">
        <f>IF(DAY(Paź_n_1)=1,Paź_n_1+6,Paź_n_1+13)</f>
        <v>42651</v>
      </c>
      <c r="I5" s="10">
        <f>IF(DAY(Paź_n_1)=1,Paź_n_1+7,Paź_n_1+14)</f>
        <v>42652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IF(DAY(Paź_n_1)=1,Paź_n_1+8,Paź_n_1+15)</f>
        <v>42653</v>
      </c>
      <c r="D6" s="10">
        <f>IF(DAY(Paź_n_1)=1,Paź_n_1+9,Paź_n_1+16)</f>
        <v>42654</v>
      </c>
      <c r="E6" s="10">
        <f>IF(DAY(Paź_n_1)=1,Paź_n_1+10,Paź_n_1+17)</f>
        <v>42655</v>
      </c>
      <c r="F6" s="10">
        <f>IF(DAY(Paź_n_1)=1,Paź_n_1+11,Paź_n_1+18)</f>
        <v>42656</v>
      </c>
      <c r="G6" s="10">
        <f>IF(DAY(Paź_n_1)=1,Paź_n_1+12,Paź_n_1+19)</f>
        <v>42657</v>
      </c>
      <c r="H6" s="10">
        <f>IF(DAY(Paź_n_1)=1,Paź_n_1+13,Paź_n_1+20)</f>
        <v>42658</v>
      </c>
      <c r="I6" s="10">
        <f>IF(DAY(Paź_n_1)=1,Paź_n_1+14,Paź_n_1+21)</f>
        <v>42659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IF(DAY(Paź_n_1)=1,Paź_n_1+15,Paź_n_1+22)</f>
        <v>42660</v>
      </c>
      <c r="D7" s="10">
        <f>IF(DAY(Paź_n_1)=1,Paź_n_1+16,Paź_n_1+23)</f>
        <v>42661</v>
      </c>
      <c r="E7" s="10">
        <f>IF(DAY(Paź_n_1)=1,Paź_n_1+17,Paź_n_1+24)</f>
        <v>42662</v>
      </c>
      <c r="F7" s="10">
        <f>IF(DAY(Paź_n_1)=1,Paź_n_1+18,Paź_n_1+25)</f>
        <v>42663</v>
      </c>
      <c r="G7" s="10">
        <f>IF(DAY(Paź_n_1)=1,Paź_n_1+19,Paź_n_1+26)</f>
        <v>42664</v>
      </c>
      <c r="H7" s="10">
        <f>IF(DAY(Paź_n_1)=1,Paź_n_1+20,Paź_n_1+27)</f>
        <v>42665</v>
      </c>
      <c r="I7" s="10">
        <f>IF(DAY(Paź_n_1)=1,Paź_n_1+21,Paź_n_1+28)</f>
        <v>42666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IF(DAY(Paź_n_1)=1,Paź_n_1+22,Paź_n_1+29)</f>
        <v>42667</v>
      </c>
      <c r="D8" s="10">
        <f>IF(DAY(Paź_n_1)=1,Paź_n_1+23,Paź_n_1+30)</f>
        <v>42668</v>
      </c>
      <c r="E8" s="10">
        <f>IF(DAY(Paź_n_1)=1,Paź_n_1+24,Paź_n_1+31)</f>
        <v>42669</v>
      </c>
      <c r="F8" s="10">
        <f>IF(DAY(Paź_n_1)=1,Paź_n_1+25,Paź_n_1+32)</f>
        <v>42670</v>
      </c>
      <c r="G8" s="10">
        <f>IF(DAY(Paź_n_1)=1,Paź_n_1+26,Paź_n_1+33)</f>
        <v>42671</v>
      </c>
      <c r="H8" s="10">
        <f>IF(DAY(Paź_n_1)=1,Paź_n_1+27,Paź_n_1+34)</f>
        <v>42672</v>
      </c>
      <c r="I8" s="10">
        <f>IF(DAY(Paź_n_1)=1,Paź_n_1+28,Paź_n_1+35)</f>
        <v>42673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IF(DAY(Paź_n_1)=1,Paź_n_1+29,Paź_n_1+36)</f>
        <v>42674</v>
      </c>
      <c r="D9" s="10">
        <f>IF(DAY(Paź_n_1)=1,Paź_n_1+30,Paź_n_1+37)</f>
        <v>42675</v>
      </c>
      <c r="E9" s="10">
        <f>IF(DAY(Paź_n_1)=1,Paź_n_1+31,Paź_n_1+38)</f>
        <v>42676</v>
      </c>
      <c r="F9" s="10">
        <f>IF(DAY(Paź_n_1)=1,Paź_n_1+32,Paź_n_1+39)</f>
        <v>42677</v>
      </c>
      <c r="G9" s="10">
        <f>IF(DAY(Paź_n_1)=1,Paź_n_1+33,Paź_n_1+40)</f>
        <v>42678</v>
      </c>
      <c r="H9" s="10">
        <f>IF(DAY(Paź_n_1)=1,Paź_n_1+34,Paź_n_1+41)</f>
        <v>42679</v>
      </c>
      <c r="I9" s="10">
        <f>IF(DAY(Paź_n_1)=1,Paź_n_1+35,Paź_n_1+42)</f>
        <v>42680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10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10</v>
      </c>
      <c r="D13" s="41"/>
      <c r="E13" s="39" t="s">
        <v>17</v>
      </c>
      <c r="F13" s="41"/>
      <c r="G13" s="39" t="s">
        <v>19</v>
      </c>
      <c r="H13" s="41"/>
      <c r="I13" s="39" t="s">
        <v>22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11</v>
      </c>
      <c r="D16" s="54"/>
      <c r="E16" s="53"/>
      <c r="F16" s="54"/>
      <c r="G16" s="53" t="s">
        <v>11</v>
      </c>
      <c r="H16" s="54"/>
      <c r="I16" s="63"/>
      <c r="J16" s="64"/>
      <c r="K16" s="31" t="s">
        <v>17</v>
      </c>
      <c r="L16" s="16"/>
      <c r="M16" s="37"/>
      <c r="N16" s="38"/>
    </row>
    <row r="17" spans="2:14" ht="18" customHeight="1" x14ac:dyDescent="0.2">
      <c r="B17" s="6"/>
      <c r="C17" s="51" t="s">
        <v>12</v>
      </c>
      <c r="D17" s="52"/>
      <c r="E17" s="51"/>
      <c r="F17" s="52"/>
      <c r="G17" s="51" t="s">
        <v>12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19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22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13</v>
      </c>
      <c r="D30" s="54"/>
      <c r="E30" s="53"/>
      <c r="F30" s="54"/>
      <c r="G30" s="53" t="s">
        <v>13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14</v>
      </c>
      <c r="D31" s="52"/>
      <c r="E31" s="51"/>
      <c r="F31" s="52"/>
      <c r="G31" s="51" t="s">
        <v>14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0" priority="4">
      <formula>VLOOKUP(DAY(C4),Dni_zadania,1,FALSE)=DAY(C4)</formula>
    </cfRule>
  </conditionalFormatting>
  <conditionalFormatting sqref="B14:J33">
    <cfRule type="expression" dxfId="21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23</v>
      </c>
      <c r="L2" s="43">
        <v>2013</v>
      </c>
      <c r="M2" s="43"/>
      <c r="N2" s="79">
        <f>Rok_kalendarzowy</f>
        <v>2016</v>
      </c>
    </row>
    <row r="3" spans="1:14" ht="21" customHeight="1" x14ac:dyDescent="0.2">
      <c r="A3" s="4"/>
      <c r="B3" s="68" t="s">
        <v>28</v>
      </c>
      <c r="C3" s="2" t="s">
        <v>9</v>
      </c>
      <c r="D3" s="2" t="s">
        <v>15</v>
      </c>
      <c r="E3" s="2" t="s">
        <v>16</v>
      </c>
      <c r="F3" s="2" t="s">
        <v>18</v>
      </c>
      <c r="G3" s="2" t="s">
        <v>9</v>
      </c>
      <c r="H3" s="2" t="s">
        <v>20</v>
      </c>
      <c r="I3" s="2" t="s">
        <v>21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IF(DAY(Lis_n_1)=1,Lis_n_1-6,Lis_n_1+1)</f>
        <v>42674</v>
      </c>
      <c r="D4" s="10">
        <f>IF(DAY(Lis_n_1)=1,Lis_n_1-5,Lis_n_1+2)</f>
        <v>42675</v>
      </c>
      <c r="E4" s="10">
        <f>IF(DAY(Lis_n_1)=1,Lis_n_1-4,Lis_n_1+3)</f>
        <v>42676</v>
      </c>
      <c r="F4" s="10">
        <f>IF(DAY(Lis_n_1)=1,Lis_n_1-3,Lis_n_1+4)</f>
        <v>42677</v>
      </c>
      <c r="G4" s="10">
        <f>IF(DAY(Lis_n_1)=1,Lis_n_1-2,Lis_n_1+5)</f>
        <v>42678</v>
      </c>
      <c r="H4" s="10">
        <f>IF(DAY(Lis_n_1)=1,Lis_n_1-1,Lis_n_1+6)</f>
        <v>42679</v>
      </c>
      <c r="I4" s="10">
        <f>IF(DAY(Lis_n_1)=1,Lis_n_1,Lis_n_1+7)</f>
        <v>42680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IF(DAY(Lis_n_1)=1,Lis_n_1+1,Lis_n_1+8)</f>
        <v>42681</v>
      </c>
      <c r="D5" s="10">
        <f>IF(DAY(Lis_n_1)=1,Lis_n_1+2,Lis_n_1+9)</f>
        <v>42682</v>
      </c>
      <c r="E5" s="10">
        <f>IF(DAY(Lis_n_1)=1,Lis_n_1+3,Lis_n_1+10)</f>
        <v>42683</v>
      </c>
      <c r="F5" s="10">
        <f>IF(DAY(Lis_n_1)=1,Lis_n_1+4,Lis_n_1+11)</f>
        <v>42684</v>
      </c>
      <c r="G5" s="10">
        <f>IF(DAY(Lis_n_1)=1,Lis_n_1+5,Lis_n_1+12)</f>
        <v>42685</v>
      </c>
      <c r="H5" s="10">
        <f>IF(DAY(Lis_n_1)=1,Lis_n_1+6,Lis_n_1+13)</f>
        <v>42686</v>
      </c>
      <c r="I5" s="10">
        <f>IF(DAY(Lis_n_1)=1,Lis_n_1+7,Lis_n_1+14)</f>
        <v>42687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IF(DAY(Lis_n_1)=1,Lis_n_1+8,Lis_n_1+15)</f>
        <v>42688</v>
      </c>
      <c r="D6" s="10">
        <f>IF(DAY(Lis_n_1)=1,Lis_n_1+9,Lis_n_1+16)</f>
        <v>42689</v>
      </c>
      <c r="E6" s="10">
        <f>IF(DAY(Lis_n_1)=1,Lis_n_1+10,Lis_n_1+17)</f>
        <v>42690</v>
      </c>
      <c r="F6" s="10">
        <f>IF(DAY(Lis_n_1)=1,Lis_n_1+11,Lis_n_1+18)</f>
        <v>42691</v>
      </c>
      <c r="G6" s="10">
        <f>IF(DAY(Lis_n_1)=1,Lis_n_1+12,Lis_n_1+19)</f>
        <v>42692</v>
      </c>
      <c r="H6" s="10">
        <f>IF(DAY(Lis_n_1)=1,Lis_n_1+13,Lis_n_1+20)</f>
        <v>42693</v>
      </c>
      <c r="I6" s="10">
        <f>IF(DAY(Lis_n_1)=1,Lis_n_1+14,Lis_n_1+21)</f>
        <v>42694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IF(DAY(Lis_n_1)=1,Lis_n_1+15,Lis_n_1+22)</f>
        <v>42695</v>
      </c>
      <c r="D7" s="10">
        <f>IF(DAY(Lis_n_1)=1,Lis_n_1+16,Lis_n_1+23)</f>
        <v>42696</v>
      </c>
      <c r="E7" s="10">
        <f>IF(DAY(Lis_n_1)=1,Lis_n_1+17,Lis_n_1+24)</f>
        <v>42697</v>
      </c>
      <c r="F7" s="10">
        <f>IF(DAY(Lis_n_1)=1,Lis_n_1+18,Lis_n_1+25)</f>
        <v>42698</v>
      </c>
      <c r="G7" s="10">
        <f>IF(DAY(Lis_n_1)=1,Lis_n_1+19,Lis_n_1+26)</f>
        <v>42699</v>
      </c>
      <c r="H7" s="10">
        <f>IF(DAY(Lis_n_1)=1,Lis_n_1+20,Lis_n_1+27)</f>
        <v>42700</v>
      </c>
      <c r="I7" s="10">
        <f>IF(DAY(Lis_n_1)=1,Lis_n_1+21,Lis_n_1+28)</f>
        <v>42701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IF(DAY(Lis_n_1)=1,Lis_n_1+22,Lis_n_1+29)</f>
        <v>42702</v>
      </c>
      <c r="D8" s="10">
        <f>IF(DAY(Lis_n_1)=1,Lis_n_1+23,Lis_n_1+30)</f>
        <v>42703</v>
      </c>
      <c r="E8" s="10">
        <f>IF(DAY(Lis_n_1)=1,Lis_n_1+24,Lis_n_1+31)</f>
        <v>42704</v>
      </c>
      <c r="F8" s="10">
        <f>IF(DAY(Lis_n_1)=1,Lis_n_1+25,Lis_n_1+32)</f>
        <v>42705</v>
      </c>
      <c r="G8" s="10">
        <f>IF(DAY(Lis_n_1)=1,Lis_n_1+26,Lis_n_1+33)</f>
        <v>42706</v>
      </c>
      <c r="H8" s="10">
        <f>IF(DAY(Lis_n_1)=1,Lis_n_1+27,Lis_n_1+34)</f>
        <v>42707</v>
      </c>
      <c r="I8" s="10">
        <f>IF(DAY(Lis_n_1)=1,Lis_n_1+28,Lis_n_1+35)</f>
        <v>42708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IF(DAY(Lis_n_1)=1,Lis_n_1+29,Lis_n_1+36)</f>
        <v>42709</v>
      </c>
      <c r="D9" s="10">
        <f>IF(DAY(Lis_n_1)=1,Lis_n_1+30,Lis_n_1+37)</f>
        <v>42710</v>
      </c>
      <c r="E9" s="10">
        <f>IF(DAY(Lis_n_1)=1,Lis_n_1+31,Lis_n_1+38)</f>
        <v>42711</v>
      </c>
      <c r="F9" s="10">
        <f>IF(DAY(Lis_n_1)=1,Lis_n_1+32,Lis_n_1+39)</f>
        <v>42712</v>
      </c>
      <c r="G9" s="10">
        <f>IF(DAY(Lis_n_1)=1,Lis_n_1+33,Lis_n_1+40)</f>
        <v>42713</v>
      </c>
      <c r="H9" s="10">
        <f>IF(DAY(Lis_n_1)=1,Lis_n_1+34,Lis_n_1+41)</f>
        <v>42714</v>
      </c>
      <c r="I9" s="10">
        <f>IF(DAY(Lis_n_1)=1,Lis_n_1+35,Lis_n_1+42)</f>
        <v>42715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10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10</v>
      </c>
      <c r="D13" s="41"/>
      <c r="E13" s="39" t="s">
        <v>17</v>
      </c>
      <c r="F13" s="41"/>
      <c r="G13" s="39" t="s">
        <v>19</v>
      </c>
      <c r="H13" s="41"/>
      <c r="I13" s="39" t="s">
        <v>22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11</v>
      </c>
      <c r="D16" s="54"/>
      <c r="E16" s="53"/>
      <c r="F16" s="54"/>
      <c r="G16" s="53" t="s">
        <v>11</v>
      </c>
      <c r="H16" s="54"/>
      <c r="I16" s="63"/>
      <c r="J16" s="64"/>
      <c r="K16" s="31" t="s">
        <v>17</v>
      </c>
      <c r="L16" s="16"/>
      <c r="M16" s="37"/>
      <c r="N16" s="38"/>
    </row>
    <row r="17" spans="2:14" ht="18" customHeight="1" x14ac:dyDescent="0.2">
      <c r="B17" s="6"/>
      <c r="C17" s="51" t="s">
        <v>12</v>
      </c>
      <c r="D17" s="52"/>
      <c r="E17" s="51"/>
      <c r="F17" s="52"/>
      <c r="G17" s="51" t="s">
        <v>12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19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22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13</v>
      </c>
      <c r="D30" s="54"/>
      <c r="E30" s="53"/>
      <c r="F30" s="54"/>
      <c r="G30" s="53" t="s">
        <v>13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14</v>
      </c>
      <c r="D31" s="52"/>
      <c r="E31" s="51"/>
      <c r="F31" s="52"/>
      <c r="G31" s="51" t="s">
        <v>14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15" priority="3" stopIfTrue="1">
      <formula>DAY(C4)&gt;8</formula>
    </cfRule>
  </conditionalFormatting>
  <conditionalFormatting sqref="C8:I10">
    <cfRule type="expression" dxfId="14" priority="2" stopIfTrue="1">
      <formula>AND(DAY(C8)&gt;=1,DAY(C8)&lt;=15)</formula>
    </cfRule>
  </conditionalFormatting>
  <conditionalFormatting sqref="C4:I9">
    <cfRule type="expression" dxfId="12" priority="4">
      <formula>VLOOKUP(DAY(C4),Dni_zadania,1,FALSE)=DAY(C4)</formula>
    </cfRule>
  </conditionalFormatting>
  <conditionalFormatting sqref="B14:J33">
    <cfRule type="expression" dxfId="13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23</v>
      </c>
      <c r="L2" s="43">
        <v>2013</v>
      </c>
      <c r="M2" s="43"/>
      <c r="N2" s="79">
        <f>Rok_kalendarzowy</f>
        <v>2016</v>
      </c>
    </row>
    <row r="3" spans="1:14" ht="21" customHeight="1" x14ac:dyDescent="0.2">
      <c r="A3" s="4"/>
      <c r="B3" s="68" t="s">
        <v>29</v>
      </c>
      <c r="C3" s="2" t="s">
        <v>9</v>
      </c>
      <c r="D3" s="2" t="s">
        <v>15</v>
      </c>
      <c r="E3" s="2" t="s">
        <v>16</v>
      </c>
      <c r="F3" s="2" t="s">
        <v>18</v>
      </c>
      <c r="G3" s="2" t="s">
        <v>9</v>
      </c>
      <c r="H3" s="2" t="s">
        <v>20</v>
      </c>
      <c r="I3" s="2" t="s">
        <v>21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IF(DAY(Gru_n_1)=1,Gru_n_1-6,Gru_n_1+1)</f>
        <v>42702</v>
      </c>
      <c r="D4" s="10">
        <f>IF(DAY(Gru_n_1)=1,Gru_n_1-5,Gru_n_1+2)</f>
        <v>42703</v>
      </c>
      <c r="E4" s="10">
        <f>IF(DAY(Gru_n_1)=1,Gru_n_1-4,Gru_n_1+3)</f>
        <v>42704</v>
      </c>
      <c r="F4" s="10">
        <f>IF(DAY(Gru_n_1)=1,Gru_n_1-3,Gru_n_1+4)</f>
        <v>42705</v>
      </c>
      <c r="G4" s="10">
        <f>IF(DAY(Gru_n_1)=1,Gru_n_1-2,Gru_n_1+5)</f>
        <v>42706</v>
      </c>
      <c r="H4" s="10">
        <f>IF(DAY(Gru_n_1)=1,Gru_n_1-1,Gru_n_1+6)</f>
        <v>42707</v>
      </c>
      <c r="I4" s="10">
        <f>IF(DAY(Gru_n_1)=1,Gru_n_1,Gru_n_1+7)</f>
        <v>42708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IF(DAY(Gru_n_1)=1,Gru_n_1+1,Gru_n_1+8)</f>
        <v>42709</v>
      </c>
      <c r="D5" s="10">
        <f>IF(DAY(Gru_n_1)=1,Gru_n_1+2,Gru_n_1+9)</f>
        <v>42710</v>
      </c>
      <c r="E5" s="10">
        <f>IF(DAY(Gru_n_1)=1,Gru_n_1+3,Gru_n_1+10)</f>
        <v>42711</v>
      </c>
      <c r="F5" s="10">
        <f>IF(DAY(Gru_n_1)=1,Gru_n_1+4,Gru_n_1+11)</f>
        <v>42712</v>
      </c>
      <c r="G5" s="10">
        <f>IF(DAY(Gru_n_1)=1,Gru_n_1+5,Gru_n_1+12)</f>
        <v>42713</v>
      </c>
      <c r="H5" s="10">
        <f>IF(DAY(Gru_n_1)=1,Gru_n_1+6,Gru_n_1+13)</f>
        <v>42714</v>
      </c>
      <c r="I5" s="10">
        <f>IF(DAY(Gru_n_1)=1,Gru_n_1+7,Gru_n_1+14)</f>
        <v>42715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IF(DAY(Gru_n_1)=1,Gru_n_1+8,Gru_n_1+15)</f>
        <v>42716</v>
      </c>
      <c r="D6" s="10">
        <f>IF(DAY(Gru_n_1)=1,Gru_n_1+9,Gru_n_1+16)</f>
        <v>42717</v>
      </c>
      <c r="E6" s="10">
        <f>IF(DAY(Gru_n_1)=1,Gru_n_1+10,Gru_n_1+17)</f>
        <v>42718</v>
      </c>
      <c r="F6" s="10">
        <f>IF(DAY(Gru_n_1)=1,Gru_n_1+11,Gru_n_1+18)</f>
        <v>42719</v>
      </c>
      <c r="G6" s="10">
        <f>IF(DAY(Gru_n_1)=1,Gru_n_1+12,Gru_n_1+19)</f>
        <v>42720</v>
      </c>
      <c r="H6" s="10">
        <f>IF(DAY(Gru_n_1)=1,Gru_n_1+13,Gru_n_1+20)</f>
        <v>42721</v>
      </c>
      <c r="I6" s="10">
        <f>IF(DAY(Gru_n_1)=1,Gru_n_1+14,Gru_n_1+21)</f>
        <v>42722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IF(DAY(Gru_n_1)=1,Gru_n_1+15,Gru_n_1+22)</f>
        <v>42723</v>
      </c>
      <c r="D7" s="10">
        <f>IF(DAY(Gru_n_1)=1,Gru_n_1+16,Gru_n_1+23)</f>
        <v>42724</v>
      </c>
      <c r="E7" s="10">
        <f>IF(DAY(Gru_n_1)=1,Gru_n_1+17,Gru_n_1+24)</f>
        <v>42725</v>
      </c>
      <c r="F7" s="10">
        <f>IF(DAY(Gru_n_1)=1,Gru_n_1+18,Gru_n_1+25)</f>
        <v>42726</v>
      </c>
      <c r="G7" s="10">
        <f>IF(DAY(Gru_n_1)=1,Gru_n_1+19,Gru_n_1+26)</f>
        <v>42727</v>
      </c>
      <c r="H7" s="10">
        <f>IF(DAY(Gru_n_1)=1,Gru_n_1+20,Gru_n_1+27)</f>
        <v>42728</v>
      </c>
      <c r="I7" s="10">
        <f>IF(DAY(Gru_n_1)=1,Gru_n_1+21,Gru_n_1+28)</f>
        <v>42729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IF(DAY(Gru_n_1)=1,Gru_n_1+22,Gru_n_1+29)</f>
        <v>42730</v>
      </c>
      <c r="D8" s="10">
        <f>IF(DAY(Gru_n_1)=1,Gru_n_1+23,Gru_n_1+30)</f>
        <v>42731</v>
      </c>
      <c r="E8" s="10">
        <f>IF(DAY(Gru_n_1)=1,Gru_n_1+24,Gru_n_1+31)</f>
        <v>42732</v>
      </c>
      <c r="F8" s="10">
        <f>IF(DAY(Gru_n_1)=1,Gru_n_1+25,Gru_n_1+32)</f>
        <v>42733</v>
      </c>
      <c r="G8" s="10">
        <f>IF(DAY(Gru_n_1)=1,Gru_n_1+26,Gru_n_1+33)</f>
        <v>42734</v>
      </c>
      <c r="H8" s="10">
        <f>IF(DAY(Gru_n_1)=1,Gru_n_1+27,Gru_n_1+34)</f>
        <v>42735</v>
      </c>
      <c r="I8" s="10">
        <f>IF(DAY(Gru_n_1)=1,Gru_n_1+28,Gru_n_1+35)</f>
        <v>42736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IF(DAY(Gru_n_1)=1,Gru_n_1+29,Gru_n_1+36)</f>
        <v>42737</v>
      </c>
      <c r="D9" s="10">
        <f>IF(DAY(Gru_n_1)=1,Gru_n_1+30,Gru_n_1+37)</f>
        <v>42738</v>
      </c>
      <c r="E9" s="10">
        <f>IF(DAY(Gru_n_1)=1,Gru_n_1+31,Gru_n_1+38)</f>
        <v>42739</v>
      </c>
      <c r="F9" s="10">
        <f>IF(DAY(Gru_n_1)=1,Gru_n_1+32,Gru_n_1+39)</f>
        <v>42740</v>
      </c>
      <c r="G9" s="10">
        <f>IF(DAY(Gru_n_1)=1,Gru_n_1+33,Gru_n_1+40)</f>
        <v>42741</v>
      </c>
      <c r="H9" s="10">
        <f>IF(DAY(Gru_n_1)=1,Gru_n_1+34,Gru_n_1+41)</f>
        <v>42742</v>
      </c>
      <c r="I9" s="10">
        <f>IF(DAY(Gru_n_1)=1,Gru_n_1+35,Gru_n_1+42)</f>
        <v>42743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10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10</v>
      </c>
      <c r="D13" s="41"/>
      <c r="E13" s="39" t="s">
        <v>17</v>
      </c>
      <c r="F13" s="41"/>
      <c r="G13" s="39" t="s">
        <v>19</v>
      </c>
      <c r="H13" s="41"/>
      <c r="I13" s="39" t="s">
        <v>22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11</v>
      </c>
      <c r="D16" s="54"/>
      <c r="E16" s="53"/>
      <c r="F16" s="54"/>
      <c r="G16" s="53" t="s">
        <v>11</v>
      </c>
      <c r="H16" s="54"/>
      <c r="I16" s="63"/>
      <c r="J16" s="64"/>
      <c r="K16" s="31" t="s">
        <v>17</v>
      </c>
      <c r="L16" s="16"/>
      <c r="M16" s="37"/>
      <c r="N16" s="38"/>
    </row>
    <row r="17" spans="2:14" ht="18" customHeight="1" x14ac:dyDescent="0.2">
      <c r="B17" s="6"/>
      <c r="C17" s="51" t="s">
        <v>12</v>
      </c>
      <c r="D17" s="52"/>
      <c r="E17" s="51"/>
      <c r="F17" s="52"/>
      <c r="G17" s="51" t="s">
        <v>12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19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22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13</v>
      </c>
      <c r="D30" s="54"/>
      <c r="E30" s="53"/>
      <c r="F30" s="54"/>
      <c r="G30" s="53" t="s">
        <v>13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14</v>
      </c>
      <c r="D31" s="52"/>
      <c r="E31" s="51"/>
      <c r="F31" s="52"/>
      <c r="G31" s="51" t="s">
        <v>14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7" priority="3" stopIfTrue="1">
      <formula>DAY(C4)&gt;8</formula>
    </cfRule>
  </conditionalFormatting>
  <conditionalFormatting sqref="C8:I10">
    <cfRule type="expression" dxfId="6" priority="2" stopIfTrue="1">
      <formula>AND(DAY(C8)&gt;=1,DAY(C8)&lt;=15)</formula>
    </cfRule>
  </conditionalFormatting>
  <conditionalFormatting sqref="C4:I9">
    <cfRule type="expression" dxfId="4" priority="4">
      <formula>VLOOKUP(DAY(C4),Dni_zadania,1,FALSE)=DAY(C4)</formula>
    </cfRule>
  </conditionalFormatting>
  <conditionalFormatting sqref="B14:J33">
    <cfRule type="expression" dxfId="5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23</v>
      </c>
      <c r="L2" s="43">
        <v>2013</v>
      </c>
      <c r="M2" s="43"/>
      <c r="N2" s="79">
        <f>Rok_kalendarzowy</f>
        <v>2016</v>
      </c>
    </row>
    <row r="3" spans="1:14" ht="21" customHeight="1" x14ac:dyDescent="0.2">
      <c r="A3" s="4"/>
      <c r="B3" s="68" t="s">
        <v>30</v>
      </c>
      <c r="C3" s="2" t="s">
        <v>9</v>
      </c>
      <c r="D3" s="2" t="s">
        <v>15</v>
      </c>
      <c r="E3" s="2" t="s">
        <v>16</v>
      </c>
      <c r="F3" s="2" t="s">
        <v>18</v>
      </c>
      <c r="G3" s="2" t="s">
        <v>9</v>
      </c>
      <c r="H3" s="2" t="s">
        <v>20</v>
      </c>
      <c r="I3" s="2" t="s">
        <v>21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IF(DAY(Lut_n_1)=1,Lut_n_1-6,Lut_n_1+1)</f>
        <v>42401</v>
      </c>
      <c r="D4" s="10">
        <f>IF(DAY(Lut_n_1)=1,Lut_n_1-5,Lut_n_1+2)</f>
        <v>42402</v>
      </c>
      <c r="E4" s="10">
        <f>IF(DAY(Lut_n_1)=1,Lut_n_1-4,Lut_n_1+3)</f>
        <v>42403</v>
      </c>
      <c r="F4" s="10">
        <f>IF(DAY(Lut_n_1)=1,Lut_n_1-3,Lut_n_1+4)</f>
        <v>42404</v>
      </c>
      <c r="G4" s="10">
        <f>IF(DAY(Lut_n_1)=1,Lut_n_1-2,Lut_n_1+5)</f>
        <v>42405</v>
      </c>
      <c r="H4" s="10">
        <f>IF(DAY(Lut_n_1)=1,Lut_n_1-1,Lut_n_1+6)</f>
        <v>42406</v>
      </c>
      <c r="I4" s="10">
        <f>IF(DAY(Lut_n_1)=1,Lut_n_1,Lut_n_1+7)</f>
        <v>42407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IF(DAY(Lut_n_1)=1,Lut_n_1+1,Lut_n_1+8)</f>
        <v>42408</v>
      </c>
      <c r="D5" s="10">
        <f>IF(DAY(Lut_n_1)=1,Lut_n_1+2,Lut_n_1+9)</f>
        <v>42409</v>
      </c>
      <c r="E5" s="10">
        <f>IF(DAY(Lut_n_1)=1,Lut_n_1+3,Lut_n_1+10)</f>
        <v>42410</v>
      </c>
      <c r="F5" s="10">
        <f>IF(DAY(Lut_n_1)=1,Lut_n_1+4,Lut_n_1+11)</f>
        <v>42411</v>
      </c>
      <c r="G5" s="10">
        <f>IF(DAY(Lut_n_1)=1,Lut_n_1+5,Lut_n_1+12)</f>
        <v>42412</v>
      </c>
      <c r="H5" s="10">
        <f>IF(DAY(Lut_n_1)=1,Lut_n_1+6,Lut_n_1+13)</f>
        <v>42413</v>
      </c>
      <c r="I5" s="10">
        <f>IF(DAY(Lut_n_1)=1,Lut_n_1+7,Lut_n_1+14)</f>
        <v>42414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IF(DAY(Lut_n_1)=1,Lut_n_1+8,Lut_n_1+15)</f>
        <v>42415</v>
      </c>
      <c r="D6" s="10">
        <f>IF(DAY(Lut_n_1)=1,Lut_n_1+9,Lut_n_1+16)</f>
        <v>42416</v>
      </c>
      <c r="E6" s="10">
        <f>IF(DAY(Lut_n_1)=1,Lut_n_1+10,Lut_n_1+17)</f>
        <v>42417</v>
      </c>
      <c r="F6" s="10">
        <f>IF(DAY(Lut_n_1)=1,Lut_n_1+11,Lut_n_1+18)</f>
        <v>42418</v>
      </c>
      <c r="G6" s="10">
        <f>IF(DAY(Lut_n_1)=1,Lut_n_1+12,Lut_n_1+19)</f>
        <v>42419</v>
      </c>
      <c r="H6" s="10">
        <f>IF(DAY(Lut_n_1)=1,Lut_n_1+13,Lut_n_1+20)</f>
        <v>42420</v>
      </c>
      <c r="I6" s="10">
        <f>IF(DAY(Lut_n_1)=1,Lut_n_1+14,Lut_n_1+21)</f>
        <v>42421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IF(DAY(Lut_n_1)=1,Lut_n_1+15,Lut_n_1+22)</f>
        <v>42422</v>
      </c>
      <c r="D7" s="10">
        <f>IF(DAY(Lut_n_1)=1,Lut_n_1+16,Lut_n_1+23)</f>
        <v>42423</v>
      </c>
      <c r="E7" s="10">
        <f>IF(DAY(Lut_n_1)=1,Lut_n_1+17,Lut_n_1+24)</f>
        <v>42424</v>
      </c>
      <c r="F7" s="10">
        <f>IF(DAY(Lut_n_1)=1,Lut_n_1+18,Lut_n_1+25)</f>
        <v>42425</v>
      </c>
      <c r="G7" s="10">
        <f>IF(DAY(Lut_n_1)=1,Lut_n_1+19,Lut_n_1+26)</f>
        <v>42426</v>
      </c>
      <c r="H7" s="10">
        <f>IF(DAY(Lut_n_1)=1,Lut_n_1+20,Lut_n_1+27)</f>
        <v>42427</v>
      </c>
      <c r="I7" s="10">
        <f>IF(DAY(Lut_n_1)=1,Lut_n_1+21,Lut_n_1+28)</f>
        <v>42428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IF(DAY(Lut_n_1)=1,Lut_n_1+22,Lut_n_1+29)</f>
        <v>42429</v>
      </c>
      <c r="D8" s="10">
        <f>IF(DAY(Lut_n_1)=1,Lut_n_1+23,Lut_n_1+30)</f>
        <v>42430</v>
      </c>
      <c r="E8" s="10">
        <f>IF(DAY(Lut_n_1)=1,Lut_n_1+24,Lut_n_1+31)</f>
        <v>42431</v>
      </c>
      <c r="F8" s="10">
        <f>IF(DAY(Lut_n_1)=1,Lut_n_1+25,Lut_n_1+32)</f>
        <v>42432</v>
      </c>
      <c r="G8" s="10">
        <f>IF(DAY(Lut_n_1)=1,Lut_n_1+26,Lut_n_1+33)</f>
        <v>42433</v>
      </c>
      <c r="H8" s="10">
        <f>IF(DAY(Lut_n_1)=1,Lut_n_1+27,Lut_n_1+34)</f>
        <v>42434</v>
      </c>
      <c r="I8" s="10">
        <f>IF(DAY(Lut_n_1)=1,Lut_n_1+28,Lut_n_1+35)</f>
        <v>42435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IF(DAY(Lut_n_1)=1,Lut_n_1+29,Lut_n_1+36)</f>
        <v>42436</v>
      </c>
      <c r="D9" s="10">
        <f>IF(DAY(Lut_n_1)=1,Lut_n_1+30,Lut_n_1+37)</f>
        <v>42437</v>
      </c>
      <c r="E9" s="10">
        <f>IF(DAY(Lut_n_1)=1,Lut_n_1+31,Lut_n_1+38)</f>
        <v>42438</v>
      </c>
      <c r="F9" s="10">
        <f>IF(DAY(Lut_n_1)=1,Lut_n_1+32,Lut_n_1+39)</f>
        <v>42439</v>
      </c>
      <c r="G9" s="10">
        <f>IF(DAY(Lut_n_1)=1,Lut_n_1+33,Lut_n_1+40)</f>
        <v>42440</v>
      </c>
      <c r="H9" s="10">
        <f>IF(DAY(Lut_n_1)=1,Lut_n_1+34,Lut_n_1+41)</f>
        <v>42441</v>
      </c>
      <c r="I9" s="10">
        <f>IF(DAY(Lut_n_1)=1,Lut_n_1+35,Lut_n_1+42)</f>
        <v>42442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10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10</v>
      </c>
      <c r="D13" s="41"/>
      <c r="E13" s="39" t="s">
        <v>17</v>
      </c>
      <c r="F13" s="41"/>
      <c r="G13" s="39" t="s">
        <v>19</v>
      </c>
      <c r="H13" s="41"/>
      <c r="I13" s="39" t="s">
        <v>22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11</v>
      </c>
      <c r="D16" s="54"/>
      <c r="E16" s="53"/>
      <c r="F16" s="54"/>
      <c r="G16" s="53" t="s">
        <v>11</v>
      </c>
      <c r="H16" s="54"/>
      <c r="I16" s="63"/>
      <c r="J16" s="64"/>
      <c r="K16" s="31" t="s">
        <v>17</v>
      </c>
      <c r="L16" s="16"/>
      <c r="M16" s="37"/>
      <c r="N16" s="38"/>
    </row>
    <row r="17" spans="2:14" ht="18" customHeight="1" x14ac:dyDescent="0.2">
      <c r="B17" s="6"/>
      <c r="C17" s="51" t="s">
        <v>12</v>
      </c>
      <c r="D17" s="52"/>
      <c r="E17" s="51"/>
      <c r="F17" s="52"/>
      <c r="G17" s="51" t="s">
        <v>12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19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22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13</v>
      </c>
      <c r="D30" s="54"/>
      <c r="E30" s="53"/>
      <c r="F30" s="54"/>
      <c r="G30" s="53" t="s">
        <v>13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14</v>
      </c>
      <c r="D31" s="52"/>
      <c r="E31" s="51"/>
      <c r="F31" s="52"/>
      <c r="G31" s="51" t="s">
        <v>14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91" priority="3" stopIfTrue="1">
      <formula>DAY(C4)&gt;8</formula>
    </cfRule>
  </conditionalFormatting>
  <conditionalFormatting sqref="C8:I10">
    <cfRule type="expression" dxfId="90" priority="2" stopIfTrue="1">
      <formula>AND(DAY(C8)&gt;=1,DAY(C8)&lt;=15)</formula>
    </cfRule>
  </conditionalFormatting>
  <conditionalFormatting sqref="C4:I9">
    <cfRule type="expression" dxfId="88" priority="4">
      <formula>VLOOKUP(DAY(C4),Dni_zadania,1,FALSE)=DAY(C4)</formula>
    </cfRule>
  </conditionalFormatting>
  <conditionalFormatting sqref="B14:J33">
    <cfRule type="expression" dxfId="89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23</v>
      </c>
      <c r="L2" s="43">
        <v>2013</v>
      </c>
      <c r="M2" s="43"/>
      <c r="N2" s="79">
        <f>Rok_kalendarzowy</f>
        <v>2016</v>
      </c>
    </row>
    <row r="3" spans="1:14" ht="21" customHeight="1" x14ac:dyDescent="0.2">
      <c r="A3" s="4"/>
      <c r="B3" s="68" t="s">
        <v>31</v>
      </c>
      <c r="C3" s="2" t="s">
        <v>9</v>
      </c>
      <c r="D3" s="2" t="s">
        <v>15</v>
      </c>
      <c r="E3" s="2" t="s">
        <v>16</v>
      </c>
      <c r="F3" s="2" t="s">
        <v>18</v>
      </c>
      <c r="G3" s="2" t="s">
        <v>9</v>
      </c>
      <c r="H3" s="2" t="s">
        <v>20</v>
      </c>
      <c r="I3" s="2" t="s">
        <v>21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IF(DAY(Mar_n_1)=1,Mar_n_1-6,Mar_n_1+1)</f>
        <v>42429</v>
      </c>
      <c r="D4" s="10">
        <f>IF(DAY(Mar_n_1)=1,Mar_n_1-5,Mar_n_1+2)</f>
        <v>42430</v>
      </c>
      <c r="E4" s="10">
        <f>IF(DAY(Mar_n_1)=1,Mar_n_1-4,Mar_n_1+3)</f>
        <v>42431</v>
      </c>
      <c r="F4" s="10">
        <f>IF(DAY(Mar_n_1)=1,Mar_n_1-3,Mar_n_1+4)</f>
        <v>42432</v>
      </c>
      <c r="G4" s="10">
        <f>IF(DAY(Mar_n_1)=1,Mar_n_1-2,Mar_n_1+5)</f>
        <v>42433</v>
      </c>
      <c r="H4" s="10">
        <f>IF(DAY(Mar_n_1)=1,Mar_n_1-1,Mar_n_1+6)</f>
        <v>42434</v>
      </c>
      <c r="I4" s="10">
        <f>IF(DAY(Mar_n_1)=1,Mar_n_1,Mar_n_1+7)</f>
        <v>42435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IF(DAY(Mar_n_1)=1,Mar_n_1+1,Mar_n_1+8)</f>
        <v>42436</v>
      </c>
      <c r="D5" s="10">
        <f>IF(DAY(Mar_n_1)=1,Mar_n_1+2,Mar_n_1+9)</f>
        <v>42437</v>
      </c>
      <c r="E5" s="10">
        <f>IF(DAY(Mar_n_1)=1,Mar_n_1+3,Mar_n_1+10)</f>
        <v>42438</v>
      </c>
      <c r="F5" s="10">
        <f>IF(DAY(Mar_n_1)=1,Mar_n_1+4,Mar_n_1+11)</f>
        <v>42439</v>
      </c>
      <c r="G5" s="10">
        <f>IF(DAY(Mar_n_1)=1,Mar_n_1+5,Mar_n_1+12)</f>
        <v>42440</v>
      </c>
      <c r="H5" s="10">
        <f>IF(DAY(Mar_n_1)=1,Mar_n_1+6,Mar_n_1+13)</f>
        <v>42441</v>
      </c>
      <c r="I5" s="10">
        <f>IF(DAY(Mar_n_1)=1,Mar_n_1+7,Mar_n_1+14)</f>
        <v>42442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IF(DAY(Mar_n_1)=1,Mar_n_1+8,Mar_n_1+15)</f>
        <v>42443</v>
      </c>
      <c r="D6" s="10">
        <f>IF(DAY(Mar_n_1)=1,Mar_n_1+9,Mar_n_1+16)</f>
        <v>42444</v>
      </c>
      <c r="E6" s="10">
        <f>IF(DAY(Mar_n_1)=1,Mar_n_1+10,Mar_n_1+17)</f>
        <v>42445</v>
      </c>
      <c r="F6" s="10">
        <f>IF(DAY(Mar_n_1)=1,Mar_n_1+11,Mar_n_1+18)</f>
        <v>42446</v>
      </c>
      <c r="G6" s="10">
        <f>IF(DAY(Mar_n_1)=1,Mar_n_1+12,Mar_n_1+19)</f>
        <v>42447</v>
      </c>
      <c r="H6" s="10">
        <f>IF(DAY(Mar_n_1)=1,Mar_n_1+13,Mar_n_1+20)</f>
        <v>42448</v>
      </c>
      <c r="I6" s="10">
        <f>IF(DAY(Mar_n_1)=1,Mar_n_1+14,Mar_n_1+21)</f>
        <v>42449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IF(DAY(Mar_n_1)=1,Mar_n_1+15,Mar_n_1+22)</f>
        <v>42450</v>
      </c>
      <c r="D7" s="10">
        <f>IF(DAY(Mar_n_1)=1,Mar_n_1+16,Mar_n_1+23)</f>
        <v>42451</v>
      </c>
      <c r="E7" s="10">
        <f>IF(DAY(Mar_n_1)=1,Mar_n_1+17,Mar_n_1+24)</f>
        <v>42452</v>
      </c>
      <c r="F7" s="10">
        <f>IF(DAY(Mar_n_1)=1,Mar_n_1+18,Mar_n_1+25)</f>
        <v>42453</v>
      </c>
      <c r="G7" s="10">
        <f>IF(DAY(Mar_n_1)=1,Mar_n_1+19,Mar_n_1+26)</f>
        <v>42454</v>
      </c>
      <c r="H7" s="10">
        <f>IF(DAY(Mar_n_1)=1,Mar_n_1+20,Mar_n_1+27)</f>
        <v>42455</v>
      </c>
      <c r="I7" s="10">
        <f>IF(DAY(Mar_n_1)=1,Mar_n_1+21,Mar_n_1+28)</f>
        <v>42456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IF(DAY(Mar_n_1)=1,Mar_n_1+22,Mar_n_1+29)</f>
        <v>42457</v>
      </c>
      <c r="D8" s="10">
        <f>IF(DAY(Mar_n_1)=1,Mar_n_1+23,Mar_n_1+30)</f>
        <v>42458</v>
      </c>
      <c r="E8" s="10">
        <f>IF(DAY(Mar_n_1)=1,Mar_n_1+24,Mar_n_1+31)</f>
        <v>42459</v>
      </c>
      <c r="F8" s="10">
        <f>IF(DAY(Mar_n_1)=1,Mar_n_1+25,Mar_n_1+32)</f>
        <v>42460</v>
      </c>
      <c r="G8" s="10">
        <f>IF(DAY(Mar_n_1)=1,Mar_n_1+26,Mar_n_1+33)</f>
        <v>42461</v>
      </c>
      <c r="H8" s="10">
        <f>IF(DAY(Mar_n_1)=1,Mar_n_1+27,Mar_n_1+34)</f>
        <v>42462</v>
      </c>
      <c r="I8" s="10">
        <f>IF(DAY(Mar_n_1)=1,Mar_n_1+28,Mar_n_1+35)</f>
        <v>42463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IF(DAY(Mar_n_1)=1,Mar_n_1+29,Mar_n_1+36)</f>
        <v>42464</v>
      </c>
      <c r="D9" s="10">
        <f>IF(DAY(Mar_n_1)=1,Mar_n_1+30,Mar_n_1+37)</f>
        <v>42465</v>
      </c>
      <c r="E9" s="10">
        <f>IF(DAY(Mar_n_1)=1,Mar_n_1+31,Mar_n_1+38)</f>
        <v>42466</v>
      </c>
      <c r="F9" s="10">
        <f>IF(DAY(Mar_n_1)=1,Mar_n_1+32,Mar_n_1+39)</f>
        <v>42467</v>
      </c>
      <c r="G9" s="10">
        <f>IF(DAY(Mar_n_1)=1,Mar_n_1+33,Mar_n_1+40)</f>
        <v>42468</v>
      </c>
      <c r="H9" s="10">
        <f>IF(DAY(Mar_n_1)=1,Mar_n_1+34,Mar_n_1+41)</f>
        <v>42469</v>
      </c>
      <c r="I9" s="10">
        <f>IF(DAY(Mar_n_1)=1,Mar_n_1+35,Mar_n_1+42)</f>
        <v>42470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10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10</v>
      </c>
      <c r="D13" s="41"/>
      <c r="E13" s="39" t="s">
        <v>17</v>
      </c>
      <c r="F13" s="41"/>
      <c r="G13" s="39" t="s">
        <v>19</v>
      </c>
      <c r="H13" s="41"/>
      <c r="I13" s="39" t="s">
        <v>22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11</v>
      </c>
      <c r="D16" s="54"/>
      <c r="E16" s="53"/>
      <c r="F16" s="54"/>
      <c r="G16" s="53" t="s">
        <v>11</v>
      </c>
      <c r="H16" s="54"/>
      <c r="I16" s="63"/>
      <c r="J16" s="64"/>
      <c r="K16" s="31" t="s">
        <v>17</v>
      </c>
      <c r="L16" s="16"/>
      <c r="M16" s="37"/>
      <c r="N16" s="38"/>
    </row>
    <row r="17" spans="2:14" ht="18" customHeight="1" x14ac:dyDescent="0.2">
      <c r="B17" s="6"/>
      <c r="C17" s="51" t="s">
        <v>12</v>
      </c>
      <c r="D17" s="52"/>
      <c r="E17" s="51"/>
      <c r="F17" s="52"/>
      <c r="G17" s="51" t="s">
        <v>12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19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22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13</v>
      </c>
      <c r="D30" s="54"/>
      <c r="E30" s="53"/>
      <c r="F30" s="54"/>
      <c r="G30" s="53" t="s">
        <v>13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14</v>
      </c>
      <c r="D31" s="52"/>
      <c r="E31" s="51"/>
      <c r="F31" s="52"/>
      <c r="G31" s="51" t="s">
        <v>14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83" priority="3" stopIfTrue="1">
      <formula>DAY(C4)&gt;8</formula>
    </cfRule>
  </conditionalFormatting>
  <conditionalFormatting sqref="C8:I10">
    <cfRule type="expression" dxfId="82" priority="2" stopIfTrue="1">
      <formula>AND(DAY(C8)&gt;=1,DAY(C8)&lt;=15)</formula>
    </cfRule>
  </conditionalFormatting>
  <conditionalFormatting sqref="C4:I9">
    <cfRule type="expression" dxfId="80" priority="4">
      <formula>VLOOKUP(DAY(C4),Dni_zadania,1,FALSE)=DAY(C4)</formula>
    </cfRule>
  </conditionalFormatting>
  <conditionalFormatting sqref="B14:J33">
    <cfRule type="expression" dxfId="81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23</v>
      </c>
      <c r="L2" s="43">
        <v>2013</v>
      </c>
      <c r="M2" s="43"/>
      <c r="N2" s="79">
        <f>Rok_kalendarzowy</f>
        <v>2016</v>
      </c>
    </row>
    <row r="3" spans="1:14" ht="21" customHeight="1" x14ac:dyDescent="0.2">
      <c r="A3" s="4"/>
      <c r="B3" s="68" t="s">
        <v>32</v>
      </c>
      <c r="C3" s="2" t="s">
        <v>9</v>
      </c>
      <c r="D3" s="2" t="s">
        <v>15</v>
      </c>
      <c r="E3" s="2" t="s">
        <v>16</v>
      </c>
      <c r="F3" s="2" t="s">
        <v>18</v>
      </c>
      <c r="G3" s="2" t="s">
        <v>9</v>
      </c>
      <c r="H3" s="2" t="s">
        <v>20</v>
      </c>
      <c r="I3" s="2" t="s">
        <v>21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IF(DAY(Kwi_n_1)=1,Kwi_n_1-6,Kwi_n_1+1)</f>
        <v>42457</v>
      </c>
      <c r="D4" s="10">
        <f>IF(DAY(Kwi_n_1)=1,Kwi_n_1-5,Kwi_n_1+2)</f>
        <v>42458</v>
      </c>
      <c r="E4" s="10">
        <f>IF(DAY(Kwi_n_1)=1,Kwi_n_1-4,Kwi_n_1+3)</f>
        <v>42459</v>
      </c>
      <c r="F4" s="10">
        <f>IF(DAY(Kwi_n_1)=1,Kwi_n_1-3,Kwi_n_1+4)</f>
        <v>42460</v>
      </c>
      <c r="G4" s="10">
        <f>IF(DAY(Kwi_n_1)=1,Kwi_n_1-2,Kwi_n_1+5)</f>
        <v>42461</v>
      </c>
      <c r="H4" s="10">
        <f>IF(DAY(Kwi_n_1)=1,Kwi_n_1-1,Kwi_n_1+6)</f>
        <v>42462</v>
      </c>
      <c r="I4" s="10">
        <f>IF(DAY(Kwi_n_1)=1,Kwi_n_1,Kwi_n_1+7)</f>
        <v>42463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IF(DAY(Kwi_n_1)=1,Kwi_n_1+1,Kwi_n_1+8)</f>
        <v>42464</v>
      </c>
      <c r="D5" s="10">
        <f>IF(DAY(Kwi_n_1)=1,Kwi_n_1+2,Kwi_n_1+9)</f>
        <v>42465</v>
      </c>
      <c r="E5" s="10">
        <f>IF(DAY(Kwi_n_1)=1,Kwi_n_1+3,Kwi_n_1+10)</f>
        <v>42466</v>
      </c>
      <c r="F5" s="10">
        <f>IF(DAY(Kwi_n_1)=1,Kwi_n_1+4,Kwi_n_1+11)</f>
        <v>42467</v>
      </c>
      <c r="G5" s="10">
        <f>IF(DAY(Kwi_n_1)=1,Kwi_n_1+5,Kwi_n_1+12)</f>
        <v>42468</v>
      </c>
      <c r="H5" s="10">
        <f>IF(DAY(Kwi_n_1)=1,Kwi_n_1+6,Kwi_n_1+13)</f>
        <v>42469</v>
      </c>
      <c r="I5" s="10">
        <f>IF(DAY(Kwi_n_1)=1,Kwi_n_1+7,Kwi_n_1+14)</f>
        <v>42470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IF(DAY(Kwi_n_1)=1,Kwi_n_1+8,Kwi_n_1+15)</f>
        <v>42471</v>
      </c>
      <c r="D6" s="10">
        <f>IF(DAY(Kwi_n_1)=1,Kwi_n_1+9,Kwi_n_1+16)</f>
        <v>42472</v>
      </c>
      <c r="E6" s="10">
        <f>IF(DAY(Kwi_n_1)=1,Kwi_n_1+10,Kwi_n_1+17)</f>
        <v>42473</v>
      </c>
      <c r="F6" s="10">
        <f>IF(DAY(Kwi_n_1)=1,Kwi_n_1+11,Kwi_n_1+18)</f>
        <v>42474</v>
      </c>
      <c r="G6" s="10">
        <f>IF(DAY(Kwi_n_1)=1,Kwi_n_1+12,Kwi_n_1+19)</f>
        <v>42475</v>
      </c>
      <c r="H6" s="10">
        <f>IF(DAY(Kwi_n_1)=1,Kwi_n_1+13,Kwi_n_1+20)</f>
        <v>42476</v>
      </c>
      <c r="I6" s="10">
        <f>IF(DAY(Kwi_n_1)=1,Kwi_n_1+14,Kwi_n_1+21)</f>
        <v>42477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IF(DAY(Kwi_n_1)=1,Kwi_n_1+15,Kwi_n_1+22)</f>
        <v>42478</v>
      </c>
      <c r="D7" s="10">
        <f>IF(DAY(Kwi_n_1)=1,Kwi_n_1+16,Kwi_n_1+23)</f>
        <v>42479</v>
      </c>
      <c r="E7" s="10">
        <f>IF(DAY(Kwi_n_1)=1,Kwi_n_1+17,Kwi_n_1+24)</f>
        <v>42480</v>
      </c>
      <c r="F7" s="10">
        <f>IF(DAY(Kwi_n_1)=1,Kwi_n_1+18,Kwi_n_1+25)</f>
        <v>42481</v>
      </c>
      <c r="G7" s="10">
        <f>IF(DAY(Kwi_n_1)=1,Kwi_n_1+19,Kwi_n_1+26)</f>
        <v>42482</v>
      </c>
      <c r="H7" s="10">
        <f>IF(DAY(Kwi_n_1)=1,Kwi_n_1+20,Kwi_n_1+27)</f>
        <v>42483</v>
      </c>
      <c r="I7" s="10">
        <f>IF(DAY(Kwi_n_1)=1,Kwi_n_1+21,Kwi_n_1+28)</f>
        <v>42484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IF(DAY(Kwi_n_1)=1,Kwi_n_1+22,Kwi_n_1+29)</f>
        <v>42485</v>
      </c>
      <c r="D8" s="10">
        <f>IF(DAY(Kwi_n_1)=1,Kwi_n_1+23,Kwi_n_1+30)</f>
        <v>42486</v>
      </c>
      <c r="E8" s="10">
        <f>IF(DAY(Kwi_n_1)=1,Kwi_n_1+24,Kwi_n_1+31)</f>
        <v>42487</v>
      </c>
      <c r="F8" s="10">
        <f>IF(DAY(Kwi_n_1)=1,Kwi_n_1+25,Kwi_n_1+32)</f>
        <v>42488</v>
      </c>
      <c r="G8" s="10">
        <f>IF(DAY(Kwi_n_1)=1,Kwi_n_1+26,Kwi_n_1+33)</f>
        <v>42489</v>
      </c>
      <c r="H8" s="10">
        <f>IF(DAY(Kwi_n_1)=1,Kwi_n_1+27,Kwi_n_1+34)</f>
        <v>42490</v>
      </c>
      <c r="I8" s="10">
        <f>IF(DAY(Kwi_n_1)=1,Kwi_n_1+28,Kwi_n_1+35)</f>
        <v>42491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IF(DAY(Kwi_n_1)=1,Kwi_n_1+29,Kwi_n_1+36)</f>
        <v>42492</v>
      </c>
      <c r="D9" s="10">
        <f>IF(DAY(Kwi_n_1)=1,Kwi_n_1+30,Kwi_n_1+37)</f>
        <v>42493</v>
      </c>
      <c r="E9" s="10">
        <f>IF(DAY(Kwi_n_1)=1,Kwi_n_1+31,Kwi_n_1+38)</f>
        <v>42494</v>
      </c>
      <c r="F9" s="10">
        <f>IF(DAY(Kwi_n_1)=1,Kwi_n_1+32,Kwi_n_1+39)</f>
        <v>42495</v>
      </c>
      <c r="G9" s="10">
        <f>IF(DAY(Kwi_n_1)=1,Kwi_n_1+33,Kwi_n_1+40)</f>
        <v>42496</v>
      </c>
      <c r="H9" s="10">
        <f>IF(DAY(Kwi_n_1)=1,Kwi_n_1+34,Kwi_n_1+41)</f>
        <v>42497</v>
      </c>
      <c r="I9" s="10">
        <f>IF(DAY(Kwi_n_1)=1,Kwi_n_1+35,Kwi_n_1+42)</f>
        <v>42498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10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10</v>
      </c>
      <c r="D13" s="41"/>
      <c r="E13" s="39" t="s">
        <v>17</v>
      </c>
      <c r="F13" s="41"/>
      <c r="G13" s="39" t="s">
        <v>19</v>
      </c>
      <c r="H13" s="41"/>
      <c r="I13" s="39" t="s">
        <v>22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11</v>
      </c>
      <c r="D16" s="54"/>
      <c r="E16" s="53"/>
      <c r="F16" s="54"/>
      <c r="G16" s="53" t="s">
        <v>11</v>
      </c>
      <c r="H16" s="54"/>
      <c r="I16" s="63"/>
      <c r="J16" s="64"/>
      <c r="K16" s="31" t="s">
        <v>17</v>
      </c>
      <c r="L16" s="16"/>
      <c r="M16" s="37"/>
      <c r="N16" s="38"/>
    </row>
    <row r="17" spans="2:14" ht="18" customHeight="1" x14ac:dyDescent="0.2">
      <c r="B17" s="6"/>
      <c r="C17" s="51" t="s">
        <v>12</v>
      </c>
      <c r="D17" s="52"/>
      <c r="E17" s="51"/>
      <c r="F17" s="52"/>
      <c r="G17" s="51" t="s">
        <v>12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19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22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13</v>
      </c>
      <c r="D30" s="54"/>
      <c r="E30" s="53"/>
      <c r="F30" s="54"/>
      <c r="G30" s="53" t="s">
        <v>13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14</v>
      </c>
      <c r="D31" s="52"/>
      <c r="E31" s="51"/>
      <c r="F31" s="52"/>
      <c r="G31" s="51" t="s">
        <v>14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75" priority="3" stopIfTrue="1">
      <formula>DAY(C4)&gt;8</formula>
    </cfRule>
  </conditionalFormatting>
  <conditionalFormatting sqref="C8:I10">
    <cfRule type="expression" dxfId="74" priority="2" stopIfTrue="1">
      <formula>AND(DAY(C8)&gt;=1,DAY(C8)&lt;=15)</formula>
    </cfRule>
  </conditionalFormatting>
  <conditionalFormatting sqref="C4:I9">
    <cfRule type="expression" dxfId="72" priority="4">
      <formula>VLOOKUP(DAY(C4),Dni_zadania,1,FALSE)=DAY(C4)</formula>
    </cfRule>
  </conditionalFormatting>
  <conditionalFormatting sqref="B14:J33">
    <cfRule type="expression" dxfId="73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23</v>
      </c>
      <c r="L2" s="43">
        <v>2013</v>
      </c>
      <c r="M2" s="43"/>
      <c r="N2" s="79">
        <f>Rok_kalendarzowy</f>
        <v>2016</v>
      </c>
    </row>
    <row r="3" spans="1:14" ht="21" customHeight="1" x14ac:dyDescent="0.2">
      <c r="A3" s="4"/>
      <c r="B3" s="68" t="s">
        <v>33</v>
      </c>
      <c r="C3" s="2" t="s">
        <v>9</v>
      </c>
      <c r="D3" s="2" t="s">
        <v>15</v>
      </c>
      <c r="E3" s="2" t="s">
        <v>16</v>
      </c>
      <c r="F3" s="2" t="s">
        <v>18</v>
      </c>
      <c r="G3" s="2" t="s">
        <v>9</v>
      </c>
      <c r="H3" s="2" t="s">
        <v>20</v>
      </c>
      <c r="I3" s="2" t="s">
        <v>21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IF(DAY(Maj_n_1)=1,Maj_n_1-6,Maj_n_1+1)</f>
        <v>42485</v>
      </c>
      <c r="D4" s="10">
        <f>IF(DAY(Maj_n_1)=1,Maj_n_1-5,Maj_n_1+2)</f>
        <v>42486</v>
      </c>
      <c r="E4" s="10">
        <f>IF(DAY(Maj_n_1)=1,Maj_n_1-4,Maj_n_1+3)</f>
        <v>42487</v>
      </c>
      <c r="F4" s="10">
        <f>IF(DAY(Maj_n_1)=1,Maj_n_1-3,Maj_n_1+4)</f>
        <v>42488</v>
      </c>
      <c r="G4" s="10">
        <f>IF(DAY(Maj_n_1)=1,Maj_n_1-2,Maj_n_1+5)</f>
        <v>42489</v>
      </c>
      <c r="H4" s="10">
        <f>IF(DAY(Maj_n_1)=1,Maj_n_1-1,Maj_n_1+6)</f>
        <v>42490</v>
      </c>
      <c r="I4" s="10">
        <f>IF(DAY(Maj_n_1)=1,Maj_n_1,Maj_n_1+7)</f>
        <v>42491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IF(DAY(Maj_n_1)=1,Maj_n_1+1,Maj_n_1+8)</f>
        <v>42492</v>
      </c>
      <c r="D5" s="10">
        <f>IF(DAY(Maj_n_1)=1,Maj_n_1+2,Maj_n_1+9)</f>
        <v>42493</v>
      </c>
      <c r="E5" s="10">
        <f>IF(DAY(Maj_n_1)=1,Maj_n_1+3,Maj_n_1+10)</f>
        <v>42494</v>
      </c>
      <c r="F5" s="10">
        <f>IF(DAY(Maj_n_1)=1,Maj_n_1+4,Maj_n_1+11)</f>
        <v>42495</v>
      </c>
      <c r="G5" s="10">
        <f>IF(DAY(Maj_n_1)=1,Maj_n_1+5,Maj_n_1+12)</f>
        <v>42496</v>
      </c>
      <c r="H5" s="10">
        <f>IF(DAY(Maj_n_1)=1,Maj_n_1+6,Maj_n_1+13)</f>
        <v>42497</v>
      </c>
      <c r="I5" s="10">
        <f>IF(DAY(Maj_n_1)=1,Maj_n_1+7,Maj_n_1+14)</f>
        <v>42498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IF(DAY(Maj_n_1)=1,Maj_n_1+8,Maj_n_1+15)</f>
        <v>42499</v>
      </c>
      <c r="D6" s="10">
        <f>IF(DAY(Maj_n_1)=1,Maj_n_1+9,Maj_n_1+16)</f>
        <v>42500</v>
      </c>
      <c r="E6" s="10">
        <f>IF(DAY(Maj_n_1)=1,Maj_n_1+10,Maj_n_1+17)</f>
        <v>42501</v>
      </c>
      <c r="F6" s="10">
        <f>IF(DAY(Maj_n_1)=1,Maj_n_1+11,Maj_n_1+18)</f>
        <v>42502</v>
      </c>
      <c r="G6" s="10">
        <f>IF(DAY(Maj_n_1)=1,Maj_n_1+12,Maj_n_1+19)</f>
        <v>42503</v>
      </c>
      <c r="H6" s="10">
        <f>IF(DAY(Maj_n_1)=1,Maj_n_1+13,Maj_n_1+20)</f>
        <v>42504</v>
      </c>
      <c r="I6" s="10">
        <f>IF(DAY(Maj_n_1)=1,Maj_n_1+14,Maj_n_1+21)</f>
        <v>42505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IF(DAY(Maj_n_1)=1,Maj_n_1+15,Maj_n_1+22)</f>
        <v>42506</v>
      </c>
      <c r="D7" s="10">
        <f>IF(DAY(Maj_n_1)=1,Maj_n_1+16,Maj_n_1+23)</f>
        <v>42507</v>
      </c>
      <c r="E7" s="10">
        <f>IF(DAY(Maj_n_1)=1,Maj_n_1+17,Maj_n_1+24)</f>
        <v>42508</v>
      </c>
      <c r="F7" s="10">
        <f>IF(DAY(Maj_n_1)=1,Maj_n_1+18,Maj_n_1+25)</f>
        <v>42509</v>
      </c>
      <c r="G7" s="10">
        <f>IF(DAY(Maj_n_1)=1,Maj_n_1+19,Maj_n_1+26)</f>
        <v>42510</v>
      </c>
      <c r="H7" s="10">
        <f>IF(DAY(Maj_n_1)=1,Maj_n_1+20,Maj_n_1+27)</f>
        <v>42511</v>
      </c>
      <c r="I7" s="10">
        <f>IF(DAY(Maj_n_1)=1,Maj_n_1+21,Maj_n_1+28)</f>
        <v>42512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IF(DAY(Maj_n_1)=1,Maj_n_1+22,Maj_n_1+29)</f>
        <v>42513</v>
      </c>
      <c r="D8" s="10">
        <f>IF(DAY(Maj_n_1)=1,Maj_n_1+23,Maj_n_1+30)</f>
        <v>42514</v>
      </c>
      <c r="E8" s="10">
        <f>IF(DAY(Maj_n_1)=1,Maj_n_1+24,Maj_n_1+31)</f>
        <v>42515</v>
      </c>
      <c r="F8" s="10">
        <f>IF(DAY(Maj_n_1)=1,Maj_n_1+25,Maj_n_1+32)</f>
        <v>42516</v>
      </c>
      <c r="G8" s="10">
        <f>IF(DAY(Maj_n_1)=1,Maj_n_1+26,Maj_n_1+33)</f>
        <v>42517</v>
      </c>
      <c r="H8" s="10">
        <f>IF(DAY(Maj_n_1)=1,Maj_n_1+27,Maj_n_1+34)</f>
        <v>42518</v>
      </c>
      <c r="I8" s="10">
        <f>IF(DAY(Maj_n_1)=1,Maj_n_1+28,Maj_n_1+35)</f>
        <v>42519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IF(DAY(Maj_n_1)=1,Maj_n_1+29,Maj_n_1+36)</f>
        <v>42520</v>
      </c>
      <c r="D9" s="10">
        <f>IF(DAY(Maj_n_1)=1,Maj_n_1+30,Maj_n_1+37)</f>
        <v>42521</v>
      </c>
      <c r="E9" s="10">
        <f>IF(DAY(Maj_n_1)=1,Maj_n_1+31,Maj_n_1+38)</f>
        <v>42522</v>
      </c>
      <c r="F9" s="10">
        <f>IF(DAY(Maj_n_1)=1,Maj_n_1+32,Maj_n_1+39)</f>
        <v>42523</v>
      </c>
      <c r="G9" s="10">
        <f>IF(DAY(Maj_n_1)=1,Maj_n_1+33,Maj_n_1+40)</f>
        <v>42524</v>
      </c>
      <c r="H9" s="10">
        <f>IF(DAY(Maj_n_1)=1,Maj_n_1+34,Maj_n_1+41)</f>
        <v>42525</v>
      </c>
      <c r="I9" s="10">
        <f>IF(DAY(Maj_n_1)=1,Maj_n_1+35,Maj_n_1+42)</f>
        <v>42526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10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10</v>
      </c>
      <c r="D13" s="41"/>
      <c r="E13" s="39" t="s">
        <v>17</v>
      </c>
      <c r="F13" s="41"/>
      <c r="G13" s="39" t="s">
        <v>19</v>
      </c>
      <c r="H13" s="41"/>
      <c r="I13" s="39" t="s">
        <v>22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11</v>
      </c>
      <c r="D16" s="54"/>
      <c r="E16" s="53"/>
      <c r="F16" s="54"/>
      <c r="G16" s="53" t="s">
        <v>11</v>
      </c>
      <c r="H16" s="54"/>
      <c r="I16" s="63"/>
      <c r="J16" s="64"/>
      <c r="K16" s="31" t="s">
        <v>17</v>
      </c>
      <c r="L16" s="16"/>
      <c r="M16" s="37"/>
      <c r="N16" s="38"/>
    </row>
    <row r="17" spans="2:14" ht="18" customHeight="1" x14ac:dyDescent="0.2">
      <c r="B17" s="6"/>
      <c r="C17" s="51" t="s">
        <v>12</v>
      </c>
      <c r="D17" s="52"/>
      <c r="E17" s="51"/>
      <c r="F17" s="52"/>
      <c r="G17" s="51" t="s">
        <v>12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19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22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13</v>
      </c>
      <c r="D30" s="54"/>
      <c r="E30" s="53"/>
      <c r="F30" s="54"/>
      <c r="G30" s="53" t="s">
        <v>13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14</v>
      </c>
      <c r="D31" s="52"/>
      <c r="E31" s="51"/>
      <c r="F31" s="52"/>
      <c r="G31" s="51" t="s">
        <v>14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67" priority="3" stopIfTrue="1">
      <formula>DAY(C4)&gt;8</formula>
    </cfRule>
  </conditionalFormatting>
  <conditionalFormatting sqref="C8:I10">
    <cfRule type="expression" dxfId="66" priority="2" stopIfTrue="1">
      <formula>AND(DAY(C8)&gt;=1,DAY(C8)&lt;=15)</formula>
    </cfRule>
  </conditionalFormatting>
  <conditionalFormatting sqref="C4:I9">
    <cfRule type="expression" dxfId="64" priority="4">
      <formula>VLOOKUP(DAY(C4),Dni_zadania,1,FALSE)=DAY(C4)</formula>
    </cfRule>
  </conditionalFormatting>
  <conditionalFormatting sqref="B14:J33">
    <cfRule type="expression" dxfId="65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23</v>
      </c>
      <c r="L2" s="43">
        <v>2013</v>
      </c>
      <c r="M2" s="43"/>
      <c r="N2" s="79">
        <f>Rok_kalendarzowy</f>
        <v>2016</v>
      </c>
    </row>
    <row r="3" spans="1:14" ht="21" customHeight="1" x14ac:dyDescent="0.2">
      <c r="A3" s="4"/>
      <c r="B3" s="68" t="s">
        <v>34</v>
      </c>
      <c r="C3" s="2" t="s">
        <v>9</v>
      </c>
      <c r="D3" s="2" t="s">
        <v>15</v>
      </c>
      <c r="E3" s="2" t="s">
        <v>16</v>
      </c>
      <c r="F3" s="2" t="s">
        <v>18</v>
      </c>
      <c r="G3" s="2" t="s">
        <v>9</v>
      </c>
      <c r="H3" s="2" t="s">
        <v>20</v>
      </c>
      <c r="I3" s="2" t="s">
        <v>21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IF(DAY(Cze_n_1)=1,Cze_n_1-6,Cze_n_1+1)</f>
        <v>42520</v>
      </c>
      <c r="D4" s="10">
        <f>IF(DAY(Cze_n_1)=1,Cze_n_1-5,Cze_n_1+2)</f>
        <v>42521</v>
      </c>
      <c r="E4" s="10">
        <f>IF(DAY(Cze_n_1)=1,Cze_n_1-4,Cze_n_1+3)</f>
        <v>42522</v>
      </c>
      <c r="F4" s="10">
        <f>IF(DAY(Cze_n_1)=1,Cze_n_1-3,Cze_n_1+4)</f>
        <v>42523</v>
      </c>
      <c r="G4" s="10">
        <f>IF(DAY(Cze_n_1)=1,Cze_n_1-2,Cze_n_1+5)</f>
        <v>42524</v>
      </c>
      <c r="H4" s="10">
        <f>IF(DAY(Cze_n_1)=1,Cze_n_1-1,Cze_n_1+6)</f>
        <v>42525</v>
      </c>
      <c r="I4" s="10">
        <f>IF(DAY(Cze_n_1)=1,Cze_n_1,Cze_n_1+7)</f>
        <v>42526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IF(DAY(Cze_n_1)=1,Cze_n_1+1,Cze_n_1+8)</f>
        <v>42527</v>
      </c>
      <c r="D5" s="10">
        <f>IF(DAY(Cze_n_1)=1,Cze_n_1+2,Cze_n_1+9)</f>
        <v>42528</v>
      </c>
      <c r="E5" s="10">
        <f>IF(DAY(Cze_n_1)=1,Cze_n_1+3,Cze_n_1+10)</f>
        <v>42529</v>
      </c>
      <c r="F5" s="10">
        <f>IF(DAY(Cze_n_1)=1,Cze_n_1+4,Cze_n_1+11)</f>
        <v>42530</v>
      </c>
      <c r="G5" s="10">
        <f>IF(DAY(Cze_n_1)=1,Cze_n_1+5,Cze_n_1+12)</f>
        <v>42531</v>
      </c>
      <c r="H5" s="10">
        <f>IF(DAY(Cze_n_1)=1,Cze_n_1+6,Cze_n_1+13)</f>
        <v>42532</v>
      </c>
      <c r="I5" s="10">
        <f>IF(DAY(Cze_n_1)=1,Cze_n_1+7,Cze_n_1+14)</f>
        <v>42533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IF(DAY(Cze_n_1)=1,Cze_n_1+8,Cze_n_1+15)</f>
        <v>42534</v>
      </c>
      <c r="D6" s="10">
        <f>IF(DAY(Cze_n_1)=1,Cze_n_1+9,Cze_n_1+16)</f>
        <v>42535</v>
      </c>
      <c r="E6" s="10">
        <f>IF(DAY(Cze_n_1)=1,Cze_n_1+10,Cze_n_1+17)</f>
        <v>42536</v>
      </c>
      <c r="F6" s="10">
        <f>IF(DAY(Cze_n_1)=1,Cze_n_1+11,Cze_n_1+18)</f>
        <v>42537</v>
      </c>
      <c r="G6" s="10">
        <f>IF(DAY(Cze_n_1)=1,Cze_n_1+12,Cze_n_1+19)</f>
        <v>42538</v>
      </c>
      <c r="H6" s="10">
        <f>IF(DAY(Cze_n_1)=1,Cze_n_1+13,Cze_n_1+20)</f>
        <v>42539</v>
      </c>
      <c r="I6" s="10">
        <f>IF(DAY(Cze_n_1)=1,Cze_n_1+14,Cze_n_1+21)</f>
        <v>42540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IF(DAY(Cze_n_1)=1,Cze_n_1+15,Cze_n_1+22)</f>
        <v>42541</v>
      </c>
      <c r="D7" s="10">
        <f>IF(DAY(Cze_n_1)=1,Cze_n_1+16,Cze_n_1+23)</f>
        <v>42542</v>
      </c>
      <c r="E7" s="10">
        <f>IF(DAY(Cze_n_1)=1,Cze_n_1+17,Cze_n_1+24)</f>
        <v>42543</v>
      </c>
      <c r="F7" s="10">
        <f>IF(DAY(Cze_n_1)=1,Cze_n_1+18,Cze_n_1+25)</f>
        <v>42544</v>
      </c>
      <c r="G7" s="10">
        <f>IF(DAY(Cze_n_1)=1,Cze_n_1+19,Cze_n_1+26)</f>
        <v>42545</v>
      </c>
      <c r="H7" s="10">
        <f>IF(DAY(Cze_n_1)=1,Cze_n_1+20,Cze_n_1+27)</f>
        <v>42546</v>
      </c>
      <c r="I7" s="10">
        <f>IF(DAY(Cze_n_1)=1,Cze_n_1+21,Cze_n_1+28)</f>
        <v>42547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IF(DAY(Cze_n_1)=1,Cze_n_1+22,Cze_n_1+29)</f>
        <v>42548</v>
      </c>
      <c r="D8" s="10">
        <f>IF(DAY(Cze_n_1)=1,Cze_n_1+23,Cze_n_1+30)</f>
        <v>42549</v>
      </c>
      <c r="E8" s="10">
        <f>IF(DAY(Cze_n_1)=1,Cze_n_1+24,Cze_n_1+31)</f>
        <v>42550</v>
      </c>
      <c r="F8" s="10">
        <f>IF(DAY(Cze_n_1)=1,Cze_n_1+25,Cze_n_1+32)</f>
        <v>42551</v>
      </c>
      <c r="G8" s="10">
        <f>IF(DAY(Cze_n_1)=1,Cze_n_1+26,Cze_n_1+33)</f>
        <v>42552</v>
      </c>
      <c r="H8" s="10">
        <f>IF(DAY(Cze_n_1)=1,Cze_n_1+27,Cze_n_1+34)</f>
        <v>42553</v>
      </c>
      <c r="I8" s="10">
        <f>IF(DAY(Cze_n_1)=1,Cze_n_1+28,Cze_n_1+35)</f>
        <v>42554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IF(DAY(Cze_n_1)=1,Cze_n_1+29,Cze_n_1+36)</f>
        <v>42555</v>
      </c>
      <c r="D9" s="10">
        <f>IF(DAY(Cze_n_1)=1,Cze_n_1+30,Cze_n_1+37)</f>
        <v>42556</v>
      </c>
      <c r="E9" s="10">
        <f>IF(DAY(Cze_n_1)=1,Cze_n_1+31,Cze_n_1+38)</f>
        <v>42557</v>
      </c>
      <c r="F9" s="10">
        <f>IF(DAY(Cze_n_1)=1,Cze_n_1+32,Cze_n_1+39)</f>
        <v>42558</v>
      </c>
      <c r="G9" s="10">
        <f>IF(DAY(Cze_n_1)=1,Cze_n_1+33,Cze_n_1+40)</f>
        <v>42559</v>
      </c>
      <c r="H9" s="10">
        <f>IF(DAY(Cze_n_1)=1,Cze_n_1+34,Cze_n_1+41)</f>
        <v>42560</v>
      </c>
      <c r="I9" s="10">
        <f>IF(DAY(Cze_n_1)=1,Cze_n_1+35,Cze_n_1+42)</f>
        <v>42561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10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10</v>
      </c>
      <c r="D13" s="41"/>
      <c r="E13" s="39" t="s">
        <v>17</v>
      </c>
      <c r="F13" s="41"/>
      <c r="G13" s="39" t="s">
        <v>19</v>
      </c>
      <c r="H13" s="41"/>
      <c r="I13" s="39" t="s">
        <v>22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11</v>
      </c>
      <c r="D16" s="54"/>
      <c r="E16" s="53"/>
      <c r="F16" s="54"/>
      <c r="G16" s="53" t="s">
        <v>11</v>
      </c>
      <c r="H16" s="54"/>
      <c r="I16" s="63"/>
      <c r="J16" s="64"/>
      <c r="K16" s="31" t="s">
        <v>17</v>
      </c>
      <c r="L16" s="16"/>
      <c r="M16" s="37"/>
      <c r="N16" s="38"/>
    </row>
    <row r="17" spans="2:14" ht="18" customHeight="1" x14ac:dyDescent="0.2">
      <c r="B17" s="6"/>
      <c r="C17" s="51" t="s">
        <v>12</v>
      </c>
      <c r="D17" s="52"/>
      <c r="E17" s="51"/>
      <c r="F17" s="52"/>
      <c r="G17" s="51" t="s">
        <v>12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19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22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13</v>
      </c>
      <c r="D30" s="54"/>
      <c r="E30" s="53"/>
      <c r="F30" s="54"/>
      <c r="G30" s="53" t="s">
        <v>13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14</v>
      </c>
      <c r="D31" s="52"/>
      <c r="E31" s="51"/>
      <c r="F31" s="52"/>
      <c r="G31" s="51" t="s">
        <v>14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59" priority="3" stopIfTrue="1">
      <formula>DAY(C4)&gt;8</formula>
    </cfRule>
  </conditionalFormatting>
  <conditionalFormatting sqref="C8:I10">
    <cfRule type="expression" dxfId="58" priority="2" stopIfTrue="1">
      <formula>AND(DAY(C8)&gt;=1,DAY(C8)&lt;=15)</formula>
    </cfRule>
  </conditionalFormatting>
  <conditionalFormatting sqref="C4:I9">
    <cfRule type="expression" dxfId="56" priority="4">
      <formula>VLOOKUP(DAY(C4),Dni_zadania,1,FALSE)=DAY(C4)</formula>
    </cfRule>
  </conditionalFormatting>
  <conditionalFormatting sqref="B14:J33">
    <cfRule type="expression" dxfId="57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23</v>
      </c>
      <c r="L2" s="43">
        <v>2013</v>
      </c>
      <c r="M2" s="43"/>
      <c r="N2" s="79">
        <f>Rok_kalendarzowy</f>
        <v>2016</v>
      </c>
    </row>
    <row r="3" spans="1:14" ht="21" customHeight="1" x14ac:dyDescent="0.2">
      <c r="A3" s="4"/>
      <c r="B3" s="68" t="s">
        <v>35</v>
      </c>
      <c r="C3" s="2" t="s">
        <v>9</v>
      </c>
      <c r="D3" s="2" t="s">
        <v>15</v>
      </c>
      <c r="E3" s="2" t="s">
        <v>16</v>
      </c>
      <c r="F3" s="2" t="s">
        <v>18</v>
      </c>
      <c r="G3" s="2" t="s">
        <v>9</v>
      </c>
      <c r="H3" s="2" t="s">
        <v>20</v>
      </c>
      <c r="I3" s="2" t="s">
        <v>21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IF(DAY(Lip_n_1)=1,Lip_n_1-6,Lip_n_1+1)</f>
        <v>42548</v>
      </c>
      <c r="D4" s="10">
        <f>IF(DAY(Lip_n_1)=1,Lip_n_1-5,Lip_n_1+2)</f>
        <v>42549</v>
      </c>
      <c r="E4" s="10">
        <f>IF(DAY(Lip_n_1)=1,Lip_n_1-4,Lip_n_1+3)</f>
        <v>42550</v>
      </c>
      <c r="F4" s="10">
        <f>IF(DAY(Lip_n_1)=1,Lip_n_1-3,Lip_n_1+4)</f>
        <v>42551</v>
      </c>
      <c r="G4" s="10">
        <f>IF(DAY(Lip_n_1)=1,Lip_n_1-2,Lip_n_1+5)</f>
        <v>42552</v>
      </c>
      <c r="H4" s="10">
        <f>IF(DAY(Lip_n_1)=1,Lip_n_1-1,Lip_n_1+6)</f>
        <v>42553</v>
      </c>
      <c r="I4" s="10">
        <f>IF(DAY(Lip_n_1)=1,Lip_n_1,Lip_n_1+7)</f>
        <v>42554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IF(DAY(Lip_n_1)=1,Lip_n_1+1,Lip_n_1+8)</f>
        <v>42555</v>
      </c>
      <c r="D5" s="10">
        <f>IF(DAY(Lip_n_1)=1,Lip_n_1+2,Lip_n_1+9)</f>
        <v>42556</v>
      </c>
      <c r="E5" s="10">
        <f>IF(DAY(Lip_n_1)=1,Lip_n_1+3,Lip_n_1+10)</f>
        <v>42557</v>
      </c>
      <c r="F5" s="10">
        <f>IF(DAY(Lip_n_1)=1,Lip_n_1+4,Lip_n_1+11)</f>
        <v>42558</v>
      </c>
      <c r="G5" s="10">
        <f>IF(DAY(Lip_n_1)=1,Lip_n_1+5,Lip_n_1+12)</f>
        <v>42559</v>
      </c>
      <c r="H5" s="10">
        <f>IF(DAY(Lip_n_1)=1,Lip_n_1+6,Lip_n_1+13)</f>
        <v>42560</v>
      </c>
      <c r="I5" s="10">
        <f>IF(DAY(Lip_n_1)=1,Lip_n_1+7,Lip_n_1+14)</f>
        <v>42561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IF(DAY(Lip_n_1)=1,Lip_n_1+8,Lip_n_1+15)</f>
        <v>42562</v>
      </c>
      <c r="D6" s="10">
        <f>IF(DAY(Lip_n_1)=1,Lip_n_1+9,Lip_n_1+16)</f>
        <v>42563</v>
      </c>
      <c r="E6" s="10">
        <f>IF(DAY(Lip_n_1)=1,Lip_n_1+10,Lip_n_1+17)</f>
        <v>42564</v>
      </c>
      <c r="F6" s="10">
        <f>IF(DAY(Lip_n_1)=1,Lip_n_1+11,Lip_n_1+18)</f>
        <v>42565</v>
      </c>
      <c r="G6" s="10">
        <f>IF(DAY(Lip_n_1)=1,Lip_n_1+12,Lip_n_1+19)</f>
        <v>42566</v>
      </c>
      <c r="H6" s="10">
        <f>IF(DAY(Lip_n_1)=1,Lip_n_1+13,Lip_n_1+20)</f>
        <v>42567</v>
      </c>
      <c r="I6" s="10">
        <f>IF(DAY(Lip_n_1)=1,Lip_n_1+14,Lip_n_1+21)</f>
        <v>42568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IF(DAY(Lip_n_1)=1,Lip_n_1+15,Lip_n_1+22)</f>
        <v>42569</v>
      </c>
      <c r="D7" s="10">
        <f>IF(DAY(Lip_n_1)=1,Lip_n_1+16,Lip_n_1+23)</f>
        <v>42570</v>
      </c>
      <c r="E7" s="10">
        <f>IF(DAY(Lip_n_1)=1,Lip_n_1+17,Lip_n_1+24)</f>
        <v>42571</v>
      </c>
      <c r="F7" s="10">
        <f>IF(DAY(Lip_n_1)=1,Lip_n_1+18,Lip_n_1+25)</f>
        <v>42572</v>
      </c>
      <c r="G7" s="10">
        <f>IF(DAY(Lip_n_1)=1,Lip_n_1+19,Lip_n_1+26)</f>
        <v>42573</v>
      </c>
      <c r="H7" s="10">
        <f>IF(DAY(Lip_n_1)=1,Lip_n_1+20,Lip_n_1+27)</f>
        <v>42574</v>
      </c>
      <c r="I7" s="10">
        <f>IF(DAY(Lip_n_1)=1,Lip_n_1+21,Lip_n_1+28)</f>
        <v>42575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IF(DAY(Lip_n_1)=1,Lip_n_1+22,Lip_n_1+29)</f>
        <v>42576</v>
      </c>
      <c r="D8" s="10">
        <f>IF(DAY(Lip_n_1)=1,Lip_n_1+23,Lip_n_1+30)</f>
        <v>42577</v>
      </c>
      <c r="E8" s="10">
        <f>IF(DAY(Lip_n_1)=1,Lip_n_1+24,Lip_n_1+31)</f>
        <v>42578</v>
      </c>
      <c r="F8" s="10">
        <f>IF(DAY(Lip_n_1)=1,Lip_n_1+25,Lip_n_1+32)</f>
        <v>42579</v>
      </c>
      <c r="G8" s="10">
        <f>IF(DAY(Lip_n_1)=1,Lip_n_1+26,Lip_n_1+33)</f>
        <v>42580</v>
      </c>
      <c r="H8" s="10">
        <f>IF(DAY(Lip_n_1)=1,Lip_n_1+27,Lip_n_1+34)</f>
        <v>42581</v>
      </c>
      <c r="I8" s="10">
        <f>IF(DAY(Lip_n_1)=1,Lip_n_1+28,Lip_n_1+35)</f>
        <v>42582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IF(DAY(Lip_n_1)=1,Lip_n_1+29,Lip_n_1+36)</f>
        <v>42583</v>
      </c>
      <c r="D9" s="10">
        <f>IF(DAY(Lip_n_1)=1,Lip_n_1+30,Lip_n_1+37)</f>
        <v>42584</v>
      </c>
      <c r="E9" s="10">
        <f>IF(DAY(Lip_n_1)=1,Lip_n_1+31,Lip_n_1+38)</f>
        <v>42585</v>
      </c>
      <c r="F9" s="10">
        <f>IF(DAY(Lip_n_1)=1,Lip_n_1+32,Lip_n_1+39)</f>
        <v>42586</v>
      </c>
      <c r="G9" s="10">
        <f>IF(DAY(Lip_n_1)=1,Lip_n_1+33,Lip_n_1+40)</f>
        <v>42587</v>
      </c>
      <c r="H9" s="10">
        <f>IF(DAY(Lip_n_1)=1,Lip_n_1+34,Lip_n_1+41)</f>
        <v>42588</v>
      </c>
      <c r="I9" s="10">
        <f>IF(DAY(Lip_n_1)=1,Lip_n_1+35,Lip_n_1+42)</f>
        <v>42589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10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10</v>
      </c>
      <c r="D13" s="41"/>
      <c r="E13" s="39" t="s">
        <v>17</v>
      </c>
      <c r="F13" s="41"/>
      <c r="G13" s="39" t="s">
        <v>19</v>
      </c>
      <c r="H13" s="41"/>
      <c r="I13" s="39" t="s">
        <v>22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11</v>
      </c>
      <c r="D16" s="54"/>
      <c r="E16" s="53"/>
      <c r="F16" s="54"/>
      <c r="G16" s="53" t="s">
        <v>11</v>
      </c>
      <c r="H16" s="54"/>
      <c r="I16" s="63"/>
      <c r="J16" s="64"/>
      <c r="K16" s="31" t="s">
        <v>17</v>
      </c>
      <c r="L16" s="16"/>
      <c r="M16" s="37"/>
      <c r="N16" s="38"/>
    </row>
    <row r="17" spans="2:14" ht="18" customHeight="1" x14ac:dyDescent="0.2">
      <c r="B17" s="6"/>
      <c r="C17" s="51" t="s">
        <v>12</v>
      </c>
      <c r="D17" s="52"/>
      <c r="E17" s="51"/>
      <c r="F17" s="52"/>
      <c r="G17" s="51" t="s">
        <v>12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19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22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13</v>
      </c>
      <c r="D30" s="54"/>
      <c r="E30" s="53"/>
      <c r="F30" s="54"/>
      <c r="G30" s="53" t="s">
        <v>13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14</v>
      </c>
      <c r="D31" s="52"/>
      <c r="E31" s="51"/>
      <c r="F31" s="52"/>
      <c r="G31" s="51" t="s">
        <v>14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51" priority="3" stopIfTrue="1">
      <formula>DAY(C4)&gt;8</formula>
    </cfRule>
  </conditionalFormatting>
  <conditionalFormatting sqref="C8:I10">
    <cfRule type="expression" dxfId="50" priority="2" stopIfTrue="1">
      <formula>AND(DAY(C8)&gt;=1,DAY(C8)&lt;=15)</formula>
    </cfRule>
  </conditionalFormatting>
  <conditionalFormatting sqref="C4:I9">
    <cfRule type="expression" dxfId="48" priority="4">
      <formula>VLOOKUP(DAY(C4),Dni_zadania,1,FALSE)=DAY(C4)</formula>
    </cfRule>
  </conditionalFormatting>
  <conditionalFormatting sqref="B14:J33">
    <cfRule type="expression" dxfId="49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23</v>
      </c>
      <c r="L2" s="43">
        <v>2013</v>
      </c>
      <c r="M2" s="43"/>
      <c r="N2" s="79">
        <f>Rok_kalendarzowy</f>
        <v>2016</v>
      </c>
    </row>
    <row r="3" spans="1:14" ht="21" customHeight="1" x14ac:dyDescent="0.2">
      <c r="A3" s="4"/>
      <c r="B3" s="68" t="s">
        <v>36</v>
      </c>
      <c r="C3" s="2" t="s">
        <v>9</v>
      </c>
      <c r="D3" s="2" t="s">
        <v>15</v>
      </c>
      <c r="E3" s="2" t="s">
        <v>16</v>
      </c>
      <c r="F3" s="2" t="s">
        <v>18</v>
      </c>
      <c r="G3" s="2" t="s">
        <v>9</v>
      </c>
      <c r="H3" s="2" t="s">
        <v>20</v>
      </c>
      <c r="I3" s="2" t="s">
        <v>21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IF(DAY(Sie_n_1)=1,Sie_n_1-6,Sie_n_1+1)</f>
        <v>42583</v>
      </c>
      <c r="D4" s="10">
        <f>IF(DAY(Sie_n_1)=1,Sie_n_1-5,Sie_n_1+2)</f>
        <v>42584</v>
      </c>
      <c r="E4" s="10">
        <f>IF(DAY(Sie_n_1)=1,Sie_n_1-4,Sie_n_1+3)</f>
        <v>42585</v>
      </c>
      <c r="F4" s="10">
        <f>IF(DAY(Sie_n_1)=1,Sie_n_1-3,Sie_n_1+4)</f>
        <v>42586</v>
      </c>
      <c r="G4" s="10">
        <f>IF(DAY(Sie_n_1)=1,Sie_n_1-2,Sie_n_1+5)</f>
        <v>42587</v>
      </c>
      <c r="H4" s="10">
        <f>IF(DAY(Sie_n_1)=1,Sie_n_1-1,Sie_n_1+6)</f>
        <v>42588</v>
      </c>
      <c r="I4" s="10">
        <f>IF(DAY(Sie_n_1)=1,Sie_n_1,Sie_n_1+7)</f>
        <v>42589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IF(DAY(Sie_n_1)=1,Sie_n_1+1,Sie_n_1+8)</f>
        <v>42590</v>
      </c>
      <c r="D5" s="10">
        <f>IF(DAY(Sie_n_1)=1,Sie_n_1+2,Sie_n_1+9)</f>
        <v>42591</v>
      </c>
      <c r="E5" s="10">
        <f>IF(DAY(Sie_n_1)=1,Sie_n_1+3,Sie_n_1+10)</f>
        <v>42592</v>
      </c>
      <c r="F5" s="10">
        <f>IF(DAY(Sie_n_1)=1,Sie_n_1+4,Sie_n_1+11)</f>
        <v>42593</v>
      </c>
      <c r="G5" s="10">
        <f>IF(DAY(Sie_n_1)=1,Sie_n_1+5,Sie_n_1+12)</f>
        <v>42594</v>
      </c>
      <c r="H5" s="10">
        <f>IF(DAY(Sie_n_1)=1,Sie_n_1+6,Sie_n_1+13)</f>
        <v>42595</v>
      </c>
      <c r="I5" s="10">
        <f>IF(DAY(Sie_n_1)=1,Sie_n_1+7,Sie_n_1+14)</f>
        <v>42596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IF(DAY(Sie_n_1)=1,Sie_n_1+8,Sie_n_1+15)</f>
        <v>42597</v>
      </c>
      <c r="D6" s="10">
        <f>IF(DAY(Sie_n_1)=1,Sie_n_1+9,Sie_n_1+16)</f>
        <v>42598</v>
      </c>
      <c r="E6" s="10">
        <f>IF(DAY(Sie_n_1)=1,Sie_n_1+10,Sie_n_1+17)</f>
        <v>42599</v>
      </c>
      <c r="F6" s="10">
        <f>IF(DAY(Sie_n_1)=1,Sie_n_1+11,Sie_n_1+18)</f>
        <v>42600</v>
      </c>
      <c r="G6" s="10">
        <f>IF(DAY(Sie_n_1)=1,Sie_n_1+12,Sie_n_1+19)</f>
        <v>42601</v>
      </c>
      <c r="H6" s="10">
        <f>IF(DAY(Sie_n_1)=1,Sie_n_1+13,Sie_n_1+20)</f>
        <v>42602</v>
      </c>
      <c r="I6" s="10">
        <f>IF(DAY(Sie_n_1)=1,Sie_n_1+14,Sie_n_1+21)</f>
        <v>42603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IF(DAY(Sie_n_1)=1,Sie_n_1+15,Sie_n_1+22)</f>
        <v>42604</v>
      </c>
      <c r="D7" s="10">
        <f>IF(DAY(Sie_n_1)=1,Sie_n_1+16,Sie_n_1+23)</f>
        <v>42605</v>
      </c>
      <c r="E7" s="10">
        <f>IF(DAY(Sie_n_1)=1,Sie_n_1+17,Sie_n_1+24)</f>
        <v>42606</v>
      </c>
      <c r="F7" s="10">
        <f>IF(DAY(Sie_n_1)=1,Sie_n_1+18,Sie_n_1+25)</f>
        <v>42607</v>
      </c>
      <c r="G7" s="10">
        <f>IF(DAY(Sie_n_1)=1,Sie_n_1+19,Sie_n_1+26)</f>
        <v>42608</v>
      </c>
      <c r="H7" s="10">
        <f>IF(DAY(Sie_n_1)=1,Sie_n_1+20,Sie_n_1+27)</f>
        <v>42609</v>
      </c>
      <c r="I7" s="10">
        <f>IF(DAY(Sie_n_1)=1,Sie_n_1+21,Sie_n_1+28)</f>
        <v>42610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IF(DAY(Sie_n_1)=1,Sie_n_1+22,Sie_n_1+29)</f>
        <v>42611</v>
      </c>
      <c r="D8" s="10">
        <f>IF(DAY(Sie_n_1)=1,Sie_n_1+23,Sie_n_1+30)</f>
        <v>42612</v>
      </c>
      <c r="E8" s="10">
        <f>IF(DAY(Sie_n_1)=1,Sie_n_1+24,Sie_n_1+31)</f>
        <v>42613</v>
      </c>
      <c r="F8" s="10">
        <f>IF(DAY(Sie_n_1)=1,Sie_n_1+25,Sie_n_1+32)</f>
        <v>42614</v>
      </c>
      <c r="G8" s="10">
        <f>IF(DAY(Sie_n_1)=1,Sie_n_1+26,Sie_n_1+33)</f>
        <v>42615</v>
      </c>
      <c r="H8" s="10">
        <f>IF(DAY(Sie_n_1)=1,Sie_n_1+27,Sie_n_1+34)</f>
        <v>42616</v>
      </c>
      <c r="I8" s="10">
        <f>IF(DAY(Sie_n_1)=1,Sie_n_1+28,Sie_n_1+35)</f>
        <v>42617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IF(DAY(Sie_n_1)=1,Sie_n_1+29,Sie_n_1+36)</f>
        <v>42618</v>
      </c>
      <c r="D9" s="10">
        <f>IF(DAY(Sie_n_1)=1,Sie_n_1+30,Sie_n_1+37)</f>
        <v>42619</v>
      </c>
      <c r="E9" s="10">
        <f>IF(DAY(Sie_n_1)=1,Sie_n_1+31,Sie_n_1+38)</f>
        <v>42620</v>
      </c>
      <c r="F9" s="10">
        <f>IF(DAY(Sie_n_1)=1,Sie_n_1+32,Sie_n_1+39)</f>
        <v>42621</v>
      </c>
      <c r="G9" s="10">
        <f>IF(DAY(Sie_n_1)=1,Sie_n_1+33,Sie_n_1+40)</f>
        <v>42622</v>
      </c>
      <c r="H9" s="10">
        <f>IF(DAY(Sie_n_1)=1,Sie_n_1+34,Sie_n_1+41)</f>
        <v>42623</v>
      </c>
      <c r="I9" s="10">
        <f>IF(DAY(Sie_n_1)=1,Sie_n_1+35,Sie_n_1+42)</f>
        <v>42624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10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10</v>
      </c>
      <c r="D13" s="41"/>
      <c r="E13" s="39" t="s">
        <v>17</v>
      </c>
      <c r="F13" s="41"/>
      <c r="G13" s="39" t="s">
        <v>19</v>
      </c>
      <c r="H13" s="41"/>
      <c r="I13" s="39" t="s">
        <v>22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11</v>
      </c>
      <c r="D16" s="54"/>
      <c r="E16" s="53"/>
      <c r="F16" s="54"/>
      <c r="G16" s="53" t="s">
        <v>11</v>
      </c>
      <c r="H16" s="54"/>
      <c r="I16" s="63"/>
      <c r="J16" s="64"/>
      <c r="K16" s="31" t="s">
        <v>17</v>
      </c>
      <c r="L16" s="16"/>
      <c r="M16" s="37"/>
      <c r="N16" s="38"/>
    </row>
    <row r="17" spans="2:14" ht="18" customHeight="1" x14ac:dyDescent="0.2">
      <c r="B17" s="6"/>
      <c r="C17" s="51" t="s">
        <v>12</v>
      </c>
      <c r="D17" s="52"/>
      <c r="E17" s="51"/>
      <c r="F17" s="52"/>
      <c r="G17" s="51" t="s">
        <v>12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19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22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13</v>
      </c>
      <c r="D30" s="54"/>
      <c r="E30" s="53"/>
      <c r="F30" s="54"/>
      <c r="G30" s="53" t="s">
        <v>13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14</v>
      </c>
      <c r="D31" s="52"/>
      <c r="E31" s="51"/>
      <c r="F31" s="52"/>
      <c r="G31" s="51" t="s">
        <v>14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43" priority="3" stopIfTrue="1">
      <formula>DAY(C4)&gt;8</formula>
    </cfRule>
  </conditionalFormatting>
  <conditionalFormatting sqref="C8:I10">
    <cfRule type="expression" dxfId="42" priority="2" stopIfTrue="1">
      <formula>AND(DAY(C8)&gt;=1,DAY(C8)&lt;=15)</formula>
    </cfRule>
  </conditionalFormatting>
  <conditionalFormatting sqref="C4:I9">
    <cfRule type="expression" dxfId="40" priority="4">
      <formula>VLOOKUP(DAY(C4),Dni_zadania,1,FALSE)=DAY(C4)</formula>
    </cfRule>
  </conditionalFormatting>
  <conditionalFormatting sqref="B14:J33">
    <cfRule type="expression" dxfId="41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23</v>
      </c>
      <c r="L2" s="43">
        <v>2013</v>
      </c>
      <c r="M2" s="43"/>
      <c r="N2" s="79">
        <f>Rok_kalendarzowy</f>
        <v>2016</v>
      </c>
    </row>
    <row r="3" spans="1:14" ht="21" customHeight="1" x14ac:dyDescent="0.2">
      <c r="A3" s="4"/>
      <c r="B3" s="68" t="s">
        <v>37</v>
      </c>
      <c r="C3" s="2" t="s">
        <v>9</v>
      </c>
      <c r="D3" s="2" t="s">
        <v>15</v>
      </c>
      <c r="E3" s="2" t="s">
        <v>16</v>
      </c>
      <c r="F3" s="2" t="s">
        <v>18</v>
      </c>
      <c r="G3" s="2" t="s">
        <v>9</v>
      </c>
      <c r="H3" s="2" t="s">
        <v>20</v>
      </c>
      <c r="I3" s="2" t="s">
        <v>21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IF(DAY(Wrz_n_1)=1,Wrz_n_1-6,Wrz_n_1+1)</f>
        <v>42611</v>
      </c>
      <c r="D4" s="10">
        <f>IF(DAY(Wrz_n_1)=1,Wrz_n_1-5,Wrz_n_1+2)</f>
        <v>42612</v>
      </c>
      <c r="E4" s="10">
        <f>IF(DAY(Wrz_n_1)=1,Wrz_n_1-4,Wrz_n_1+3)</f>
        <v>42613</v>
      </c>
      <c r="F4" s="10">
        <f>IF(DAY(Wrz_n_1)=1,Wrz_n_1-3,Wrz_n_1+4)</f>
        <v>42614</v>
      </c>
      <c r="G4" s="10">
        <f>IF(DAY(Wrz_n_1)=1,Wrz_n_1-2,Wrz_n_1+5)</f>
        <v>42615</v>
      </c>
      <c r="H4" s="10">
        <f>IF(DAY(Wrz_n_1)=1,Wrz_n_1-1,Wrz_n_1+6)</f>
        <v>42616</v>
      </c>
      <c r="I4" s="10">
        <f>IF(DAY(Wrz_n_1)=1,Wrz_n_1,Wrz_n_1+7)</f>
        <v>42617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IF(DAY(Wrz_n_1)=1,Wrz_n_1+1,Wrz_n_1+8)</f>
        <v>42618</v>
      </c>
      <c r="D5" s="10">
        <f>IF(DAY(Wrz_n_1)=1,Wrz_n_1+2,Wrz_n_1+9)</f>
        <v>42619</v>
      </c>
      <c r="E5" s="10">
        <f>IF(DAY(Wrz_n_1)=1,Wrz_n_1+3,Wrz_n_1+10)</f>
        <v>42620</v>
      </c>
      <c r="F5" s="10">
        <f>IF(DAY(Wrz_n_1)=1,Wrz_n_1+4,Wrz_n_1+11)</f>
        <v>42621</v>
      </c>
      <c r="G5" s="10">
        <f>IF(DAY(Wrz_n_1)=1,Wrz_n_1+5,Wrz_n_1+12)</f>
        <v>42622</v>
      </c>
      <c r="H5" s="10">
        <f>IF(DAY(Wrz_n_1)=1,Wrz_n_1+6,Wrz_n_1+13)</f>
        <v>42623</v>
      </c>
      <c r="I5" s="10">
        <f>IF(DAY(Wrz_n_1)=1,Wrz_n_1+7,Wrz_n_1+14)</f>
        <v>42624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IF(DAY(Wrz_n_1)=1,Wrz_n_1+8,Wrz_n_1+15)</f>
        <v>42625</v>
      </c>
      <c r="D6" s="10">
        <f>IF(DAY(Wrz_n_1)=1,Wrz_n_1+9,Wrz_n_1+16)</f>
        <v>42626</v>
      </c>
      <c r="E6" s="10">
        <f>IF(DAY(Wrz_n_1)=1,Wrz_n_1+10,Wrz_n_1+17)</f>
        <v>42627</v>
      </c>
      <c r="F6" s="10">
        <f>IF(DAY(Wrz_n_1)=1,Wrz_n_1+11,Wrz_n_1+18)</f>
        <v>42628</v>
      </c>
      <c r="G6" s="10">
        <f>IF(DAY(Wrz_n_1)=1,Wrz_n_1+12,Wrz_n_1+19)</f>
        <v>42629</v>
      </c>
      <c r="H6" s="10">
        <f>IF(DAY(Wrz_n_1)=1,Wrz_n_1+13,Wrz_n_1+20)</f>
        <v>42630</v>
      </c>
      <c r="I6" s="10">
        <f>IF(DAY(Wrz_n_1)=1,Wrz_n_1+14,Wrz_n_1+21)</f>
        <v>42631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IF(DAY(Wrz_n_1)=1,Wrz_n_1+15,Wrz_n_1+22)</f>
        <v>42632</v>
      </c>
      <c r="D7" s="10">
        <f>IF(DAY(Wrz_n_1)=1,Wrz_n_1+16,Wrz_n_1+23)</f>
        <v>42633</v>
      </c>
      <c r="E7" s="10">
        <f>IF(DAY(Wrz_n_1)=1,Wrz_n_1+17,Wrz_n_1+24)</f>
        <v>42634</v>
      </c>
      <c r="F7" s="10">
        <f>IF(DAY(Wrz_n_1)=1,Wrz_n_1+18,Wrz_n_1+25)</f>
        <v>42635</v>
      </c>
      <c r="G7" s="10">
        <f>IF(DAY(Wrz_n_1)=1,Wrz_n_1+19,Wrz_n_1+26)</f>
        <v>42636</v>
      </c>
      <c r="H7" s="10">
        <f>IF(DAY(Wrz_n_1)=1,Wrz_n_1+20,Wrz_n_1+27)</f>
        <v>42637</v>
      </c>
      <c r="I7" s="10">
        <f>IF(DAY(Wrz_n_1)=1,Wrz_n_1+21,Wrz_n_1+28)</f>
        <v>42638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IF(DAY(Wrz_n_1)=1,Wrz_n_1+22,Wrz_n_1+29)</f>
        <v>42639</v>
      </c>
      <c r="D8" s="10">
        <f>IF(DAY(Wrz_n_1)=1,Wrz_n_1+23,Wrz_n_1+30)</f>
        <v>42640</v>
      </c>
      <c r="E8" s="10">
        <f>IF(DAY(Wrz_n_1)=1,Wrz_n_1+24,Wrz_n_1+31)</f>
        <v>42641</v>
      </c>
      <c r="F8" s="10">
        <f>IF(DAY(Wrz_n_1)=1,Wrz_n_1+25,Wrz_n_1+32)</f>
        <v>42642</v>
      </c>
      <c r="G8" s="10">
        <f>IF(DAY(Wrz_n_1)=1,Wrz_n_1+26,Wrz_n_1+33)</f>
        <v>42643</v>
      </c>
      <c r="H8" s="10">
        <f>IF(DAY(Wrz_n_1)=1,Wrz_n_1+27,Wrz_n_1+34)</f>
        <v>42644</v>
      </c>
      <c r="I8" s="10">
        <f>IF(DAY(Wrz_n_1)=1,Wrz_n_1+28,Wrz_n_1+35)</f>
        <v>42645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IF(DAY(Wrz_n_1)=1,Wrz_n_1+29,Wrz_n_1+36)</f>
        <v>42646</v>
      </c>
      <c r="D9" s="10">
        <f>IF(DAY(Wrz_n_1)=1,Wrz_n_1+30,Wrz_n_1+37)</f>
        <v>42647</v>
      </c>
      <c r="E9" s="10">
        <f>IF(DAY(Wrz_n_1)=1,Wrz_n_1+31,Wrz_n_1+38)</f>
        <v>42648</v>
      </c>
      <c r="F9" s="10">
        <f>IF(DAY(Wrz_n_1)=1,Wrz_n_1+32,Wrz_n_1+39)</f>
        <v>42649</v>
      </c>
      <c r="G9" s="10">
        <f>IF(DAY(Wrz_n_1)=1,Wrz_n_1+33,Wrz_n_1+40)</f>
        <v>42650</v>
      </c>
      <c r="H9" s="10">
        <f>IF(DAY(Wrz_n_1)=1,Wrz_n_1+34,Wrz_n_1+41)</f>
        <v>42651</v>
      </c>
      <c r="I9" s="10">
        <f>IF(DAY(Wrz_n_1)=1,Wrz_n_1+35,Wrz_n_1+42)</f>
        <v>42652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10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10</v>
      </c>
      <c r="D13" s="41"/>
      <c r="E13" s="39" t="s">
        <v>17</v>
      </c>
      <c r="F13" s="41"/>
      <c r="G13" s="39" t="s">
        <v>19</v>
      </c>
      <c r="H13" s="41"/>
      <c r="I13" s="39" t="s">
        <v>22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11</v>
      </c>
      <c r="D16" s="54"/>
      <c r="E16" s="53"/>
      <c r="F16" s="54"/>
      <c r="G16" s="53" t="s">
        <v>11</v>
      </c>
      <c r="H16" s="54"/>
      <c r="I16" s="63"/>
      <c r="J16" s="64"/>
      <c r="K16" s="31" t="s">
        <v>17</v>
      </c>
      <c r="L16" s="16"/>
      <c r="M16" s="37"/>
      <c r="N16" s="38"/>
    </row>
    <row r="17" spans="2:14" ht="18" customHeight="1" x14ac:dyDescent="0.2">
      <c r="B17" s="6"/>
      <c r="C17" s="51" t="s">
        <v>12</v>
      </c>
      <c r="D17" s="52"/>
      <c r="E17" s="51"/>
      <c r="F17" s="52"/>
      <c r="G17" s="51" t="s">
        <v>12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19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22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13</v>
      </c>
      <c r="D30" s="54"/>
      <c r="E30" s="53"/>
      <c r="F30" s="54"/>
      <c r="G30" s="53" t="s">
        <v>13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14</v>
      </c>
      <c r="D31" s="52"/>
      <c r="E31" s="51"/>
      <c r="F31" s="52"/>
      <c r="G31" s="51" t="s">
        <v>14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2" priority="4">
      <formula>VLOOKUP(DAY(C4),Dni_zadania,1,FALSE)=DAY(C4)</formula>
    </cfRule>
  </conditionalFormatting>
  <conditionalFormatting sqref="B14:J33">
    <cfRule type="expression" dxfId="33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37</vt:i4>
      </vt:variant>
    </vt:vector>
  </HeadingPairs>
  <TitlesOfParts>
    <vt:vector size="49" baseType="lpstr">
      <vt:lpstr>Sty</vt:lpstr>
      <vt:lpstr>Lut</vt:lpstr>
      <vt:lpstr>Mar</vt:lpstr>
      <vt:lpstr>Kwi</vt:lpstr>
      <vt:lpstr>Maj</vt:lpstr>
      <vt:lpstr>Cze</vt:lpstr>
      <vt:lpstr>Lip</vt:lpstr>
      <vt:lpstr>Sie</vt:lpstr>
      <vt:lpstr>Wrz</vt:lpstr>
      <vt:lpstr>Paź</vt:lpstr>
      <vt:lpstr>Lis</vt:lpstr>
      <vt:lpstr>Gru</vt:lpstr>
      <vt:lpstr>Cze!Dni_zadania</vt:lpstr>
      <vt:lpstr>Gru!Dni_zadania</vt:lpstr>
      <vt:lpstr>Kwi!Dni_zadania</vt:lpstr>
      <vt:lpstr>Lip!Dni_zadania</vt:lpstr>
      <vt:lpstr>Lis!Dni_zadania</vt:lpstr>
      <vt:lpstr>Lut!Dni_zadania</vt:lpstr>
      <vt:lpstr>Maj!Dni_zadania</vt:lpstr>
      <vt:lpstr>Mar!Dni_zadania</vt:lpstr>
      <vt:lpstr>Paź!Dni_zadania</vt:lpstr>
      <vt:lpstr>Sie!Dni_zadania</vt:lpstr>
      <vt:lpstr>Wrz!Dni_zadania</vt:lpstr>
      <vt:lpstr>Dni_zadania</vt:lpstr>
      <vt:lpstr>Cze!Obszar_wydruku</vt:lpstr>
      <vt:lpstr>Gru!Obszar_wydruku</vt:lpstr>
      <vt:lpstr>Kwi!Obszar_wydruku</vt:lpstr>
      <vt:lpstr>Lip!Obszar_wydruku</vt:lpstr>
      <vt:lpstr>Lis!Obszar_wydruku</vt:lpstr>
      <vt:lpstr>Lut!Obszar_wydruku</vt:lpstr>
      <vt:lpstr>Maj!Obszar_wydruku</vt:lpstr>
      <vt:lpstr>Mar!Obszar_wydruku</vt:lpstr>
      <vt:lpstr>Paź!Obszar_wydruku</vt:lpstr>
      <vt:lpstr>Sie!Obszar_wydruku</vt:lpstr>
      <vt:lpstr>Sty!Obszar_wydruku</vt:lpstr>
      <vt:lpstr>Wrz!Obszar_wydruku</vt:lpstr>
      <vt:lpstr>Rok_kalendarzowy</vt:lpstr>
      <vt:lpstr>Cze!Tabela_ważnych_dat</vt:lpstr>
      <vt:lpstr>Gru!Tabela_ważnych_dat</vt:lpstr>
      <vt:lpstr>Kwi!Tabela_ważnych_dat</vt:lpstr>
      <vt:lpstr>Lip!Tabela_ważnych_dat</vt:lpstr>
      <vt:lpstr>Lis!Tabela_ważnych_dat</vt:lpstr>
      <vt:lpstr>Lut!Tabela_ważnych_dat</vt:lpstr>
      <vt:lpstr>Maj!Tabela_ważnych_dat</vt:lpstr>
      <vt:lpstr>Mar!Tabela_ważnych_dat</vt:lpstr>
      <vt:lpstr>Paź!Tabela_ważnych_dat</vt:lpstr>
      <vt:lpstr>Sie!Tabela_ważnych_dat</vt:lpstr>
      <vt:lpstr>Wrz!Tabela_ważnych_dat</vt:lpstr>
      <vt:lpstr>Tabela_ważnych_dat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Użytkownik systemu Windows</cp:lastModifiedBy>
  <dcterms:created xsi:type="dcterms:W3CDTF">2013-11-22T23:21:45Z</dcterms:created>
  <dcterms:modified xsi:type="dcterms:W3CDTF">2015-10-10T02:35:49Z</dcterms:modified>
</cp:coreProperties>
</file>