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refreshAllConnections="1"/>
  <mc:AlternateContent xmlns:mc="http://schemas.openxmlformats.org/markup-compatibility/2006">
    <mc:Choice Requires="x15">
      <x15ac:absPath xmlns:x15ac="http://schemas.microsoft.com/office/spreadsheetml/2010/11/ac" url="C:\Users\Administrator\Desktop\New task\"/>
    </mc:Choice>
  </mc:AlternateContent>
  <bookViews>
    <workbookView xWindow="0" yWindow="0" windowWidth="28800" windowHeight="14235"/>
  </bookViews>
  <sheets>
    <sheet name="Dateneingabe" sheetId="1" r:id="rId1"/>
    <sheet name="Umsatzbericht" sheetId="2" r:id="rId2"/>
    <sheet name="Umsatzprognose" sheetId="5" r:id="rId3"/>
  </sheets>
  <definedNames>
    <definedName name="_xlnm.Print_Area" localSheetId="2">Umsatzprognose!$B$2:$J$43</definedName>
    <definedName name="_xlnm.Print_Titles" localSheetId="1">Umsatzbericht!$B:$E,Umsatzbericht!$5:$5</definedName>
    <definedName name="fDatum">Umsatzprognose!$D$3</definedName>
    <definedName name="fJahr">Umsatzprognose!$I$2</definedName>
    <definedName name="fMonat">Umsatzprognose!$G$2</definedName>
    <definedName name="fTag">Umsatzprognose!$H$2</definedName>
    <definedName name="PrognoseDatum">Umsatzprognose!$D$3</definedName>
  </definedNames>
  <calcPr calcId="152511"/>
  <pivotCaches>
    <pivotCache cacheId="23" r:id="rId4"/>
  </pivotCaches>
</workbook>
</file>

<file path=xl/calcChain.xml><?xml version="1.0" encoding="utf-8"?>
<calcChain xmlns="http://schemas.openxmlformats.org/spreadsheetml/2006/main">
  <c r="B3" i="5" l="1"/>
  <c r="N7" i="1" l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6" i="1"/>
  <c r="O7" i="1" s="1"/>
  <c r="J6" i="1"/>
  <c r="Q6" i="1" s="1"/>
  <c r="J7" i="1"/>
  <c r="Q7" i="1" s="1"/>
  <c r="J8" i="1"/>
  <c r="Q8" i="1" s="1"/>
  <c r="J9" i="1"/>
  <c r="Q9" i="1" s="1"/>
  <c r="J10" i="1"/>
  <c r="Q10" i="1" s="1"/>
  <c r="J11" i="1"/>
  <c r="Q11" i="1" s="1"/>
  <c r="J12" i="1"/>
  <c r="Q12" i="1" s="1"/>
  <c r="J13" i="1"/>
  <c r="Q13" i="1" s="1"/>
  <c r="J14" i="1"/>
  <c r="Q14" i="1" s="1"/>
  <c r="J15" i="1"/>
  <c r="Q15" i="1" s="1"/>
  <c r="J16" i="1"/>
  <c r="Q16" i="1" s="1"/>
  <c r="J17" i="1"/>
  <c r="Q17" i="1" s="1"/>
  <c r="J18" i="1"/>
  <c r="Q18" i="1" s="1"/>
  <c r="J19" i="1"/>
  <c r="Q19" i="1" s="1"/>
  <c r="J20" i="1"/>
  <c r="Q20" i="1" s="1"/>
  <c r="J21" i="1"/>
  <c r="Q21" i="1" s="1"/>
  <c r="J22" i="1"/>
  <c r="Q22" i="1" s="1"/>
  <c r="J23" i="1"/>
  <c r="Q23" i="1" s="1"/>
  <c r="J24" i="1"/>
  <c r="Q24" i="1" s="1"/>
  <c r="I8" i="1"/>
  <c r="I12" i="1"/>
  <c r="I16" i="1"/>
  <c r="I20" i="1"/>
  <c r="I24" i="1"/>
  <c r="H6" i="1"/>
  <c r="I6" i="1" s="1"/>
  <c r="H7" i="1"/>
  <c r="I7" i="1" s="1"/>
  <c r="H8" i="1"/>
  <c r="H9" i="1"/>
  <c r="I9" i="1" s="1"/>
  <c r="H10" i="1"/>
  <c r="I10" i="1" s="1"/>
  <c r="H11" i="1"/>
  <c r="I11" i="1" s="1"/>
  <c r="H12" i="1"/>
  <c r="H13" i="1"/>
  <c r="I13" i="1" s="1"/>
  <c r="H14" i="1"/>
  <c r="I14" i="1" s="1"/>
  <c r="H15" i="1"/>
  <c r="I15" i="1" s="1"/>
  <c r="H16" i="1"/>
  <c r="H17" i="1"/>
  <c r="I17" i="1" s="1"/>
  <c r="H18" i="1"/>
  <c r="I18" i="1" s="1"/>
  <c r="H19" i="1"/>
  <c r="I19" i="1" s="1"/>
  <c r="H20" i="1"/>
  <c r="H21" i="1"/>
  <c r="I21" i="1" s="1"/>
  <c r="H22" i="1"/>
  <c r="I22" i="1" s="1"/>
  <c r="H23" i="1"/>
  <c r="I23" i="1" s="1"/>
  <c r="H24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6" i="1"/>
  <c r="M22" i="1" l="1"/>
  <c r="M18" i="1"/>
  <c r="M14" i="1"/>
  <c r="M10" i="1"/>
  <c r="M23" i="1"/>
  <c r="M21" i="1"/>
  <c r="M19" i="1"/>
  <c r="M17" i="1"/>
  <c r="M15" i="1"/>
  <c r="M13" i="1"/>
  <c r="M11" i="1"/>
  <c r="M9" i="1"/>
  <c r="M7" i="1"/>
  <c r="M20" i="1"/>
  <c r="M16" i="1"/>
  <c r="M12" i="1"/>
  <c r="M8" i="1"/>
  <c r="M24" i="1"/>
  <c r="M6" i="1"/>
  <c r="P23" i="1" s="1"/>
  <c r="O8" i="1"/>
  <c r="O10" i="1"/>
  <c r="O12" i="1"/>
  <c r="O14" i="1"/>
  <c r="O16" i="1"/>
  <c r="O18" i="1"/>
  <c r="O20" i="1"/>
  <c r="O22" i="1"/>
  <c r="O24" i="1"/>
  <c r="O6" i="1"/>
  <c r="O23" i="1"/>
  <c r="O21" i="1"/>
  <c r="O19" i="1"/>
  <c r="O17" i="1"/>
  <c r="O15" i="1"/>
  <c r="O13" i="1"/>
  <c r="O11" i="1"/>
  <c r="O9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J1" i="1"/>
  <c r="P24" i="1" l="1"/>
  <c r="P10" i="1"/>
  <c r="P14" i="1"/>
  <c r="P18" i="1"/>
  <c r="P22" i="1"/>
  <c r="P6" i="1"/>
  <c r="P8" i="1"/>
  <c r="P12" i="1"/>
  <c r="P16" i="1"/>
  <c r="P20" i="1"/>
  <c r="P7" i="1"/>
  <c r="P9" i="1"/>
  <c r="P11" i="1"/>
  <c r="P13" i="1"/>
  <c r="P15" i="1"/>
  <c r="P17" i="1"/>
  <c r="P19" i="1"/>
  <c r="P21" i="1"/>
  <c r="D3" i="5"/>
  <c r="F14" i="5" l="1"/>
  <c r="I14" i="5"/>
  <c r="D14" i="5"/>
  <c r="H7" i="5"/>
  <c r="H8" i="5"/>
  <c r="G8" i="5"/>
  <c r="G10" i="5"/>
  <c r="G6" i="5"/>
  <c r="G7" i="5"/>
  <c r="D7" i="5"/>
  <c r="D8" i="5"/>
  <c r="C8" i="5"/>
  <c r="C10" i="5"/>
  <c r="C6" i="5"/>
  <c r="C7" i="5"/>
  <c r="J7" i="5" l="1"/>
  <c r="G9" i="5"/>
  <c r="H9" i="5"/>
  <c r="J8" i="5"/>
  <c r="G11" i="5"/>
  <c r="I8" i="5"/>
  <c r="I7" i="5"/>
  <c r="J9" i="5" l="1"/>
  <c r="F7" i="5"/>
  <c r="C11" i="5"/>
  <c r="F8" i="5"/>
  <c r="D9" i="5"/>
  <c r="C9" i="5"/>
  <c r="E8" i="5"/>
  <c r="E7" i="5"/>
  <c r="F9" i="5" l="1"/>
</calcChain>
</file>

<file path=xl/sharedStrings.xml><?xml version="1.0" encoding="utf-8"?>
<sst xmlns="http://schemas.openxmlformats.org/spreadsheetml/2006/main" count="94" uniqueCount="57">
  <si>
    <t>A. Datum Corporation</t>
  </si>
  <si>
    <t>Contoso Pharmaceuticals</t>
  </si>
  <si>
    <t>Consolidated Messenger</t>
  </si>
  <si>
    <t>Proseware, Inc.</t>
  </si>
  <si>
    <t>Trey Research</t>
  </si>
  <si>
    <t>%</t>
  </si>
  <si>
    <t>Menge</t>
  </si>
  <si>
    <t>Erträge</t>
  </si>
  <si>
    <t>Gewinnspanne</t>
  </si>
  <si>
    <t>Anzahl Aufträge</t>
  </si>
  <si>
    <t>Durchschnittlicher Auftragswert</t>
  </si>
  <si>
    <t>Umsatz</t>
  </si>
  <si>
    <t>JAHR BIS HEUTE IN %</t>
  </si>
  <si>
    <r>
      <rPr>
        <sz val="22"/>
        <color theme="3"/>
        <rFont val="Arial Black"/>
        <family val="2"/>
        <scheme val="major"/>
      </rPr>
      <t xml:space="preserve">MONATLICH </t>
    </r>
    <r>
      <rPr>
        <sz val="22"/>
        <color theme="4"/>
        <rFont val="Arial"/>
        <family val="2"/>
        <scheme val="minor"/>
      </rPr>
      <t>DATENEINGABE</t>
    </r>
  </si>
  <si>
    <t>MONAT</t>
  </si>
  <si>
    <t>QUARTAL</t>
  </si>
  <si>
    <t xml:space="preserve">MONAT </t>
  </si>
  <si>
    <t xml:space="preserve">QUARTAL </t>
  </si>
  <si>
    <t xml:space="preserve">JÄHRLICH </t>
  </si>
  <si>
    <t>JAHR</t>
  </si>
  <si>
    <t xml:space="preserve">MONAT  </t>
  </si>
  <si>
    <t xml:space="preserve">QUARTAL  </t>
  </si>
  <si>
    <t xml:space="preserve">JAHR  </t>
  </si>
  <si>
    <t>DATUM</t>
  </si>
  <si>
    <t>FIRMA</t>
  </si>
  <si>
    <t>BETRAG</t>
  </si>
  <si>
    <t>GEPLANT</t>
  </si>
  <si>
    <t>KOSTEN</t>
  </si>
  <si>
    <t>ERTRAG</t>
  </si>
  <si>
    <t>MONAT NR (AUSBLENDEN)</t>
  </si>
  <si>
    <t>PROGNOSE</t>
  </si>
  <si>
    <t>SUMMEN</t>
  </si>
  <si>
    <r>
      <rPr>
        <sz val="22"/>
        <color theme="3"/>
        <rFont val="Arial Black"/>
        <family val="2"/>
        <scheme val="major"/>
      </rPr>
      <t xml:space="preserve">MONATLICH </t>
    </r>
    <r>
      <rPr>
        <sz val="22"/>
        <color theme="4"/>
        <rFont val="Arial"/>
        <family val="2"/>
        <scheme val="minor"/>
      </rPr>
      <t>UMSATZPROGNOSE</t>
    </r>
  </si>
  <si>
    <t>DIESER MONAT</t>
  </si>
  <si>
    <t>IST</t>
  </si>
  <si>
    <t>PLAN</t>
  </si>
  <si>
    <t>ABWEICHUNG</t>
  </si>
  <si>
    <t>IST JAHR BIS HEUTE</t>
  </si>
  <si>
    <t>PLAN JAHR BIS HEUTE</t>
  </si>
  <si>
    <t>ABWEICHUNG JAHR BIS HEUTE</t>
  </si>
  <si>
    <t>NÄCHSTER MONAT</t>
  </si>
  <si>
    <t>NÄCHSTES QUARTAL</t>
  </si>
  <si>
    <t>NÄCHSTES JAHR</t>
  </si>
  <si>
    <t>UMSATZVERLAUF</t>
  </si>
  <si>
    <t>JAHRESPROGNOSE</t>
  </si>
  <si>
    <t>ERTRAGSSTROM</t>
  </si>
  <si>
    <t>MONATLICHE PROGNOSE</t>
  </si>
  <si>
    <t>QUARTALSPROGNOSE</t>
  </si>
  <si>
    <t xml:space="preserve"> </t>
  </si>
  <si>
    <t>Gesamtergebnis</t>
  </si>
  <si>
    <r>
      <rPr>
        <sz val="22"/>
        <color theme="3"/>
        <rFont val="Arial Black"/>
        <family val="2"/>
        <scheme val="major"/>
      </rPr>
      <t xml:space="preserve">MONATLICH </t>
    </r>
    <r>
      <rPr>
        <sz val="22"/>
        <color theme="4"/>
        <rFont val="Arial"/>
        <family val="2"/>
        <scheme val="minor"/>
      </rPr>
      <t>UMSATZBERICHT</t>
    </r>
  </si>
  <si>
    <t>Summe von BETRAG</t>
  </si>
  <si>
    <t>2013 Ergebnis</t>
  </si>
  <si>
    <t>Quartal 2 Ergebnis</t>
  </si>
  <si>
    <t>Quartal 3 Ergebnis</t>
  </si>
  <si>
    <t>Quartal 4 Ergebnis</t>
  </si>
  <si>
    <t>Hochschule der Schönen Künste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</si>
</sst>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€_-;\-* #,##0.00\ _€_-;_-* &quot;-&quot;??\ _€_-;_-@_-"/>
    <numFmt numFmtId="165" formatCode="&quot;$&quot;#,##0.00"/>
    <numFmt numFmtId="166" formatCode="mmmm"/>
    <numFmt numFmtId="167" formatCode="#,##0.00\ &quot;€&quot;"/>
    <numFmt numFmtId="168" formatCode="&quot;Quartal &quot;0"/>
  </numFmts>
  <fonts count="18" x14ac:knownFonts="1">
    <font>
      <sz val="8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8"/>
      <color theme="1"/>
      <name val="Arial"/>
      <family val="2"/>
      <scheme val="minor"/>
    </font>
    <font>
      <sz val="22"/>
      <name val="Arial Black"/>
      <family val="1"/>
      <scheme val="major"/>
    </font>
    <font>
      <sz val="22"/>
      <color theme="4"/>
      <name val="Arial"/>
      <family val="2"/>
      <scheme val="minor"/>
    </font>
    <font>
      <sz val="22"/>
      <color theme="3"/>
      <name val="Arial Black"/>
      <family val="2"/>
      <scheme val="major"/>
    </font>
    <font>
      <sz val="10"/>
      <color theme="5"/>
      <name val="Arial"/>
      <family val="2"/>
      <scheme val="minor"/>
    </font>
    <font>
      <b/>
      <sz val="10"/>
      <color theme="5"/>
      <name val="Arial"/>
      <family val="2"/>
      <scheme val="minor"/>
    </font>
    <font>
      <sz val="8"/>
      <color theme="3"/>
      <name val="Arial"/>
      <family val="2"/>
      <scheme val="minor"/>
    </font>
    <font>
      <b/>
      <sz val="8"/>
      <color theme="1"/>
      <name val="Arial"/>
      <family val="2"/>
      <scheme val="minor"/>
    </font>
    <font>
      <b/>
      <sz val="8"/>
      <color theme="3"/>
      <name val="Arial"/>
      <family val="2"/>
      <scheme val="minor"/>
    </font>
    <font>
      <sz val="6"/>
      <color theme="3"/>
      <name val="Arial"/>
      <family val="2"/>
      <scheme val="minor"/>
    </font>
    <font>
      <sz val="10"/>
      <color theme="0"/>
      <name val="Arial"/>
      <family val="2"/>
      <scheme val="minor"/>
    </font>
    <font>
      <sz val="12"/>
      <color theme="1" tint="0.249977111117893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color theme="1"/>
      <name val="Arial Black"/>
      <scheme val="major"/>
    </font>
    <font>
      <sz val="10"/>
      <color theme="1"/>
      <name val="Arial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theme="3" tint="0.79998168889431442"/>
      </top>
      <bottom style="thin">
        <color theme="3" tint="0.79998168889431442"/>
      </bottom>
      <diagonal/>
    </border>
    <border>
      <left/>
      <right/>
      <top style="thin">
        <color theme="3" tint="0.59996337778862885"/>
      </top>
      <bottom style="thin">
        <color theme="3" tint="0.79998168889431442"/>
      </bottom>
      <diagonal/>
    </border>
    <border>
      <left/>
      <right/>
      <top style="thin">
        <color theme="3" tint="0.59996337778862885"/>
      </top>
      <bottom/>
      <diagonal/>
    </border>
    <border>
      <left/>
      <right/>
      <top/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/>
      <diagonal/>
    </border>
    <border>
      <left/>
      <right style="thin">
        <color theme="3" tint="0.59996337778862885"/>
      </right>
      <top style="thin">
        <color theme="3" tint="0.59996337778862885"/>
      </top>
      <bottom/>
      <diagonal/>
    </border>
  </borders>
  <cellStyleXfs count="5">
    <xf numFmtId="0" fontId="0" fillId="0" borderId="0">
      <alignment vertical="center"/>
    </xf>
    <xf numFmtId="164" fontId="1" fillId="0" borderId="0" applyFont="0" applyFill="0" applyBorder="0" applyAlignment="0" applyProtection="0"/>
    <xf numFmtId="0" fontId="6" fillId="0" borderId="0" applyNumberFormat="0" applyFill="0" applyProtection="0">
      <alignment vertical="center"/>
    </xf>
    <xf numFmtId="0" fontId="5" fillId="0" borderId="0" applyNumberFormat="0" applyFill="0" applyProtection="0">
      <alignment vertical="center"/>
    </xf>
    <xf numFmtId="0" fontId="7" fillId="0" borderId="0" applyNumberFormat="0" applyFill="0" applyBorder="0" applyAlignment="0" applyProtection="0"/>
  </cellStyleXfs>
  <cellXfs count="63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12" fillId="0" borderId="0" xfId="0" applyFont="1" applyAlignment="1">
      <alignment horizontal="centerContinuous"/>
    </xf>
    <xf numFmtId="0" fontId="11" fillId="0" borderId="2" xfId="0" applyFont="1" applyFill="1" applyBorder="1" applyAlignment="1">
      <alignment horizontal="left" vertical="center"/>
    </xf>
    <xf numFmtId="0" fontId="9" fillId="0" borderId="2" xfId="1" applyNumberFormat="1" applyFont="1" applyFill="1" applyBorder="1" applyAlignment="1">
      <alignment horizontal="left" vertical="center"/>
    </xf>
    <xf numFmtId="0" fontId="9" fillId="0" borderId="2" xfId="0" applyNumberFormat="1" applyFont="1" applyFill="1" applyBorder="1" applyAlignment="1">
      <alignment horizontal="left" vertical="center"/>
    </xf>
    <xf numFmtId="10" fontId="9" fillId="0" borderId="2" xfId="0" applyNumberFormat="1" applyFont="1" applyFill="1" applyBorder="1" applyAlignment="1">
      <alignment horizontal="left" vertical="center"/>
    </xf>
    <xf numFmtId="10" fontId="9" fillId="0" borderId="2" xfId="0" applyNumberFormat="1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left" vertical="center"/>
    </xf>
    <xf numFmtId="10" fontId="9" fillId="5" borderId="1" xfId="0" applyNumberFormat="1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right" vertical="center"/>
    </xf>
    <xf numFmtId="165" fontId="7" fillId="0" borderId="4" xfId="0" applyNumberFormat="1" applyFont="1" applyFill="1" applyBorder="1" applyAlignment="1">
      <alignment horizontal="left"/>
    </xf>
    <xf numFmtId="165" fontId="9" fillId="0" borderId="3" xfId="0" applyNumberFormat="1" applyFont="1" applyBorder="1" applyAlignment="1">
      <alignment horizontal="left"/>
    </xf>
    <xf numFmtId="0" fontId="14" fillId="0" borderId="0" xfId="0" applyFont="1" applyAlignment="1">
      <alignment horizontal="left"/>
    </xf>
    <xf numFmtId="165" fontId="14" fillId="0" borderId="0" xfId="0" applyNumberFormat="1" applyFont="1" applyFill="1" applyBorder="1" applyAlignment="1">
      <alignment horizontal="left" vertical="center"/>
    </xf>
    <xf numFmtId="14" fontId="13" fillId="0" borderId="0" xfId="0" applyNumberFormat="1" applyFont="1" applyAlignment="1">
      <alignment horizontal="right"/>
    </xf>
    <xf numFmtId="0" fontId="9" fillId="0" borderId="0" xfId="0" applyFont="1" applyAlignment="1">
      <alignment horizontal="centerContinuous"/>
    </xf>
    <xf numFmtId="0" fontId="0" fillId="0" borderId="5" xfId="0" applyBorder="1">
      <alignment vertical="center"/>
    </xf>
    <xf numFmtId="0" fontId="0" fillId="0" borderId="3" xfId="0" applyBorder="1">
      <alignment vertical="center"/>
    </xf>
    <xf numFmtId="0" fontId="0" fillId="0" borderId="6" xfId="0" applyBorder="1">
      <alignment vertical="center"/>
    </xf>
    <xf numFmtId="0" fontId="0" fillId="0" borderId="0" xfId="0" applyBorder="1">
      <alignment vertical="center"/>
    </xf>
    <xf numFmtId="0" fontId="3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10" fillId="0" borderId="0" xfId="0" applyFont="1">
      <alignment vertical="center"/>
    </xf>
    <xf numFmtId="0" fontId="0" fillId="0" borderId="0" xfId="0" applyAlignment="1">
      <alignment horizontal="left" vertical="center"/>
    </xf>
    <xf numFmtId="165" fontId="7" fillId="0" borderId="4" xfId="4" applyNumberFormat="1" applyFill="1" applyBorder="1" applyAlignment="1">
      <alignment horizontal="left" vertical="center"/>
    </xf>
    <xf numFmtId="165" fontId="7" fillId="0" borderId="4" xfId="4" applyNumberFormat="1" applyFill="1" applyBorder="1" applyAlignment="1">
      <alignment horizontal="right" vertical="center"/>
    </xf>
    <xf numFmtId="0" fontId="11" fillId="0" borderId="3" xfId="0" applyFont="1" applyFill="1" applyBorder="1" applyAlignment="1">
      <alignment horizontal="left"/>
    </xf>
    <xf numFmtId="165" fontId="11" fillId="0" borderId="3" xfId="0" applyNumberFormat="1" applyFont="1" applyBorder="1" applyAlignment="1">
      <alignment horizontal="left"/>
    </xf>
    <xf numFmtId="0" fontId="11" fillId="0" borderId="3" xfId="0" applyFont="1" applyBorder="1" applyAlignment="1">
      <alignment horizontal="left" vertical="center"/>
    </xf>
    <xf numFmtId="0" fontId="7" fillId="0" borderId="4" xfId="4" applyBorder="1" applyAlignment="1">
      <alignment horizontal="left" vertical="center"/>
    </xf>
    <xf numFmtId="0" fontId="9" fillId="5" borderId="2" xfId="1" applyNumberFormat="1" applyFont="1" applyFill="1" applyBorder="1" applyAlignment="1">
      <alignment horizontal="left" vertical="center" indent="1"/>
    </xf>
    <xf numFmtId="10" fontId="9" fillId="5" borderId="1" xfId="0" applyNumberFormat="1" applyFont="1" applyFill="1" applyBorder="1" applyAlignment="1">
      <alignment horizontal="left" vertical="center" indent="1"/>
    </xf>
    <xf numFmtId="0" fontId="9" fillId="5" borderId="1" xfId="0" applyFont="1" applyFill="1" applyBorder="1" applyAlignment="1">
      <alignment horizontal="left" vertical="center" indent="1"/>
    </xf>
    <xf numFmtId="0" fontId="9" fillId="0" borderId="2" xfId="1" applyNumberFormat="1" applyFont="1" applyFill="1" applyBorder="1" applyAlignment="1">
      <alignment horizontal="left" vertical="center" indent="1"/>
    </xf>
    <xf numFmtId="165" fontId="7" fillId="0" borderId="4" xfId="4" applyNumberFormat="1" applyFill="1" applyBorder="1" applyAlignment="1">
      <alignment horizontal="left" vertical="center" indent="1"/>
    </xf>
    <xf numFmtId="0" fontId="8" fillId="0" borderId="4" xfId="4" applyFont="1" applyFill="1" applyBorder="1" applyAlignment="1">
      <alignment horizontal="left" vertical="center"/>
    </xf>
    <xf numFmtId="14" fontId="10" fillId="0" borderId="0" xfId="0" applyNumberFormat="1" applyFont="1" applyAlignment="1">
      <alignment horizontal="left" vertical="center"/>
    </xf>
    <xf numFmtId="0" fontId="0" fillId="0" borderId="0" xfId="0" pivotButton="1">
      <alignment vertical="center"/>
    </xf>
    <xf numFmtId="167" fontId="9" fillId="5" borderId="1" xfId="0" applyNumberFormat="1" applyFont="1" applyFill="1" applyBorder="1" applyAlignment="1">
      <alignment horizontal="left" vertical="center" indent="1"/>
    </xf>
    <xf numFmtId="167" fontId="11" fillId="0" borderId="3" xfId="0" applyNumberFormat="1" applyFont="1" applyBorder="1" applyAlignment="1">
      <alignment horizontal="left"/>
    </xf>
    <xf numFmtId="0" fontId="15" fillId="0" borderId="0" xfId="0" applyFont="1">
      <alignment vertical="center"/>
    </xf>
    <xf numFmtId="167" fontId="0" fillId="0" borderId="0" xfId="0" applyNumberFormat="1">
      <alignment vertical="center"/>
    </xf>
    <xf numFmtId="168" fontId="0" fillId="0" borderId="0" xfId="0" applyNumberFormat="1">
      <alignment vertical="center"/>
    </xf>
    <xf numFmtId="166" fontId="0" fillId="0" borderId="0" xfId="0" applyNumberFormat="1" applyAlignment="1">
      <alignment horizontal="left" vertical="center"/>
    </xf>
    <xf numFmtId="168" fontId="0" fillId="0" borderId="0" xfId="0" applyNumberFormat="1" applyAlignment="1">
      <alignment horizontal="left" vertical="center"/>
    </xf>
    <xf numFmtId="0" fontId="10" fillId="0" borderId="0" xfId="0" applyFont="1" applyAlignment="1">
      <alignment horizontal="left" vertical="center"/>
    </xf>
    <xf numFmtId="167" fontId="10" fillId="0" borderId="0" xfId="0" applyNumberFormat="1" applyFont="1" applyAlignment="1">
      <alignment horizontal="left" vertical="center"/>
    </xf>
    <xf numFmtId="167" fontId="0" fillId="5" borderId="0" xfId="0" applyNumberFormat="1" applyFill="1" applyAlignment="1">
      <alignment horizontal="left" vertical="center"/>
    </xf>
    <xf numFmtId="166" fontId="0" fillId="5" borderId="0" xfId="0" applyNumberFormat="1" applyFill="1" applyAlignment="1">
      <alignment horizontal="left" vertical="center"/>
    </xf>
    <xf numFmtId="168" fontId="0" fillId="5" borderId="0" xfId="0" applyNumberFormat="1" applyFill="1" applyAlignment="1">
      <alignment horizontal="left" vertical="center"/>
    </xf>
    <xf numFmtId="0" fontId="0" fillId="5" borderId="0" xfId="0" applyFill="1" applyAlignment="1">
      <alignment horizontal="left" vertical="center"/>
    </xf>
    <xf numFmtId="167" fontId="0" fillId="3" borderId="0" xfId="0" applyNumberFormat="1" applyFill="1" applyAlignment="1">
      <alignment horizontal="left" vertical="center"/>
    </xf>
    <xf numFmtId="167" fontId="0" fillId="4" borderId="0" xfId="0" applyNumberForma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167" fontId="10" fillId="0" borderId="0" xfId="0" applyNumberFormat="1" applyFont="1">
      <alignment vertical="center"/>
    </xf>
    <xf numFmtId="0" fontId="16" fillId="0" borderId="0" xfId="0" pivotButton="1" applyFont="1">
      <alignment vertical="center"/>
    </xf>
    <xf numFmtId="0" fontId="17" fillId="0" borderId="0" xfId="0" applyFont="1" applyAlignment="1">
      <alignment horizontal="right" vertical="center"/>
    </xf>
  </cellXfs>
  <cellStyles count="5">
    <cellStyle name="Komma" xfId="1" builtinId="3"/>
    <cellStyle name="Standard" xfId="0" builtinId="0" customBuiltin="1"/>
    <cellStyle name="Überschrift 1" xfId="2" builtinId="16" customBuiltin="1"/>
    <cellStyle name="Überschrift 2" xfId="3" builtinId="17" customBuiltin="1"/>
    <cellStyle name="Überschrift 4" xfId="4" builtinId="19" customBuiltin="1"/>
  </cellStyles>
  <dxfs count="50">
    <dxf>
      <font>
        <name val="Arial Black"/>
        <scheme val="major"/>
      </font>
    </dxf>
    <dxf>
      <font>
        <sz val="1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minor"/>
      </font>
      <alignment horizontal="general" vertical="center" textRotation="0" wrapText="0" indent="0" justifyLastLine="0" shrinkToFit="0" readingOrder="0"/>
    </dxf>
    <dxf>
      <font>
        <sz val="10"/>
      </font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numFmt numFmtId="167" formatCode="#,##0.00\ &quot;€&quot;"/>
    </dxf>
    <dxf>
      <font>
        <b/>
      </font>
    </dxf>
    <dxf>
      <font>
        <b/>
      </font>
    </dxf>
    <dxf>
      <alignment horizontal="right" readingOrder="0"/>
    </dxf>
    <dxf>
      <border>
        <left/>
        <right/>
        <top style="thin">
          <color theme="3" tint="0.79998168889431442"/>
        </top>
        <bottom/>
        <vertical/>
        <horizontal/>
      </border>
    </dxf>
    <dxf>
      <border>
        <left/>
        <right/>
        <top style="thin">
          <color theme="3" tint="0.79998168889431442"/>
        </top>
        <bottom/>
        <vertical/>
        <horizontal/>
      </border>
    </dxf>
    <dxf>
      <font>
        <b/>
        <i/>
        <color theme="3"/>
      </font>
      <border>
        <left/>
        <right/>
        <top/>
        <bottom style="thin">
          <color theme="3" tint="0.79998168889431442"/>
        </bottom>
        <vertical/>
        <horizontal/>
      </border>
    </dxf>
    <dxf>
      <font>
        <b/>
        <i/>
        <color theme="3"/>
      </font>
      <border>
        <left/>
        <right/>
        <top/>
        <bottom style="thin">
          <color theme="3" tint="0.79998168889431442"/>
        </bottom>
        <vertical/>
        <horizontal/>
      </border>
    </dxf>
    <dxf>
      <border>
        <left/>
        <right/>
        <top style="thin">
          <color theme="3" tint="0.79998168889431442"/>
        </top>
        <bottom/>
        <vertical/>
        <horizontal/>
      </border>
    </dxf>
    <dxf>
      <border>
        <left/>
        <right/>
        <top style="thin">
          <color theme="3" tint="0.79998168889431442"/>
        </top>
        <bottom/>
        <vertical/>
        <horizontal/>
      </border>
    </dxf>
    <dxf>
      <font>
        <b/>
        <i/>
        <color theme="3"/>
      </font>
      <border>
        <left/>
        <right/>
        <top/>
        <bottom style="thin">
          <color theme="3" tint="0.79998168889431442"/>
        </bottom>
        <vertical/>
        <horizontal/>
      </border>
    </dxf>
    <dxf>
      <numFmt numFmtId="167" formatCode="#,##0.00\ &quot;€&quot;"/>
      <fill>
        <patternFill patternType="solid">
          <fgColor indexed="64"/>
          <bgColor theme="4" tint="0.79998168889431442"/>
        </patternFill>
      </fill>
      <alignment horizontal="left" vertical="center" textRotation="0" wrapText="0" indent="0" justifyLastLine="0" shrinkToFit="0" readingOrder="0"/>
    </dxf>
    <dxf>
      <numFmt numFmtId="167" formatCode="#,##0.00\ &quot;€&quot;"/>
      <fill>
        <patternFill patternType="solid">
          <fgColor indexed="64"/>
          <bgColor theme="4" tint="0.79998168889431442"/>
        </patternFill>
      </fill>
      <alignment horizontal="left" vertical="center" textRotation="0" wrapText="0" indent="0" justifyLastLine="0" shrinkToFit="0" readingOrder="0"/>
    </dxf>
    <dxf>
      <numFmt numFmtId="167" formatCode="#,##0.00\ &quot;€&quot;"/>
      <fill>
        <patternFill patternType="solid">
          <fgColor indexed="64"/>
          <bgColor theme="4" tint="0.79998168889431442"/>
        </patternFill>
      </fill>
      <alignment horizontal="left" vertical="center" textRotation="0" wrapText="0" indent="0" justifyLastLine="0" shrinkToFit="0" readingOrder="0"/>
    </dxf>
    <dxf>
      <numFmt numFmtId="167" formatCode="#,##0.00\ &quot;€&quot;"/>
      <fill>
        <patternFill patternType="solid">
          <fgColor indexed="64"/>
          <bgColor theme="4" tint="0.59999389629810485"/>
        </patternFill>
      </fill>
      <alignment horizontal="left" vertical="center" textRotation="0" wrapText="0" indent="0" justifyLastLine="0" shrinkToFit="0" readingOrder="0"/>
    </dxf>
    <dxf>
      <numFmt numFmtId="167" formatCode="#,##0.00\ &quot;€&quot;"/>
      <fill>
        <patternFill patternType="solid">
          <fgColor indexed="64"/>
          <bgColor theme="4" tint="0.59999389629810485"/>
        </patternFill>
      </fill>
      <alignment horizontal="left" vertical="center" textRotation="0" wrapText="0" indent="0" justifyLastLine="0" shrinkToFit="0" readingOrder="0"/>
    </dxf>
    <dxf>
      <numFmt numFmtId="167" formatCode="#,##0.00\ &quot;€&quot;"/>
      <fill>
        <patternFill patternType="solid">
          <fgColor indexed="64"/>
          <bgColor theme="4" tint="0.59999389629810485"/>
        </patternFill>
      </fill>
      <alignment horizontal="left" vertical="center" textRotation="0" wrapText="0" indent="0" justifyLastLine="0" shrinkToFit="0" readingOrder="0"/>
    </dxf>
    <dxf>
      <fill>
        <patternFill patternType="solid">
          <fgColor indexed="64"/>
          <bgColor theme="2" tint="-9.9978637043366805E-2"/>
        </patternFill>
      </fill>
      <alignment horizontal="left" vertical="center" textRotation="0" wrapText="0" indent="0" justifyLastLine="0" shrinkToFit="0" readingOrder="0"/>
    </dxf>
    <dxf>
      <fill>
        <patternFill patternType="solid">
          <fgColor indexed="64"/>
          <bgColor theme="4" tint="0.39997558519241921"/>
        </patternFill>
      </fill>
      <alignment horizontal="left" vertical="center" textRotation="0" wrapText="0" indent="0" justifyLastLine="0" shrinkToFit="0" readingOrder="0"/>
    </dxf>
    <dxf>
      <numFmt numFmtId="168" formatCode="&quot;Quartal &quot;0"/>
      <fill>
        <patternFill patternType="solid">
          <fgColor indexed="64"/>
          <bgColor theme="4" tint="0.39997558519241921"/>
        </patternFill>
      </fill>
      <alignment horizontal="left" vertical="center" textRotation="0" wrapText="0" indent="0" justifyLastLine="0" shrinkToFit="0" readingOrder="0"/>
    </dxf>
    <dxf>
      <numFmt numFmtId="166" formatCode="mmmm"/>
      <fill>
        <patternFill patternType="solid">
          <fgColor indexed="64"/>
          <bgColor theme="4" tint="0.39997558519241921"/>
        </patternFill>
      </fill>
      <alignment horizontal="left" vertical="center" textRotation="0" wrapText="0" indent="0" justifyLastLine="0" shrinkToFit="0" readingOrder="0"/>
    </dxf>
    <dxf>
      <numFmt numFmtId="167" formatCode="#,##0.00\ &quot;€&quot;"/>
      <fill>
        <patternFill patternType="solid">
          <fgColor indexed="64"/>
          <bgColor theme="4" tint="0.39997558519241921"/>
        </patternFill>
      </fill>
      <alignment horizontal="left" vertical="center" textRotation="0" wrapText="0" indent="0" justifyLastLine="0" shrinkToFit="0" readingOrder="0"/>
    </dxf>
    <dxf>
      <font>
        <b/>
      </font>
      <numFmt numFmtId="167" formatCode="#,##0.00\ &quot;€&quot;"/>
      <alignment horizontal="left" vertical="center" textRotation="0" wrapText="0" indent="0" justifyLastLine="0" shrinkToFit="0" readingOrder="0"/>
    </dxf>
    <dxf>
      <font>
        <b/>
      </font>
      <numFmt numFmtId="167" formatCode="#,##0.00\ &quot;€&quot;"/>
      <alignment horizontal="left" vertical="center" textRotation="0" wrapText="0" indent="0" justifyLastLine="0" shrinkToFit="0" readingOrder="0"/>
    </dxf>
    <dxf>
      <font>
        <b/>
      </font>
      <numFmt numFmtId="167" formatCode="#,##0.00\ &quot;€&quot;"/>
      <alignment horizontal="left" vertical="center" textRotation="0" wrapText="0" indent="0" justifyLastLine="0" shrinkToFit="0" readingOrder="0"/>
    </dxf>
    <dxf>
      <font>
        <b/>
      </font>
      <alignment horizontal="left" vertical="center" textRotation="0" wrapText="0" indent="0" justifyLastLine="0" shrinkToFit="0" readingOrder="0"/>
    </dxf>
    <dxf>
      <font>
        <b/>
      </font>
      <numFmt numFmtId="169" formatCode="dd/mm/yyyy"/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 val="0"/>
        <i val="0"/>
        <color theme="5"/>
      </font>
      <border diagonalUp="0" diagonalDown="0">
        <left/>
        <right/>
        <top/>
        <bottom style="thin">
          <color theme="3" tint="0.79998168889431442"/>
        </bottom>
        <vertical/>
        <horizontal/>
      </border>
    </dxf>
    <dxf>
      <font>
        <b val="0"/>
        <i val="0"/>
        <color theme="3"/>
      </font>
      <border diagonalUp="0" diagonalDown="0">
        <left/>
        <right/>
        <top style="thin">
          <color theme="0"/>
        </top>
        <bottom style="thin">
          <color theme="0"/>
        </bottom>
        <vertical/>
        <horizontal style="thin">
          <color theme="0"/>
        </horizontal>
      </border>
    </dxf>
    <dxf>
      <font>
        <b val="0"/>
        <i val="0"/>
        <color theme="3"/>
      </font>
      <fill>
        <patternFill patternType="none">
          <bgColor auto="1"/>
        </patternFill>
      </fill>
    </dxf>
    <dxf>
      <font>
        <b/>
        <i val="0"/>
        <color theme="5" tint="-0.24994659260841701"/>
      </font>
      <fill>
        <patternFill>
          <bgColor theme="5" tint="0.39994506668294322"/>
        </patternFill>
      </fill>
      <border>
        <left style="thick">
          <color theme="0"/>
        </left>
      </border>
    </dxf>
    <dxf>
      <font>
        <b/>
        <i val="0"/>
        <color theme="0"/>
      </font>
      <fill>
        <patternFill>
          <bgColor theme="5"/>
        </patternFill>
      </fill>
      <border>
        <bottom style="thick">
          <color theme="0"/>
        </bottom>
      </border>
    </dxf>
    <dxf>
      <font>
        <b/>
        <i val="0"/>
      </font>
      <border>
        <bottom style="thin">
          <color theme="3" tint="0.79998168889431442"/>
        </bottom>
      </border>
    </dxf>
    <dxf>
      <font>
        <b/>
        <i val="0"/>
        <color theme="0"/>
      </font>
      <fill>
        <patternFill>
          <bgColor theme="4"/>
        </patternFill>
      </fill>
      <border>
        <left style="thick">
          <color theme="0"/>
        </left>
        <top style="thick">
          <color theme="0"/>
        </top>
        <bottom style="thick">
          <color theme="0"/>
        </bottom>
      </border>
    </dxf>
    <dxf>
      <font>
        <b/>
        <i val="0"/>
      </font>
      <border>
        <top style="thin">
          <color theme="3" tint="0.79995117038483843"/>
        </top>
        <bottom style="thin">
          <color theme="3" tint="0.79998168889431442"/>
        </bottom>
      </border>
    </dxf>
    <dxf>
      <font>
        <b/>
        <i val="0"/>
        <color theme="5"/>
      </font>
      <border>
        <bottom style="thin">
          <color theme="0" tint="-0.14996795556505021"/>
        </bottom>
      </border>
    </dxf>
    <dxf>
      <border>
        <bottom style="thin">
          <color theme="0" tint="-0.14996795556505021"/>
        </bottom>
      </border>
    </dxf>
  </dxfs>
  <tableStyles count="2" defaultTableStyle="Monthly Umsatzbericht Table Style" defaultPivotStyle="Monthly Umsatzbericht PivotTable Style">
    <tableStyle name="Monthly Umsatzbericht PivotTable Style" table="0" count="8">
      <tableStyleElement type="wholeTable" dxfId="49"/>
      <tableStyleElement type="headerRow" dxfId="48"/>
      <tableStyleElement type="totalRow" dxfId="47"/>
      <tableStyleElement type="secondSubtotalRow" dxfId="46"/>
      <tableStyleElement type="thirdSubtotalRow" dxfId="45"/>
      <tableStyleElement type="firstRowSubheading" dxfId="44"/>
      <tableStyleElement type="secondRowSubheading" dxfId="43"/>
      <tableStyleElement type="thirdRowSubheading" dxfId="42"/>
    </tableStyle>
    <tableStyle name="Monthly Umsatzbericht Table Style" pivot="0" count="2">
      <tableStyleElement type="wholeTable" dxfId="41"/>
      <tableStyleElement type="headerRow" dxfId="4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Dateneingabe!$D$5</c:f>
              <c:strCache>
                <c:ptCount val="1"/>
                <c:pt idx="0">
                  <c:v>BETRAG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Dateneingabe!$B$6:$B$24</c:f>
              <c:numCache>
                <c:formatCode>m/d/yyyy</c:formatCode>
                <c:ptCount val="19"/>
                <c:pt idx="0">
                  <c:v>41387</c:v>
                </c:pt>
                <c:pt idx="1">
                  <c:v>41389</c:v>
                </c:pt>
                <c:pt idx="2">
                  <c:v>41401</c:v>
                </c:pt>
                <c:pt idx="3">
                  <c:v>41408</c:v>
                </c:pt>
                <c:pt idx="4">
                  <c:v>41408</c:v>
                </c:pt>
                <c:pt idx="5">
                  <c:v>41423</c:v>
                </c:pt>
                <c:pt idx="6">
                  <c:v>41435</c:v>
                </c:pt>
                <c:pt idx="7">
                  <c:v>41446</c:v>
                </c:pt>
                <c:pt idx="8">
                  <c:v>41461</c:v>
                </c:pt>
                <c:pt idx="9">
                  <c:v>41491</c:v>
                </c:pt>
                <c:pt idx="10">
                  <c:v>41505</c:v>
                </c:pt>
                <c:pt idx="11">
                  <c:v>41521</c:v>
                </c:pt>
                <c:pt idx="12">
                  <c:v>41537</c:v>
                </c:pt>
                <c:pt idx="13">
                  <c:v>41542</c:v>
                </c:pt>
                <c:pt idx="14">
                  <c:v>41562</c:v>
                </c:pt>
                <c:pt idx="15">
                  <c:v>41583</c:v>
                </c:pt>
                <c:pt idx="16">
                  <c:v>41604</c:v>
                </c:pt>
                <c:pt idx="17">
                  <c:v>41608</c:v>
                </c:pt>
                <c:pt idx="18">
                  <c:v>41619</c:v>
                </c:pt>
              </c:numCache>
            </c:numRef>
          </c:cat>
          <c:val>
            <c:numRef>
              <c:f>Dateneingabe!$D$6:$D$24</c:f>
              <c:numCache>
                <c:formatCode>#,##0.00\ "€"</c:formatCode>
                <c:ptCount val="19"/>
                <c:pt idx="0">
                  <c:v>6400</c:v>
                </c:pt>
                <c:pt idx="1">
                  <c:v>8200</c:v>
                </c:pt>
                <c:pt idx="2">
                  <c:v>4400</c:v>
                </c:pt>
                <c:pt idx="3">
                  <c:v>5400</c:v>
                </c:pt>
                <c:pt idx="4">
                  <c:v>5800</c:v>
                </c:pt>
                <c:pt idx="5">
                  <c:v>6200</c:v>
                </c:pt>
                <c:pt idx="6">
                  <c:v>6900</c:v>
                </c:pt>
                <c:pt idx="7">
                  <c:v>7500</c:v>
                </c:pt>
                <c:pt idx="8">
                  <c:v>8700</c:v>
                </c:pt>
                <c:pt idx="9">
                  <c:v>8500</c:v>
                </c:pt>
                <c:pt idx="10">
                  <c:v>7900</c:v>
                </c:pt>
                <c:pt idx="11">
                  <c:v>9100</c:v>
                </c:pt>
                <c:pt idx="12">
                  <c:v>5600</c:v>
                </c:pt>
                <c:pt idx="13">
                  <c:v>9300</c:v>
                </c:pt>
                <c:pt idx="14">
                  <c:v>8800</c:v>
                </c:pt>
                <c:pt idx="15">
                  <c:v>9100</c:v>
                </c:pt>
                <c:pt idx="16">
                  <c:v>9000</c:v>
                </c:pt>
                <c:pt idx="17">
                  <c:v>7500</c:v>
                </c:pt>
                <c:pt idx="18">
                  <c:v>9500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Dateneingabe!$E$5</c:f>
              <c:strCache>
                <c:ptCount val="1"/>
                <c:pt idx="0">
                  <c:v>GEPLANT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ymbol val="none"/>
          </c:marker>
          <c:cat>
            <c:numRef>
              <c:f>Dateneingabe!$B$6:$B$24</c:f>
              <c:numCache>
                <c:formatCode>m/d/yyyy</c:formatCode>
                <c:ptCount val="19"/>
                <c:pt idx="0">
                  <c:v>41387</c:v>
                </c:pt>
                <c:pt idx="1">
                  <c:v>41389</c:v>
                </c:pt>
                <c:pt idx="2">
                  <c:v>41401</c:v>
                </c:pt>
                <c:pt idx="3">
                  <c:v>41408</c:v>
                </c:pt>
                <c:pt idx="4">
                  <c:v>41408</c:v>
                </c:pt>
                <c:pt idx="5">
                  <c:v>41423</c:v>
                </c:pt>
                <c:pt idx="6">
                  <c:v>41435</c:v>
                </c:pt>
                <c:pt idx="7">
                  <c:v>41446</c:v>
                </c:pt>
                <c:pt idx="8">
                  <c:v>41461</c:v>
                </c:pt>
                <c:pt idx="9">
                  <c:v>41491</c:v>
                </c:pt>
                <c:pt idx="10">
                  <c:v>41505</c:v>
                </c:pt>
                <c:pt idx="11">
                  <c:v>41521</c:v>
                </c:pt>
                <c:pt idx="12">
                  <c:v>41537</c:v>
                </c:pt>
                <c:pt idx="13">
                  <c:v>41542</c:v>
                </c:pt>
                <c:pt idx="14">
                  <c:v>41562</c:v>
                </c:pt>
                <c:pt idx="15">
                  <c:v>41583</c:v>
                </c:pt>
                <c:pt idx="16">
                  <c:v>41604</c:v>
                </c:pt>
                <c:pt idx="17">
                  <c:v>41608</c:v>
                </c:pt>
                <c:pt idx="18">
                  <c:v>41619</c:v>
                </c:pt>
              </c:numCache>
            </c:numRef>
          </c:cat>
          <c:val>
            <c:numRef>
              <c:f>Dateneingabe!$E$6:$E$24</c:f>
              <c:numCache>
                <c:formatCode>#,##0.00\ "€"</c:formatCode>
                <c:ptCount val="19"/>
                <c:pt idx="0">
                  <c:v>6200</c:v>
                </c:pt>
                <c:pt idx="1">
                  <c:v>8000</c:v>
                </c:pt>
                <c:pt idx="2">
                  <c:v>4200</c:v>
                </c:pt>
                <c:pt idx="3">
                  <c:v>5500</c:v>
                </c:pt>
                <c:pt idx="4">
                  <c:v>6000</c:v>
                </c:pt>
                <c:pt idx="5">
                  <c:v>6000</c:v>
                </c:pt>
                <c:pt idx="6">
                  <c:v>7500</c:v>
                </c:pt>
                <c:pt idx="7">
                  <c:v>7200</c:v>
                </c:pt>
                <c:pt idx="8">
                  <c:v>8500</c:v>
                </c:pt>
                <c:pt idx="9">
                  <c:v>8300</c:v>
                </c:pt>
                <c:pt idx="10">
                  <c:v>7700</c:v>
                </c:pt>
                <c:pt idx="11">
                  <c:v>8900</c:v>
                </c:pt>
                <c:pt idx="12">
                  <c:v>5800</c:v>
                </c:pt>
                <c:pt idx="13">
                  <c:v>9100</c:v>
                </c:pt>
                <c:pt idx="14">
                  <c:v>9350</c:v>
                </c:pt>
                <c:pt idx="15">
                  <c:v>9200</c:v>
                </c:pt>
                <c:pt idx="16">
                  <c:v>10000</c:v>
                </c:pt>
                <c:pt idx="17">
                  <c:v>8000</c:v>
                </c:pt>
                <c:pt idx="18">
                  <c:v>9200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Dateneingabe!$F$5</c:f>
              <c:strCache>
                <c:ptCount val="1"/>
                <c:pt idx="0">
                  <c:v>KOSTEN</c:v>
                </c:pt>
              </c:strCache>
            </c:strRef>
          </c:tx>
          <c:spPr>
            <a:ln>
              <a:solidFill>
                <a:schemeClr val="accent5"/>
              </a:solidFill>
            </a:ln>
          </c:spPr>
          <c:marker>
            <c:symbol val="none"/>
          </c:marker>
          <c:cat>
            <c:numRef>
              <c:f>Dateneingabe!$B$6:$B$24</c:f>
              <c:numCache>
                <c:formatCode>m/d/yyyy</c:formatCode>
                <c:ptCount val="19"/>
                <c:pt idx="0">
                  <c:v>41387</c:v>
                </c:pt>
                <c:pt idx="1">
                  <c:v>41389</c:v>
                </c:pt>
                <c:pt idx="2">
                  <c:v>41401</c:v>
                </c:pt>
                <c:pt idx="3">
                  <c:v>41408</c:v>
                </c:pt>
                <c:pt idx="4">
                  <c:v>41408</c:v>
                </c:pt>
                <c:pt idx="5">
                  <c:v>41423</c:v>
                </c:pt>
                <c:pt idx="6">
                  <c:v>41435</c:v>
                </c:pt>
                <c:pt idx="7">
                  <c:v>41446</c:v>
                </c:pt>
                <c:pt idx="8">
                  <c:v>41461</c:v>
                </c:pt>
                <c:pt idx="9">
                  <c:v>41491</c:v>
                </c:pt>
                <c:pt idx="10">
                  <c:v>41505</c:v>
                </c:pt>
                <c:pt idx="11">
                  <c:v>41521</c:v>
                </c:pt>
                <c:pt idx="12">
                  <c:v>41537</c:v>
                </c:pt>
                <c:pt idx="13">
                  <c:v>41542</c:v>
                </c:pt>
                <c:pt idx="14">
                  <c:v>41562</c:v>
                </c:pt>
                <c:pt idx="15">
                  <c:v>41583</c:v>
                </c:pt>
                <c:pt idx="16">
                  <c:v>41604</c:v>
                </c:pt>
                <c:pt idx="17">
                  <c:v>41608</c:v>
                </c:pt>
                <c:pt idx="18">
                  <c:v>41619</c:v>
                </c:pt>
              </c:numCache>
            </c:numRef>
          </c:cat>
          <c:val>
            <c:numRef>
              <c:f>Dateneingabe!$F$6:$F$24</c:f>
              <c:numCache>
                <c:formatCode>#,##0.00\ "€"</c:formatCode>
                <c:ptCount val="19"/>
                <c:pt idx="0">
                  <c:v>4450</c:v>
                </c:pt>
                <c:pt idx="1">
                  <c:v>6400</c:v>
                </c:pt>
                <c:pt idx="2">
                  <c:v>2600</c:v>
                </c:pt>
                <c:pt idx="3">
                  <c:v>4500</c:v>
                </c:pt>
                <c:pt idx="4">
                  <c:v>4500</c:v>
                </c:pt>
                <c:pt idx="5">
                  <c:v>4500</c:v>
                </c:pt>
                <c:pt idx="6">
                  <c:v>5400</c:v>
                </c:pt>
                <c:pt idx="7">
                  <c:v>6500</c:v>
                </c:pt>
                <c:pt idx="8">
                  <c:v>7250</c:v>
                </c:pt>
                <c:pt idx="9">
                  <c:v>7100</c:v>
                </c:pt>
                <c:pt idx="10">
                  <c:v>6600</c:v>
                </c:pt>
                <c:pt idx="11">
                  <c:v>7900</c:v>
                </c:pt>
                <c:pt idx="12">
                  <c:v>4500</c:v>
                </c:pt>
                <c:pt idx="13">
                  <c:v>7500</c:v>
                </c:pt>
                <c:pt idx="14">
                  <c:v>7100</c:v>
                </c:pt>
                <c:pt idx="15">
                  <c:v>7850</c:v>
                </c:pt>
                <c:pt idx="16">
                  <c:v>7575</c:v>
                </c:pt>
                <c:pt idx="17">
                  <c:v>5850</c:v>
                </c:pt>
                <c:pt idx="18">
                  <c:v>8500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Dateneingabe!$G$5</c:f>
              <c:strCache>
                <c:ptCount val="1"/>
                <c:pt idx="0">
                  <c:v>ERTRAG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Dateneingabe!$B$6:$B$24</c:f>
              <c:numCache>
                <c:formatCode>m/d/yyyy</c:formatCode>
                <c:ptCount val="19"/>
                <c:pt idx="0">
                  <c:v>41387</c:v>
                </c:pt>
                <c:pt idx="1">
                  <c:v>41389</c:v>
                </c:pt>
                <c:pt idx="2">
                  <c:v>41401</c:v>
                </c:pt>
                <c:pt idx="3">
                  <c:v>41408</c:v>
                </c:pt>
                <c:pt idx="4">
                  <c:v>41408</c:v>
                </c:pt>
                <c:pt idx="5">
                  <c:v>41423</c:v>
                </c:pt>
                <c:pt idx="6">
                  <c:v>41435</c:v>
                </c:pt>
                <c:pt idx="7">
                  <c:v>41446</c:v>
                </c:pt>
                <c:pt idx="8">
                  <c:v>41461</c:v>
                </c:pt>
                <c:pt idx="9">
                  <c:v>41491</c:v>
                </c:pt>
                <c:pt idx="10">
                  <c:v>41505</c:v>
                </c:pt>
                <c:pt idx="11">
                  <c:v>41521</c:v>
                </c:pt>
                <c:pt idx="12">
                  <c:v>41537</c:v>
                </c:pt>
                <c:pt idx="13">
                  <c:v>41542</c:v>
                </c:pt>
                <c:pt idx="14">
                  <c:v>41562</c:v>
                </c:pt>
                <c:pt idx="15">
                  <c:v>41583</c:v>
                </c:pt>
                <c:pt idx="16">
                  <c:v>41604</c:v>
                </c:pt>
                <c:pt idx="17">
                  <c:v>41608</c:v>
                </c:pt>
                <c:pt idx="18">
                  <c:v>41619</c:v>
                </c:pt>
              </c:numCache>
            </c:numRef>
          </c:cat>
          <c:val>
            <c:numRef>
              <c:f>Dateneingabe!$G$6:$G$24</c:f>
              <c:numCache>
                <c:formatCode>#,##0.00\ "€"</c:formatCode>
                <c:ptCount val="19"/>
                <c:pt idx="0">
                  <c:v>1950</c:v>
                </c:pt>
                <c:pt idx="1">
                  <c:v>1800</c:v>
                </c:pt>
                <c:pt idx="2">
                  <c:v>1800</c:v>
                </c:pt>
                <c:pt idx="3">
                  <c:v>900</c:v>
                </c:pt>
                <c:pt idx="4">
                  <c:v>1300</c:v>
                </c:pt>
                <c:pt idx="5">
                  <c:v>1700</c:v>
                </c:pt>
                <c:pt idx="6">
                  <c:v>1500</c:v>
                </c:pt>
                <c:pt idx="7">
                  <c:v>1000</c:v>
                </c:pt>
                <c:pt idx="8">
                  <c:v>1450</c:v>
                </c:pt>
                <c:pt idx="9">
                  <c:v>1400</c:v>
                </c:pt>
                <c:pt idx="10">
                  <c:v>1300</c:v>
                </c:pt>
                <c:pt idx="11">
                  <c:v>1200</c:v>
                </c:pt>
                <c:pt idx="12">
                  <c:v>1100</c:v>
                </c:pt>
                <c:pt idx="13">
                  <c:v>1800</c:v>
                </c:pt>
                <c:pt idx="14">
                  <c:v>1700</c:v>
                </c:pt>
                <c:pt idx="15">
                  <c:v>1250</c:v>
                </c:pt>
                <c:pt idx="16">
                  <c:v>1425</c:v>
                </c:pt>
                <c:pt idx="17">
                  <c:v>1650</c:v>
                </c:pt>
                <c:pt idx="18">
                  <c:v>1000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861656"/>
        <c:axId val="61862048"/>
      </c:lineChart>
      <c:dateAx>
        <c:axId val="61861656"/>
        <c:scaling>
          <c:orientation val="minMax"/>
        </c:scaling>
        <c:delete val="0"/>
        <c:axPos val="b"/>
        <c:numFmt formatCode="mmm\ yyyy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de-DE"/>
          </a:p>
        </c:txPr>
        <c:crossAx val="61862048"/>
        <c:crosses val="autoZero"/>
        <c:auto val="1"/>
        <c:lblOffset val="100"/>
        <c:baseTimeUnit val="days"/>
        <c:majorUnit val="1"/>
        <c:majorTimeUnit val="months"/>
      </c:dateAx>
      <c:valAx>
        <c:axId val="61862048"/>
        <c:scaling>
          <c:orientation val="minMax"/>
        </c:scaling>
        <c:delete val="0"/>
        <c:axPos val="l"/>
        <c:maj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ajorGridlines>
        <c:numFmt formatCode="#,##0.00\ &quot;€&quot;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de-DE"/>
          </a:p>
        </c:txPr>
        <c:crossAx val="6186165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57669607428103742"/>
          <c:y val="4.8780519032404476E-2"/>
          <c:w val="0.3945391019670928"/>
          <c:h val="8.7584605021717415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spc="50" baseline="0">
          <a:solidFill>
            <a:schemeClr val="tx2"/>
          </a:solidFill>
        </a:defRPr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Dateneingabe!$O$5</c:f>
              <c:strCache>
                <c:ptCount val="1"/>
                <c:pt idx="0">
                  <c:v>MONAT  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Dateneingabe!$B$6:$B$24</c:f>
              <c:numCache>
                <c:formatCode>m/d/yyyy</c:formatCode>
                <c:ptCount val="19"/>
                <c:pt idx="0">
                  <c:v>41387</c:v>
                </c:pt>
                <c:pt idx="1">
                  <c:v>41389</c:v>
                </c:pt>
                <c:pt idx="2">
                  <c:v>41401</c:v>
                </c:pt>
                <c:pt idx="3">
                  <c:v>41408</c:v>
                </c:pt>
                <c:pt idx="4">
                  <c:v>41408</c:v>
                </c:pt>
                <c:pt idx="5">
                  <c:v>41423</c:v>
                </c:pt>
                <c:pt idx="6">
                  <c:v>41435</c:v>
                </c:pt>
                <c:pt idx="7">
                  <c:v>41446</c:v>
                </c:pt>
                <c:pt idx="8">
                  <c:v>41461</c:v>
                </c:pt>
                <c:pt idx="9">
                  <c:v>41491</c:v>
                </c:pt>
                <c:pt idx="10">
                  <c:v>41505</c:v>
                </c:pt>
                <c:pt idx="11">
                  <c:v>41521</c:v>
                </c:pt>
                <c:pt idx="12">
                  <c:v>41537</c:v>
                </c:pt>
                <c:pt idx="13">
                  <c:v>41542</c:v>
                </c:pt>
                <c:pt idx="14">
                  <c:v>41562</c:v>
                </c:pt>
                <c:pt idx="15">
                  <c:v>41583</c:v>
                </c:pt>
                <c:pt idx="16">
                  <c:v>41604</c:v>
                </c:pt>
                <c:pt idx="17">
                  <c:v>41608</c:v>
                </c:pt>
                <c:pt idx="18">
                  <c:v>41619</c:v>
                </c:pt>
              </c:numCache>
            </c:numRef>
          </c:cat>
          <c:val>
            <c:numRef>
              <c:f>Dateneingabe!$O$6:$O$24</c:f>
              <c:numCache>
                <c:formatCode>#,##0.00\ "€"</c:formatCode>
                <c:ptCount val="19"/>
                <c:pt idx="0">
                  <c:v>14600</c:v>
                </c:pt>
                <c:pt idx="1">
                  <c:v>14600</c:v>
                </c:pt>
                <c:pt idx="2">
                  <c:v>28999.999999999996</c:v>
                </c:pt>
                <c:pt idx="3">
                  <c:v>29000</c:v>
                </c:pt>
                <c:pt idx="4">
                  <c:v>29000</c:v>
                </c:pt>
                <c:pt idx="5">
                  <c:v>29000</c:v>
                </c:pt>
                <c:pt idx="6">
                  <c:v>21600.000000000004</c:v>
                </c:pt>
                <c:pt idx="7">
                  <c:v>17950</c:v>
                </c:pt>
                <c:pt idx="8">
                  <c:v>10776.470588235294</c:v>
                </c:pt>
                <c:pt idx="9">
                  <c:v>12455.862068965516</c:v>
                </c:pt>
                <c:pt idx="10">
                  <c:v>13667.567567567567</c:v>
                </c:pt>
                <c:pt idx="11">
                  <c:v>17651.666666666668</c:v>
                </c:pt>
                <c:pt idx="12">
                  <c:v>19877.911646586344</c:v>
                </c:pt>
                <c:pt idx="13">
                  <c:v>21138.050314465407</c:v>
                </c:pt>
                <c:pt idx="14">
                  <c:v>17951.744186046511</c:v>
                </c:pt>
                <c:pt idx="15">
                  <c:v>20556.130108423687</c:v>
                </c:pt>
                <c:pt idx="16">
                  <c:v>21997.139141742522</c:v>
                </c:pt>
                <c:pt idx="17">
                  <c:v>22917.634523175278</c:v>
                </c:pt>
                <c:pt idx="18">
                  <c:v>20504.314720812181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863616"/>
        <c:axId val="61861264"/>
      </c:lineChart>
      <c:dateAx>
        <c:axId val="61863616"/>
        <c:scaling>
          <c:orientation val="minMax"/>
        </c:scaling>
        <c:delete val="1"/>
        <c:axPos val="b"/>
        <c:numFmt formatCode="mmm\ yyyy" sourceLinked="0"/>
        <c:majorTickMark val="out"/>
        <c:minorTickMark val="none"/>
        <c:tickLblPos val="nextTo"/>
        <c:crossAx val="61861264"/>
        <c:crosses val="autoZero"/>
        <c:auto val="1"/>
        <c:lblOffset val="100"/>
        <c:baseTimeUnit val="days"/>
        <c:majorUnit val="1"/>
        <c:majorTimeUnit val="months"/>
      </c:dateAx>
      <c:valAx>
        <c:axId val="61861264"/>
        <c:scaling>
          <c:orientation val="minMax"/>
        </c:scaling>
        <c:delete val="0"/>
        <c:axPos val="l"/>
        <c:maj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ajorGridlines>
        <c:numFmt formatCode="#,##0.00\ &quot;€&quot;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de-DE"/>
          </a:p>
        </c:txPr>
        <c:crossAx val="61863616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spc="50" baseline="0">
          <a:solidFill>
            <a:schemeClr val="tx2"/>
          </a:solidFill>
        </a:defRPr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Dateneingabe!$P$5</c:f>
              <c:strCache>
                <c:ptCount val="1"/>
                <c:pt idx="0">
                  <c:v>QUARTAL  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Dateneingabe!$B$6:$B$24</c:f>
              <c:numCache>
                <c:formatCode>m/d/yyyy</c:formatCode>
                <c:ptCount val="19"/>
                <c:pt idx="0">
                  <c:v>41387</c:v>
                </c:pt>
                <c:pt idx="1">
                  <c:v>41389</c:v>
                </c:pt>
                <c:pt idx="2">
                  <c:v>41401</c:v>
                </c:pt>
                <c:pt idx="3">
                  <c:v>41408</c:v>
                </c:pt>
                <c:pt idx="4">
                  <c:v>41408</c:v>
                </c:pt>
                <c:pt idx="5">
                  <c:v>41423</c:v>
                </c:pt>
                <c:pt idx="6">
                  <c:v>41435</c:v>
                </c:pt>
                <c:pt idx="7">
                  <c:v>41446</c:v>
                </c:pt>
                <c:pt idx="8">
                  <c:v>41461</c:v>
                </c:pt>
                <c:pt idx="9">
                  <c:v>41491</c:v>
                </c:pt>
                <c:pt idx="10">
                  <c:v>41505</c:v>
                </c:pt>
                <c:pt idx="11">
                  <c:v>41521</c:v>
                </c:pt>
                <c:pt idx="12">
                  <c:v>41537</c:v>
                </c:pt>
                <c:pt idx="13">
                  <c:v>41542</c:v>
                </c:pt>
                <c:pt idx="14">
                  <c:v>41562</c:v>
                </c:pt>
                <c:pt idx="15">
                  <c:v>41583</c:v>
                </c:pt>
                <c:pt idx="16">
                  <c:v>41604</c:v>
                </c:pt>
                <c:pt idx="17">
                  <c:v>41608</c:v>
                </c:pt>
                <c:pt idx="18">
                  <c:v>41619</c:v>
                </c:pt>
              </c:numCache>
            </c:numRef>
          </c:cat>
          <c:val>
            <c:numRef>
              <c:f>Dateneingabe!$P$6:$P$24</c:f>
              <c:numCache>
                <c:formatCode>#,##0.00\ "€"</c:formatCode>
                <c:ptCount val="19"/>
                <c:pt idx="0">
                  <c:v>50800</c:v>
                </c:pt>
                <c:pt idx="1">
                  <c:v>50800</c:v>
                </c:pt>
                <c:pt idx="2">
                  <c:v>50800</c:v>
                </c:pt>
                <c:pt idx="3">
                  <c:v>50800</c:v>
                </c:pt>
                <c:pt idx="4">
                  <c:v>50800</c:v>
                </c:pt>
                <c:pt idx="5">
                  <c:v>50800</c:v>
                </c:pt>
                <c:pt idx="6">
                  <c:v>50800</c:v>
                </c:pt>
                <c:pt idx="7">
                  <c:v>50800</c:v>
                </c:pt>
                <c:pt idx="8">
                  <c:v>47400</c:v>
                </c:pt>
                <c:pt idx="9">
                  <c:v>47400</c:v>
                </c:pt>
                <c:pt idx="10">
                  <c:v>47400.000000000007</c:v>
                </c:pt>
                <c:pt idx="11">
                  <c:v>47400</c:v>
                </c:pt>
                <c:pt idx="12">
                  <c:v>47400</c:v>
                </c:pt>
                <c:pt idx="13">
                  <c:v>47400</c:v>
                </c:pt>
                <c:pt idx="14">
                  <c:v>43258.139534883725</c:v>
                </c:pt>
                <c:pt idx="15">
                  <c:v>42312.903225806447</c:v>
                </c:pt>
                <c:pt idx="16">
                  <c:v>41811.111111111109</c:v>
                </c:pt>
                <c:pt idx="17">
                  <c:v>41500</c:v>
                </c:pt>
                <c:pt idx="18">
                  <c:v>41288.23529411765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862832"/>
        <c:axId val="170408424"/>
      </c:lineChart>
      <c:dateAx>
        <c:axId val="61862832"/>
        <c:scaling>
          <c:orientation val="minMax"/>
        </c:scaling>
        <c:delete val="1"/>
        <c:axPos val="b"/>
        <c:numFmt formatCode="mmm\ yyyy" sourceLinked="0"/>
        <c:majorTickMark val="out"/>
        <c:minorTickMark val="none"/>
        <c:tickLblPos val="nextTo"/>
        <c:crossAx val="170408424"/>
        <c:crosses val="autoZero"/>
        <c:auto val="1"/>
        <c:lblOffset val="100"/>
        <c:baseTimeUnit val="days"/>
        <c:majorUnit val="1"/>
        <c:majorTimeUnit val="months"/>
      </c:dateAx>
      <c:valAx>
        <c:axId val="170408424"/>
        <c:scaling>
          <c:orientation val="minMax"/>
        </c:scaling>
        <c:delete val="0"/>
        <c:axPos val="l"/>
        <c:maj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ajorGridlines>
        <c:numFmt formatCode="#,##0.00\ &quot;€&quot;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de-DE"/>
          </a:p>
        </c:txPr>
        <c:crossAx val="61862832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="0" i="0" spc="50" baseline="0">
          <a:solidFill>
            <a:schemeClr val="tx2"/>
          </a:solidFill>
        </a:defRPr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Dateneingabe!$Q$5</c:f>
              <c:strCache>
                <c:ptCount val="1"/>
                <c:pt idx="0">
                  <c:v>JAHR  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Dateneingabe!$B$6:$B$24</c:f>
              <c:numCache>
                <c:formatCode>m/d/yyyy</c:formatCode>
                <c:ptCount val="19"/>
                <c:pt idx="0">
                  <c:v>41387</c:v>
                </c:pt>
                <c:pt idx="1">
                  <c:v>41389</c:v>
                </c:pt>
                <c:pt idx="2">
                  <c:v>41401</c:v>
                </c:pt>
                <c:pt idx="3">
                  <c:v>41408</c:v>
                </c:pt>
                <c:pt idx="4">
                  <c:v>41408</c:v>
                </c:pt>
                <c:pt idx="5">
                  <c:v>41423</c:v>
                </c:pt>
                <c:pt idx="6">
                  <c:v>41435</c:v>
                </c:pt>
                <c:pt idx="7">
                  <c:v>41446</c:v>
                </c:pt>
                <c:pt idx="8">
                  <c:v>41461</c:v>
                </c:pt>
                <c:pt idx="9">
                  <c:v>41491</c:v>
                </c:pt>
                <c:pt idx="10">
                  <c:v>41505</c:v>
                </c:pt>
                <c:pt idx="11">
                  <c:v>41521</c:v>
                </c:pt>
                <c:pt idx="12">
                  <c:v>41537</c:v>
                </c:pt>
                <c:pt idx="13">
                  <c:v>41542</c:v>
                </c:pt>
                <c:pt idx="14">
                  <c:v>41562</c:v>
                </c:pt>
                <c:pt idx="15">
                  <c:v>41583</c:v>
                </c:pt>
                <c:pt idx="16">
                  <c:v>41604</c:v>
                </c:pt>
                <c:pt idx="17">
                  <c:v>41608</c:v>
                </c:pt>
                <c:pt idx="18">
                  <c:v>41619</c:v>
                </c:pt>
              </c:numCache>
            </c:numRef>
          </c:cat>
          <c:val>
            <c:numRef>
              <c:f>Dateneingabe!$Q$6:$Q$24</c:f>
              <c:numCache>
                <c:formatCode>#,##0.00\ "€"</c:formatCode>
                <c:ptCount val="19"/>
                <c:pt idx="0">
                  <c:v>143800</c:v>
                </c:pt>
                <c:pt idx="1">
                  <c:v>143800</c:v>
                </c:pt>
                <c:pt idx="2">
                  <c:v>143800</c:v>
                </c:pt>
                <c:pt idx="3">
                  <c:v>143800</c:v>
                </c:pt>
                <c:pt idx="4">
                  <c:v>143800</c:v>
                </c:pt>
                <c:pt idx="5">
                  <c:v>143800</c:v>
                </c:pt>
                <c:pt idx="6">
                  <c:v>143800</c:v>
                </c:pt>
                <c:pt idx="7">
                  <c:v>143800</c:v>
                </c:pt>
                <c:pt idx="8">
                  <c:v>143800</c:v>
                </c:pt>
                <c:pt idx="9">
                  <c:v>143800</c:v>
                </c:pt>
                <c:pt idx="10">
                  <c:v>143800</c:v>
                </c:pt>
                <c:pt idx="11">
                  <c:v>143800</c:v>
                </c:pt>
                <c:pt idx="12">
                  <c:v>143800</c:v>
                </c:pt>
                <c:pt idx="13">
                  <c:v>143800</c:v>
                </c:pt>
                <c:pt idx="14">
                  <c:v>143800</c:v>
                </c:pt>
                <c:pt idx="15">
                  <c:v>143800</c:v>
                </c:pt>
                <c:pt idx="16">
                  <c:v>143800</c:v>
                </c:pt>
                <c:pt idx="17">
                  <c:v>143800</c:v>
                </c:pt>
                <c:pt idx="18">
                  <c:v>143800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0408032"/>
        <c:axId val="171489568"/>
      </c:lineChart>
      <c:dateAx>
        <c:axId val="170408032"/>
        <c:scaling>
          <c:orientation val="minMax"/>
        </c:scaling>
        <c:delete val="1"/>
        <c:axPos val="b"/>
        <c:numFmt formatCode="mmm\ yyyy" sourceLinked="0"/>
        <c:majorTickMark val="out"/>
        <c:minorTickMark val="none"/>
        <c:tickLblPos val="nextTo"/>
        <c:crossAx val="171489568"/>
        <c:crosses val="autoZero"/>
        <c:auto val="1"/>
        <c:lblOffset val="100"/>
        <c:baseTimeUnit val="days"/>
        <c:majorUnit val="1"/>
        <c:majorTimeUnit val="months"/>
      </c:dateAx>
      <c:valAx>
        <c:axId val="171489568"/>
        <c:scaling>
          <c:orientation val="minMax"/>
        </c:scaling>
        <c:delete val="0"/>
        <c:axPos val="l"/>
        <c:maj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ajorGridlines>
        <c:numFmt formatCode="#,##0.00\ &quot;€&quot;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de-DE"/>
          </a:p>
        </c:txPr>
        <c:crossAx val="170408032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spc="60" baseline="0">
          <a:solidFill>
            <a:schemeClr val="tx2"/>
          </a:solidFill>
        </a:defRPr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Dateneingabe!$G$5</c:f>
              <c:strCache>
                <c:ptCount val="1"/>
                <c:pt idx="0">
                  <c:v>ERTRAG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Dateneingabe!$B$6:$B$24</c:f>
              <c:numCache>
                <c:formatCode>m/d/yyyy</c:formatCode>
                <c:ptCount val="19"/>
                <c:pt idx="0">
                  <c:v>41387</c:v>
                </c:pt>
                <c:pt idx="1">
                  <c:v>41389</c:v>
                </c:pt>
                <c:pt idx="2">
                  <c:v>41401</c:v>
                </c:pt>
                <c:pt idx="3">
                  <c:v>41408</c:v>
                </c:pt>
                <c:pt idx="4">
                  <c:v>41408</c:v>
                </c:pt>
                <c:pt idx="5">
                  <c:v>41423</c:v>
                </c:pt>
                <c:pt idx="6">
                  <c:v>41435</c:v>
                </c:pt>
                <c:pt idx="7">
                  <c:v>41446</c:v>
                </c:pt>
                <c:pt idx="8">
                  <c:v>41461</c:v>
                </c:pt>
                <c:pt idx="9">
                  <c:v>41491</c:v>
                </c:pt>
                <c:pt idx="10">
                  <c:v>41505</c:v>
                </c:pt>
                <c:pt idx="11">
                  <c:v>41521</c:v>
                </c:pt>
                <c:pt idx="12">
                  <c:v>41537</c:v>
                </c:pt>
                <c:pt idx="13">
                  <c:v>41542</c:v>
                </c:pt>
                <c:pt idx="14">
                  <c:v>41562</c:v>
                </c:pt>
                <c:pt idx="15">
                  <c:v>41583</c:v>
                </c:pt>
                <c:pt idx="16">
                  <c:v>41604</c:v>
                </c:pt>
                <c:pt idx="17">
                  <c:v>41608</c:v>
                </c:pt>
                <c:pt idx="18">
                  <c:v>41619</c:v>
                </c:pt>
              </c:numCache>
            </c:numRef>
          </c:cat>
          <c:val>
            <c:numRef>
              <c:f>Dateneingabe!$G$6:$G$24</c:f>
              <c:numCache>
                <c:formatCode>#,##0.00\ "€"</c:formatCode>
                <c:ptCount val="19"/>
                <c:pt idx="0">
                  <c:v>1950</c:v>
                </c:pt>
                <c:pt idx="1">
                  <c:v>1800</c:v>
                </c:pt>
                <c:pt idx="2">
                  <c:v>1800</c:v>
                </c:pt>
                <c:pt idx="3">
                  <c:v>900</c:v>
                </c:pt>
                <c:pt idx="4">
                  <c:v>1300</c:v>
                </c:pt>
                <c:pt idx="5">
                  <c:v>1700</c:v>
                </c:pt>
                <c:pt idx="6">
                  <c:v>1500</c:v>
                </c:pt>
                <c:pt idx="7">
                  <c:v>1000</c:v>
                </c:pt>
                <c:pt idx="8">
                  <c:v>1450</c:v>
                </c:pt>
                <c:pt idx="9">
                  <c:v>1400</c:v>
                </c:pt>
                <c:pt idx="10">
                  <c:v>1300</c:v>
                </c:pt>
                <c:pt idx="11">
                  <c:v>1200</c:v>
                </c:pt>
                <c:pt idx="12">
                  <c:v>1100</c:v>
                </c:pt>
                <c:pt idx="13">
                  <c:v>1800</c:v>
                </c:pt>
                <c:pt idx="14">
                  <c:v>1700</c:v>
                </c:pt>
                <c:pt idx="15">
                  <c:v>1250</c:v>
                </c:pt>
                <c:pt idx="16">
                  <c:v>1425</c:v>
                </c:pt>
                <c:pt idx="17">
                  <c:v>1650</c:v>
                </c:pt>
                <c:pt idx="18">
                  <c:v>1000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5871240"/>
        <c:axId val="295871632"/>
      </c:lineChart>
      <c:dateAx>
        <c:axId val="295871240"/>
        <c:scaling>
          <c:orientation val="minMax"/>
        </c:scaling>
        <c:delete val="1"/>
        <c:axPos val="b"/>
        <c:numFmt formatCode="mmm\ yyyy" sourceLinked="0"/>
        <c:majorTickMark val="out"/>
        <c:minorTickMark val="none"/>
        <c:tickLblPos val="nextTo"/>
        <c:crossAx val="295871632"/>
        <c:crosses val="autoZero"/>
        <c:auto val="1"/>
        <c:lblOffset val="100"/>
        <c:baseTimeUnit val="days"/>
        <c:majorUnit val="1"/>
        <c:majorTimeUnit val="months"/>
      </c:dateAx>
      <c:valAx>
        <c:axId val="295871632"/>
        <c:scaling>
          <c:orientation val="minMax"/>
        </c:scaling>
        <c:delete val="0"/>
        <c:axPos val="l"/>
        <c:maj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ajorGridlines>
        <c:numFmt formatCode="#,##0.00\ &quot;€&quot;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de-DE"/>
          </a:p>
        </c:txPr>
        <c:crossAx val="295871240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spc="50" baseline="0">
          <a:solidFill>
            <a:schemeClr val="tx2"/>
          </a:solidFill>
        </a:defRPr>
      </a:pPr>
      <a:endParaRPr lang="de-DE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Umsatzprognose!A1"/><Relationship Id="rId1" Type="http://schemas.openxmlformats.org/officeDocument/2006/relationships/hyperlink" Target="#Umsatzbericht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Umsatzprognose!A1"/><Relationship Id="rId1" Type="http://schemas.openxmlformats.org/officeDocument/2006/relationships/hyperlink" Target="#Dateneingabe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hyperlink" Target="#Umsatzbericht!A1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hyperlink" Target="#Dateneingabe!A1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476251</xdr:colOff>
      <xdr:row>1</xdr:row>
      <xdr:rowOff>85725</xdr:rowOff>
    </xdr:from>
    <xdr:to>
      <xdr:col>6</xdr:col>
      <xdr:colOff>849250</xdr:colOff>
      <xdr:row>1</xdr:row>
      <xdr:rowOff>314325</xdr:rowOff>
    </xdr:to>
    <xdr:sp macro="" textlink="">
      <xdr:nvSpPr>
        <xdr:cNvPr id="2" name="Umsatzbericht" descr="Click to view Umsatzbericht sheet." title="Umsatzbericht navigation button">
          <a:hlinkClick xmlns:r="http://schemas.openxmlformats.org/officeDocument/2006/relationships" r:id="rId1" tooltip="Klicken, um Arbeitsblatt 'Umsatzbericht' anzuzeigen"/>
        </xdr:cNvPr>
        <xdr:cNvSpPr/>
      </xdr:nvSpPr>
      <xdr:spPr>
        <a:xfrm>
          <a:off x="4686301" y="228600"/>
          <a:ext cx="1106424" cy="228600"/>
        </a:xfrm>
        <a:prstGeom prst="round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>
              <a:solidFill>
                <a:schemeClr val="bg1"/>
              </a:solidFill>
              <a:latin typeface="+mn-lt"/>
            </a:rPr>
            <a:t>Umsatzbericht</a:t>
          </a:r>
        </a:p>
      </xdr:txBody>
    </xdr:sp>
    <xdr:clientData fPrintsWithSheet="0"/>
  </xdr:twoCellAnchor>
  <xdr:twoCellAnchor>
    <xdr:from>
      <xdr:col>6</xdr:col>
      <xdr:colOff>904875</xdr:colOff>
      <xdr:row>1</xdr:row>
      <xdr:rowOff>85726</xdr:rowOff>
    </xdr:from>
    <xdr:to>
      <xdr:col>8</xdr:col>
      <xdr:colOff>413004</xdr:colOff>
      <xdr:row>1</xdr:row>
      <xdr:rowOff>314326</xdr:rowOff>
    </xdr:to>
    <xdr:sp macro="" textlink="">
      <xdr:nvSpPr>
        <xdr:cNvPr id="3" name="Umsatzprognose" descr="Click to view Umsatzprognose sheet." title="Umsatzprognose navigation button">
          <a:hlinkClick xmlns:r="http://schemas.openxmlformats.org/officeDocument/2006/relationships" r:id="rId2" tooltip="Klicken, um Arbeitsblatt 'Umsatzprognose' anzuzeigen"/>
        </xdr:cNvPr>
        <xdr:cNvSpPr/>
      </xdr:nvSpPr>
      <xdr:spPr>
        <a:xfrm>
          <a:off x="5848350" y="228601"/>
          <a:ext cx="1289304" cy="228600"/>
        </a:xfrm>
        <a:prstGeom prst="round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>
              <a:solidFill>
                <a:schemeClr val="bg1"/>
              </a:solidFill>
            </a:rPr>
            <a:t>Umsatzprognose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1704976</xdr:colOff>
      <xdr:row>1</xdr:row>
      <xdr:rowOff>85725</xdr:rowOff>
    </xdr:from>
    <xdr:to>
      <xdr:col>5</xdr:col>
      <xdr:colOff>563500</xdr:colOff>
      <xdr:row>1</xdr:row>
      <xdr:rowOff>314325</xdr:rowOff>
    </xdr:to>
    <xdr:sp macro="" textlink="">
      <xdr:nvSpPr>
        <xdr:cNvPr id="7" name="Umsatzbericht" descr="Click to view Dateneingabe sheet." title="Dateneingabe navigation button">
          <a:hlinkClick xmlns:r="http://schemas.openxmlformats.org/officeDocument/2006/relationships" r:id="rId1" tooltip="Klicken, um Arbeitsblatt 'Dateneingabe' anzuzeigen"/>
        </xdr:cNvPr>
        <xdr:cNvSpPr/>
      </xdr:nvSpPr>
      <xdr:spPr>
        <a:xfrm>
          <a:off x="4676776" y="228600"/>
          <a:ext cx="1106424" cy="228600"/>
        </a:xfrm>
        <a:prstGeom prst="round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>
              <a:solidFill>
                <a:schemeClr val="bg1"/>
              </a:solidFill>
              <a:latin typeface="+mn-lt"/>
            </a:rPr>
            <a:t>Dateneingabe</a:t>
          </a:r>
        </a:p>
      </xdr:txBody>
    </xdr:sp>
    <xdr:clientData fPrintsWithSheet="0"/>
  </xdr:twoCellAnchor>
  <xdr:twoCellAnchor>
    <xdr:from>
      <xdr:col>5</xdr:col>
      <xdr:colOff>619125</xdr:colOff>
      <xdr:row>1</xdr:row>
      <xdr:rowOff>85726</xdr:rowOff>
    </xdr:from>
    <xdr:to>
      <xdr:col>6</xdr:col>
      <xdr:colOff>365379</xdr:colOff>
      <xdr:row>1</xdr:row>
      <xdr:rowOff>314326</xdr:rowOff>
    </xdr:to>
    <xdr:sp macro="" textlink="">
      <xdr:nvSpPr>
        <xdr:cNvPr id="8" name="Umsatzprognose" descr="Click to view Umsatzprognose sheet." title="Umsatzprognose navigation button">
          <a:hlinkClick xmlns:r="http://schemas.openxmlformats.org/officeDocument/2006/relationships" r:id="rId2" tooltip="Klicken, um Arbeitsblatt 'Umsatzprognose' anzuzeigen"/>
        </xdr:cNvPr>
        <xdr:cNvSpPr/>
      </xdr:nvSpPr>
      <xdr:spPr>
        <a:xfrm>
          <a:off x="5838825" y="228601"/>
          <a:ext cx="1289304" cy="228600"/>
        </a:xfrm>
        <a:prstGeom prst="round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>
              <a:solidFill>
                <a:schemeClr val="bg1"/>
              </a:solidFill>
            </a:rPr>
            <a:t>Umsatzprognose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114299</xdr:colOff>
      <xdr:row>15</xdr:row>
      <xdr:rowOff>114300</xdr:rowOff>
    </xdr:from>
    <xdr:to>
      <xdr:col>9</xdr:col>
      <xdr:colOff>876299</xdr:colOff>
      <xdr:row>27</xdr:row>
      <xdr:rowOff>142875</xdr:rowOff>
    </xdr:to>
    <xdr:graphicFrame macro="">
      <xdr:nvGraphicFramePr>
        <xdr:cNvPr id="4" name="Umsatzverlauf" descr="Sales history chart" title="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</xdr:colOff>
      <xdr:row>30</xdr:row>
      <xdr:rowOff>9525</xdr:rowOff>
    </xdr:from>
    <xdr:to>
      <xdr:col>5</xdr:col>
      <xdr:colOff>141131</xdr:colOff>
      <xdr:row>35</xdr:row>
      <xdr:rowOff>92919</xdr:rowOff>
    </xdr:to>
    <xdr:graphicFrame macro="">
      <xdr:nvGraphicFramePr>
        <xdr:cNvPr id="5" name="Monatliche Prognose" descr="Month forecast chart" title="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195263</xdr:colOff>
      <xdr:row>30</xdr:row>
      <xdr:rowOff>9525</xdr:rowOff>
    </xdr:from>
    <xdr:to>
      <xdr:col>9</xdr:col>
      <xdr:colOff>871537</xdr:colOff>
      <xdr:row>35</xdr:row>
      <xdr:rowOff>92919</xdr:rowOff>
    </xdr:to>
    <xdr:graphicFrame macro="">
      <xdr:nvGraphicFramePr>
        <xdr:cNvPr id="6" name="Quartalsprognose" descr="Quarter forecast chart" title="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</xdr:colOff>
      <xdr:row>38</xdr:row>
      <xdr:rowOff>9526</xdr:rowOff>
    </xdr:from>
    <xdr:to>
      <xdr:col>5</xdr:col>
      <xdr:colOff>141131</xdr:colOff>
      <xdr:row>43</xdr:row>
      <xdr:rowOff>57151</xdr:rowOff>
    </xdr:to>
    <xdr:graphicFrame macro="">
      <xdr:nvGraphicFramePr>
        <xdr:cNvPr id="7" name="Jahresprognose" descr="Year forecast chart" title="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198491</xdr:colOff>
      <xdr:row>38</xdr:row>
      <xdr:rowOff>9526</xdr:rowOff>
    </xdr:from>
    <xdr:to>
      <xdr:col>9</xdr:col>
      <xdr:colOff>874765</xdr:colOff>
      <xdr:row>43</xdr:row>
      <xdr:rowOff>64345</xdr:rowOff>
    </xdr:to>
    <xdr:graphicFrame macro="">
      <xdr:nvGraphicFramePr>
        <xdr:cNvPr id="8" name="Ertragsstrom" descr="Revenue stream chart" title="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504825</xdr:colOff>
      <xdr:row>1</xdr:row>
      <xdr:rowOff>85725</xdr:rowOff>
    </xdr:from>
    <xdr:to>
      <xdr:col>6</xdr:col>
      <xdr:colOff>696849</xdr:colOff>
      <xdr:row>1</xdr:row>
      <xdr:rowOff>314325</xdr:rowOff>
    </xdr:to>
    <xdr:sp macro="" textlink="">
      <xdr:nvSpPr>
        <xdr:cNvPr id="10" name="Umsatzbericht" descr="Click to view Dateneingabe sheet." title="Dateneingabe navigation button">
          <a:hlinkClick xmlns:r="http://schemas.openxmlformats.org/officeDocument/2006/relationships" r:id="rId6" tooltip="Klicken, um Arbeitsblatt 'Dateneingabe' anzuzeigen"/>
        </xdr:cNvPr>
        <xdr:cNvSpPr/>
      </xdr:nvSpPr>
      <xdr:spPr>
        <a:xfrm>
          <a:off x="4676775" y="228600"/>
          <a:ext cx="1106424" cy="228600"/>
        </a:xfrm>
        <a:prstGeom prst="round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>
              <a:solidFill>
                <a:schemeClr val="bg1"/>
              </a:solidFill>
              <a:latin typeface="+mn-lt"/>
            </a:rPr>
            <a:t>Dateneingabe</a:t>
          </a:r>
        </a:p>
      </xdr:txBody>
    </xdr:sp>
    <xdr:clientData fPrintsWithSheet="0"/>
  </xdr:twoCellAnchor>
  <xdr:twoCellAnchor>
    <xdr:from>
      <xdr:col>6</xdr:col>
      <xdr:colOff>752476</xdr:colOff>
      <xdr:row>1</xdr:row>
      <xdr:rowOff>76201</xdr:rowOff>
    </xdr:from>
    <xdr:to>
      <xdr:col>7</xdr:col>
      <xdr:colOff>561976</xdr:colOff>
      <xdr:row>1</xdr:row>
      <xdr:rowOff>314327</xdr:rowOff>
    </xdr:to>
    <xdr:sp macro="" textlink="">
      <xdr:nvSpPr>
        <xdr:cNvPr id="11" name="Umsatzprognose" descr="Click to view Umsatzbericht sheet." title="Umsatzbericht navigation button">
          <a:hlinkClick xmlns:r="http://schemas.openxmlformats.org/officeDocument/2006/relationships" r:id="rId7" tooltip="Klicken, um Arbeitsblatt 'Umsatzbericht' anzuzeigen"/>
        </xdr:cNvPr>
        <xdr:cNvSpPr/>
      </xdr:nvSpPr>
      <xdr:spPr>
        <a:xfrm>
          <a:off x="6800851" y="219076"/>
          <a:ext cx="1200150" cy="238126"/>
        </a:xfrm>
        <a:prstGeom prst="round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>
              <a:solidFill>
                <a:schemeClr val="bg1"/>
              </a:solidFill>
            </a:rPr>
            <a:t>Umsatzbericht</a:t>
          </a:r>
        </a:p>
      </xdr:txBody>
    </xdr:sp>
    <xdr:clientData fPrintsWithSheet="0"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ester" refreshedDate="41164.508082060187" createdVersion="5" refreshedVersion="5" minRefreshableVersion="3" recordCount="19">
  <cacheSource type="worksheet">
    <worksheetSource name="tblDaten"/>
  </cacheSource>
  <cacheFields count="16">
    <cacheField name="DATUM" numFmtId="14">
      <sharedItems containsSemiMixedTypes="0" containsNonDate="0" containsDate="1" containsString="0" minDate="2013-04-23T00:00:00" maxDate="2013-12-12T00:00:00"/>
    </cacheField>
    <cacheField name="FIRMA" numFmtId="0">
      <sharedItems count="6">
        <s v="A. Datum Corporation"/>
        <s v="Contoso Pharmaceuticals"/>
        <s v="Consolidated Messenger"/>
        <s v="Proseware, Inc."/>
        <s v="School of Fine Art"/>
        <s v="Trey Research"/>
      </sharedItems>
    </cacheField>
    <cacheField name="BETRAG" numFmtId="167">
      <sharedItems containsSemiMixedTypes="0" containsString="0" containsNumber="1" containsInteger="1" minValue="4400" maxValue="9500"/>
    </cacheField>
    <cacheField name="GEPLANT" numFmtId="167">
      <sharedItems containsSemiMixedTypes="0" containsString="0" containsNumber="1" containsInteger="1" minValue="4200" maxValue="10000"/>
    </cacheField>
    <cacheField name="KOSTEN" numFmtId="167">
      <sharedItems containsSemiMixedTypes="0" containsString="0" containsNumber="1" containsInteger="1" minValue="2600" maxValue="8500"/>
    </cacheField>
    <cacheField name="ERTRAG" numFmtId="167">
      <sharedItems containsSemiMixedTypes="0" containsString="0" containsNumber="1" containsInteger="1" minValue="900" maxValue="1950"/>
    </cacheField>
    <cacheField name="MONAT" numFmtId="166">
      <sharedItems containsSemiMixedTypes="0" containsNonDate="0" containsDate="1" containsString="0" minDate="2013-04-01T00:00:00" maxDate="2013-12-02T00:00:00" count="9">
        <d v="2013-04-01T00:00:00"/>
        <d v="2013-05-01T00:00:00"/>
        <d v="2013-06-01T00:00:00"/>
        <d v="2013-07-01T00:00:00"/>
        <d v="2013-08-01T00:00:00"/>
        <d v="2013-09-01T00:00:00"/>
        <d v="2013-10-01T00:00:00"/>
        <d v="2013-11-01T00:00:00"/>
        <d v="2013-12-01T00:00:00"/>
      </sharedItems>
    </cacheField>
    <cacheField name="QUARTAL" numFmtId="168">
      <sharedItems containsSemiMixedTypes="0" containsString="0" containsNumber="1" containsInteger="1" minValue="2" maxValue="4" count="3">
        <n v="2"/>
        <n v="3"/>
        <n v="4"/>
      </sharedItems>
    </cacheField>
    <cacheField name="JAHR" numFmtId="0">
      <sharedItems containsSemiMixedTypes="0" containsString="0" containsNumber="1" containsInteger="1" minValue="2013" maxValue="2013" count="1">
        <n v="2013"/>
      </sharedItems>
    </cacheField>
    <cacheField name="MONAT NR (AUSBLENDEN)" numFmtId="0">
      <sharedItems containsSemiMixedTypes="0" containsString="0" containsNumber="1" containsInteger="1" minValue="4" maxValue="12"/>
    </cacheField>
    <cacheField name="MONAT " numFmtId="167">
      <sharedItems containsSemiMixedTypes="0" containsString="0" containsNumber="1" containsInteger="1" minValue="8700" maxValue="25600"/>
    </cacheField>
    <cacheField name="QUARTAL " numFmtId="167">
      <sharedItems containsSemiMixedTypes="0" containsString="0" containsNumber="1" containsInteger="1" minValue="43900" maxValue="50800"/>
    </cacheField>
    <cacheField name="JÄHRLICH " numFmtId="167">
      <sharedItems containsSemiMixedTypes="0" containsString="0" containsNumber="1" containsInteger="1" minValue="143800" maxValue="143800"/>
    </cacheField>
    <cacheField name="MONAT  " numFmtId="167">
      <sharedItems containsSemiMixedTypes="0" containsString="0" containsNumber="1" minValue="10776.470588235294" maxValue="29000"/>
    </cacheField>
    <cacheField name="QUARTAL  " numFmtId="167">
      <sharedItems containsSemiMixedTypes="0" containsString="0" containsNumber="1" minValue="41288.23529411765" maxValue="50800"/>
    </cacheField>
    <cacheField name="JAHR  " numFmtId="167">
      <sharedItems containsSemiMixedTypes="0" containsString="0" containsNumber="1" containsInteger="1" minValue="143800" maxValue="1438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">
  <r>
    <d v="2013-04-23T00:00:00"/>
    <x v="0"/>
    <n v="6400"/>
    <n v="6200"/>
    <n v="4450"/>
    <n v="1950"/>
    <x v="0"/>
    <x v="0"/>
    <x v="0"/>
    <n v="4"/>
    <n v="14600"/>
    <n v="50800"/>
    <n v="143800"/>
    <n v="14600"/>
    <n v="50800"/>
    <n v="143800"/>
  </r>
  <r>
    <d v="2013-04-25T00:00:00"/>
    <x v="1"/>
    <n v="8200"/>
    <n v="8000"/>
    <n v="6400"/>
    <n v="1800"/>
    <x v="0"/>
    <x v="0"/>
    <x v="0"/>
    <n v="4"/>
    <n v="14600"/>
    <n v="50800"/>
    <n v="143800"/>
    <n v="14600"/>
    <n v="50800"/>
    <n v="143800"/>
  </r>
  <r>
    <d v="2013-05-07T00:00:00"/>
    <x v="2"/>
    <n v="4400"/>
    <n v="4200"/>
    <n v="2600"/>
    <n v="1800"/>
    <x v="1"/>
    <x v="0"/>
    <x v="0"/>
    <n v="5"/>
    <n v="21800"/>
    <n v="50800"/>
    <n v="143800"/>
    <n v="28999.999999999996"/>
    <n v="50800"/>
    <n v="143800"/>
  </r>
  <r>
    <d v="2013-05-14T00:00:00"/>
    <x v="3"/>
    <n v="5400"/>
    <n v="5500"/>
    <n v="4500"/>
    <n v="900"/>
    <x v="1"/>
    <x v="0"/>
    <x v="0"/>
    <n v="5"/>
    <n v="21800"/>
    <n v="50800"/>
    <n v="143800"/>
    <n v="29000"/>
    <n v="50800"/>
    <n v="143800"/>
  </r>
  <r>
    <d v="2013-05-14T00:00:00"/>
    <x v="4"/>
    <n v="5800"/>
    <n v="6000"/>
    <n v="4500"/>
    <n v="1300"/>
    <x v="1"/>
    <x v="0"/>
    <x v="0"/>
    <n v="5"/>
    <n v="21800"/>
    <n v="50800"/>
    <n v="143800"/>
    <n v="29000"/>
    <n v="50800"/>
    <n v="143800"/>
  </r>
  <r>
    <d v="2013-05-29T00:00:00"/>
    <x v="5"/>
    <n v="6200"/>
    <n v="6000"/>
    <n v="4500"/>
    <n v="1700"/>
    <x v="1"/>
    <x v="0"/>
    <x v="0"/>
    <n v="5"/>
    <n v="21800"/>
    <n v="50800"/>
    <n v="143800"/>
    <n v="29000"/>
    <n v="50800"/>
    <n v="143800"/>
  </r>
  <r>
    <d v="2013-06-10T00:00:00"/>
    <x v="0"/>
    <n v="6900"/>
    <n v="7500"/>
    <n v="5400"/>
    <n v="1500"/>
    <x v="2"/>
    <x v="0"/>
    <x v="0"/>
    <n v="6"/>
    <n v="14400"/>
    <n v="50800"/>
    <n v="143800"/>
    <n v="21600.000000000004"/>
    <n v="50800"/>
    <n v="143800"/>
  </r>
  <r>
    <d v="2013-06-21T00:00:00"/>
    <x v="1"/>
    <n v="7500"/>
    <n v="7200"/>
    <n v="6500"/>
    <n v="1000"/>
    <x v="2"/>
    <x v="0"/>
    <x v="0"/>
    <n v="6"/>
    <n v="14400"/>
    <n v="50800"/>
    <n v="143800"/>
    <n v="17950"/>
    <n v="50800"/>
    <n v="143800"/>
  </r>
  <r>
    <d v="2013-07-06T00:00:00"/>
    <x v="2"/>
    <n v="8700"/>
    <n v="8500"/>
    <n v="7250"/>
    <n v="1450"/>
    <x v="3"/>
    <x v="1"/>
    <x v="0"/>
    <n v="7"/>
    <n v="8700"/>
    <n v="49100"/>
    <n v="143800"/>
    <n v="10776.470588235294"/>
    <n v="47400"/>
    <n v="143800"/>
  </r>
  <r>
    <d v="2013-08-05T00:00:00"/>
    <x v="3"/>
    <n v="8500"/>
    <n v="8300"/>
    <n v="7100"/>
    <n v="1400"/>
    <x v="4"/>
    <x v="1"/>
    <x v="0"/>
    <n v="8"/>
    <n v="16400"/>
    <n v="49100"/>
    <n v="143800"/>
    <n v="12455.862068965516"/>
    <n v="47400"/>
    <n v="143800"/>
  </r>
  <r>
    <d v="2013-08-19T00:00:00"/>
    <x v="4"/>
    <n v="7900"/>
    <n v="7700"/>
    <n v="6600"/>
    <n v="1300"/>
    <x v="4"/>
    <x v="1"/>
    <x v="0"/>
    <n v="8"/>
    <n v="16400"/>
    <n v="49100"/>
    <n v="143800"/>
    <n v="13667.567567567567"/>
    <n v="47400.000000000007"/>
    <n v="143800"/>
  </r>
  <r>
    <d v="2013-09-04T00:00:00"/>
    <x v="5"/>
    <n v="9100"/>
    <n v="8900"/>
    <n v="7900"/>
    <n v="1200"/>
    <x v="5"/>
    <x v="1"/>
    <x v="0"/>
    <n v="9"/>
    <n v="24000"/>
    <n v="49100"/>
    <n v="143800"/>
    <n v="17651.666666666668"/>
    <n v="47400"/>
    <n v="143800"/>
  </r>
  <r>
    <d v="2013-09-20T00:00:00"/>
    <x v="1"/>
    <n v="5600"/>
    <n v="5800"/>
    <n v="4500"/>
    <n v="1100"/>
    <x v="5"/>
    <x v="1"/>
    <x v="0"/>
    <n v="9"/>
    <n v="24000"/>
    <n v="49100"/>
    <n v="143800"/>
    <n v="19877.911646586344"/>
    <n v="47400"/>
    <n v="143800"/>
  </r>
  <r>
    <d v="2013-09-25T00:00:00"/>
    <x v="2"/>
    <n v="9300"/>
    <n v="9100"/>
    <n v="7500"/>
    <n v="1800"/>
    <x v="5"/>
    <x v="1"/>
    <x v="0"/>
    <n v="9"/>
    <n v="24000"/>
    <n v="49100"/>
    <n v="143800"/>
    <n v="21138.050314465407"/>
    <n v="47400"/>
    <n v="143800"/>
  </r>
  <r>
    <d v="2013-10-15T00:00:00"/>
    <x v="3"/>
    <n v="8800"/>
    <n v="9350"/>
    <n v="7100"/>
    <n v="1700"/>
    <x v="6"/>
    <x v="2"/>
    <x v="0"/>
    <n v="10"/>
    <n v="8800"/>
    <n v="43900"/>
    <n v="143800"/>
    <n v="17951.744186046511"/>
    <n v="43258.139534883725"/>
    <n v="143800"/>
  </r>
  <r>
    <d v="2013-11-05T00:00:00"/>
    <x v="4"/>
    <n v="9100"/>
    <n v="9200"/>
    <n v="7850"/>
    <n v="1250"/>
    <x v="7"/>
    <x v="2"/>
    <x v="0"/>
    <n v="11"/>
    <n v="25600"/>
    <n v="43900"/>
    <n v="143800"/>
    <n v="20556.130108423687"/>
    <n v="42312.903225806447"/>
    <n v="143800"/>
  </r>
  <r>
    <d v="2013-11-26T00:00:00"/>
    <x v="5"/>
    <n v="9000"/>
    <n v="10000"/>
    <n v="7575"/>
    <n v="1425"/>
    <x v="7"/>
    <x v="2"/>
    <x v="0"/>
    <n v="11"/>
    <n v="25600"/>
    <n v="43900"/>
    <n v="143800"/>
    <n v="21997.139141742522"/>
    <n v="41811.111111111109"/>
    <n v="143800"/>
  </r>
  <r>
    <d v="2013-11-30T00:00:00"/>
    <x v="5"/>
    <n v="7500"/>
    <n v="8000"/>
    <n v="5850"/>
    <n v="1650"/>
    <x v="7"/>
    <x v="2"/>
    <x v="0"/>
    <n v="11"/>
    <n v="25600"/>
    <n v="43900"/>
    <n v="143800"/>
    <n v="22917.634523175278"/>
    <n v="41500"/>
    <n v="143800"/>
  </r>
  <r>
    <d v="2013-12-11T00:00:00"/>
    <x v="1"/>
    <n v="9500"/>
    <n v="9200"/>
    <n v="8500"/>
    <n v="1000"/>
    <x v="8"/>
    <x v="2"/>
    <x v="0"/>
    <n v="12"/>
    <n v="9500"/>
    <n v="43900"/>
    <n v="143800"/>
    <n v="20504.314720812181"/>
    <n v="41288.23529411765"/>
    <n v="1438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tSalesData" cacheId="23" applyNumberFormats="0" applyBorderFormats="0" applyFontFormats="0" applyPatternFormats="0" applyAlignmentFormats="0" applyWidthHeightFormats="1" dataCaption="Werte" updatedVersion="5" minRefreshableVersion="3" showDrill="0" fieldPrintTitles="1" itemPrintTitles="1" createdVersion="4" indent="0" compact="0" compactData="0" multipleFieldFilters="0">
  <location ref="B5:F28" firstHeaderRow="1" firstDataRow="1" firstDataCol="4"/>
  <pivotFields count="16">
    <pivotField compact="0" numFmtId="14" outline="0" showAll="0" defaultSubtotal="0"/>
    <pivotField axis="axisRow" compact="0" outline="0" showAll="0">
      <items count="7">
        <item x="0"/>
        <item x="2"/>
        <item x="1"/>
        <item x="3"/>
        <item n="Hochschule der Schönen Künste" x="4"/>
        <item x="5"/>
        <item t="default"/>
      </items>
    </pivotField>
    <pivotField dataField="1" compact="0" numFmtId="167" outline="0" showAll="0" defaultSubtotal="0"/>
    <pivotField compact="0" numFmtId="167" outline="0" showAll="0" defaultSubtotal="0"/>
    <pivotField compact="0" numFmtId="167" outline="0" showAll="0" defaultSubtotal="0"/>
    <pivotField compact="0" numFmtId="167" outline="0" showAll="0" defaultSubtotal="0"/>
    <pivotField axis="axisRow" compact="0" numFmtId="166" outline="0" showAll="0" defaultSubtotal="0">
      <items count="9">
        <item x="0"/>
        <item x="1"/>
        <item x="2"/>
        <item x="3"/>
        <item x="4"/>
        <item x="5"/>
        <item x="6"/>
        <item x="7"/>
        <item x="8"/>
      </items>
    </pivotField>
    <pivotField axis="axisRow" compact="0" numFmtId="168" outline="0" showAll="0">
      <items count="4">
        <item x="0"/>
        <item x="1"/>
        <item x="2"/>
        <item t="default"/>
      </items>
    </pivotField>
    <pivotField axis="axisRow" compact="0" outline="0" showAll="0">
      <items count="2">
        <item x="0"/>
        <item t="default"/>
      </items>
    </pivotField>
    <pivotField compact="0" outline="0" showAll="0" defaultSubtotal="0"/>
    <pivotField compact="0" numFmtId="167" outline="0" showAll="0" defaultSubtotal="0"/>
    <pivotField compact="0" numFmtId="167" outline="0" showAll="0" defaultSubtotal="0"/>
    <pivotField compact="0" numFmtId="167" outline="0" showAll="0" defaultSubtotal="0"/>
    <pivotField compact="0" numFmtId="167" outline="0" showAll="0" defaultSubtotal="0"/>
    <pivotField compact="0" numFmtId="167" outline="0" showAll="0" defaultSubtotal="0"/>
    <pivotField compact="0" numFmtId="167" outline="0" showAll="0" defaultSubtotal="0"/>
  </pivotFields>
  <rowFields count="4">
    <field x="8"/>
    <field x="7"/>
    <field x="6"/>
    <field x="1"/>
  </rowFields>
  <rowItems count="23">
    <i>
      <x/>
      <x/>
      <x/>
      <x/>
    </i>
    <i r="3">
      <x v="2"/>
    </i>
    <i r="2">
      <x v="1"/>
      <x v="1"/>
    </i>
    <i r="3">
      <x v="3"/>
    </i>
    <i r="3">
      <x v="4"/>
    </i>
    <i r="3">
      <x v="5"/>
    </i>
    <i r="2">
      <x v="2"/>
      <x/>
    </i>
    <i r="3">
      <x v="2"/>
    </i>
    <i t="default" r="1">
      <x/>
    </i>
    <i r="1">
      <x v="1"/>
      <x v="3"/>
      <x v="1"/>
    </i>
    <i r="2">
      <x v="4"/>
      <x v="3"/>
    </i>
    <i r="3">
      <x v="4"/>
    </i>
    <i r="2">
      <x v="5"/>
      <x v="1"/>
    </i>
    <i r="3">
      <x v="2"/>
    </i>
    <i r="3">
      <x v="5"/>
    </i>
    <i t="default" r="1">
      <x v="1"/>
    </i>
    <i r="1">
      <x v="2"/>
      <x v="6"/>
      <x v="3"/>
    </i>
    <i r="2">
      <x v="7"/>
      <x v="4"/>
    </i>
    <i r="3">
      <x v="5"/>
    </i>
    <i r="2">
      <x v="8"/>
      <x v="2"/>
    </i>
    <i t="default" r="1">
      <x v="2"/>
    </i>
    <i t="default">
      <x/>
    </i>
    <i t="grand">
      <x/>
    </i>
  </rowItems>
  <colItems count="1">
    <i/>
  </colItems>
  <dataFields count="1">
    <dataField name="Summe von BETRAG" fld="2" baseField="0" baseItem="0" numFmtId="167"/>
  </dataFields>
  <formats count="15">
    <format dxfId="0">
      <pivotArea field="8" type="button" dataOnly="0" labelOnly="1" outline="0" axis="axisRow" fieldPosition="0"/>
    </format>
    <format dxfId="1">
      <pivotArea field="8" type="button" dataOnly="0" labelOnly="1" outline="0" axis="axisRow" fieldPosition="0"/>
    </format>
    <format dxfId="2">
      <pivotArea dataOnly="0" labelOnly="1" outline="0" axis="axisValues" fieldPosition="0"/>
    </format>
    <format dxfId="3">
      <pivotArea dataOnly="0" labelOnly="1" outline="0" axis="axisValues" fieldPosition="0"/>
    </format>
    <format dxfId="4">
      <pivotArea dataOnly="0" labelOnly="1" outline="0" fieldPosition="0">
        <references count="1">
          <reference field="8" count="0"/>
        </references>
      </pivotArea>
    </format>
    <format dxfId="5">
      <pivotArea dataOnly="0" labelOnly="1" outline="0" fieldPosition="0">
        <references count="2">
          <reference field="7" count="1">
            <x v="0"/>
          </reference>
          <reference field="8" count="0" selected="0"/>
        </references>
      </pivotArea>
    </format>
    <format dxfId="6">
      <pivotArea dataOnly="0" labelOnly="1" outline="0" fieldPosition="0">
        <references count="2">
          <reference field="7" count="1">
            <x v="1"/>
          </reference>
          <reference field="8" count="0" selected="0"/>
        </references>
      </pivotArea>
    </format>
    <format dxfId="7">
      <pivotArea dataOnly="0" labelOnly="1" outline="0" fieldPosition="0">
        <references count="2">
          <reference field="7" count="1">
            <x v="2"/>
          </reference>
          <reference field="8" count="0" selected="0"/>
        </references>
      </pivotArea>
    </format>
    <format dxfId="8">
      <pivotArea dataOnly="0" labelOnly="1" outline="0" fieldPosition="0">
        <references count="3">
          <reference field="6" count="3">
            <x v="0"/>
            <x v="1"/>
            <x v="2"/>
          </reference>
          <reference field="7" count="1" selected="0">
            <x v="0"/>
          </reference>
          <reference field="8" count="0" selected="0"/>
        </references>
      </pivotArea>
    </format>
    <format dxfId="9">
      <pivotArea dataOnly="0" labelOnly="1" outline="0" fieldPosition="0">
        <references count="3">
          <reference field="6" count="3">
            <x v="3"/>
            <x v="4"/>
            <x v="5"/>
          </reference>
          <reference field="7" count="1" selected="0">
            <x v="1"/>
          </reference>
          <reference field="8" count="0" selected="0"/>
        </references>
      </pivotArea>
    </format>
    <format dxfId="10">
      <pivotArea dataOnly="0" labelOnly="1" outline="0" fieldPosition="0">
        <references count="3">
          <reference field="6" count="3">
            <x v="6"/>
            <x v="7"/>
            <x v="8"/>
          </reference>
          <reference field="7" count="1" selected="0">
            <x v="2"/>
          </reference>
          <reference field="8" count="0" selected="0"/>
        </references>
      </pivotArea>
    </format>
    <format dxfId="11">
      <pivotArea outline="0" collapsedLevelsAreSubtotals="1" fieldPosition="0"/>
    </format>
    <format dxfId="12">
      <pivotArea dataOnly="0" labelOnly="1" outline="0" fieldPosition="0">
        <references count="1">
          <reference field="8" count="0" defaultSubtotal="1"/>
        </references>
      </pivotArea>
    </format>
    <format dxfId="13">
      <pivotArea outline="0" collapsedLevelsAreSubtotals="1" fieldPosition="0">
        <references count="1">
          <reference field="8" count="0" selected="0" defaultSubtotal="1"/>
        </references>
      </pivotArea>
    </format>
    <format dxfId="14">
      <pivotArea dataOnly="0" labelOnly="1" outline="0" axis="axisValues" fieldPosition="0"/>
    </format>
  </formats>
  <pivotTableStyleInfo name="Monthly Umsatzbericht PivotTable Style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="PivotTable 'Monatlicher Umsatzbericht'" altTextSummary="Eine PivotTable, in der die monatlichen Umsätze gruppiert nach Jahr, Quartal, Monat und Firma zusammen mit den Gesamtumsätzen für jede Gruppe angezeigt werden" hideValuesRow="1"/>
    </ext>
  </extLst>
</pivotTableDefinition>
</file>

<file path=xl/tables/table1.xml><?xml version="1.0" encoding="utf-8"?>
<table xmlns="http://schemas.openxmlformats.org/spreadsheetml/2006/main" id="1" name="tblDaten" displayName="tblDaten" ref="B5:Q24" totalsRowShown="0" headerRowDxfId="39" dataDxfId="38">
  <autoFilter ref="B5:Q24"/>
  <tableColumns count="16">
    <tableColumn id="1" name="DATUM" dataDxfId="37"/>
    <tableColumn id="2" name="FIRMA" dataDxfId="36"/>
    <tableColumn id="3" name="BETRAG" dataDxfId="35"/>
    <tableColumn id="4" name="GEPLANT" dataDxfId="34"/>
    <tableColumn id="5" name="KOSTEN" dataDxfId="33"/>
    <tableColumn id="6" name="ERTRAG" dataDxfId="32">
      <calculatedColumnFormula>Dateneingabe!$D6-Dateneingabe!$F6</calculatedColumnFormula>
    </tableColumn>
    <tableColumn id="7" name="MONAT" dataDxfId="31">
      <calculatedColumnFormula>DATE(YEAR(Dateneingabe!$B6),MONTH(Dateneingabe!$B6),1)</calculatedColumnFormula>
    </tableColumn>
    <tableColumn id="8" name="QUARTAL" dataDxfId="30">
      <calculatedColumnFormula>LOOKUP(MONTH(Dateneingabe!$H6),{1,1;2,1;3,1;4,2;5,2;6,2;7,3;8,3;9,3;10,4;11,4;12,4})</calculatedColumnFormula>
    </tableColumn>
    <tableColumn id="9" name="JAHR" dataDxfId="29">
      <calculatedColumnFormula>YEAR(Dateneingabe!$B6)</calculatedColumnFormula>
    </tableColumn>
    <tableColumn id="10" name="MONAT NR (AUSBLENDEN)" dataDxfId="28">
      <calculatedColumnFormula>MONTH(Dateneingabe!$B6)</calculatedColumnFormula>
    </tableColumn>
    <tableColumn id="11" name="MONAT " dataDxfId="27">
      <calculatedColumnFormula>SUMIFS(Dateneingabe!$D$6:$D$24,Dateneingabe!$B$6:$B$24,"&gt;="&amp;EOMONTH(Dateneingabe!$B6,-1)+1,Dateneingabe!$B$6:$B$24,"&lt;="&amp;EOMONTH(Dateneingabe!$B6,0))</calculatedColumnFormula>
    </tableColumn>
    <tableColumn id="12" name="QUARTAL " dataDxfId="26">
      <calculatedColumnFormula>SUMIFS(Dateneingabe!$D$6:$D$24,Dateneingabe!$B$6:$B$24,"&gt;="&amp;DATE(YEAR(Dateneingabe!$B6),1,1),Dateneingabe!$B$6:$B$24,"&lt;="&amp;DATE(YEAR(Dateneingabe!$B6),12,31),Dateneingabe!$I$6:$I$24,Dateneingabe!$I6)</calculatedColumnFormula>
    </tableColumn>
    <tableColumn id="13" name="JÄHRLICH " dataDxfId="25">
      <calculatedColumnFormula>SUMIFS(Dateneingabe!$D$6:$D$24,Dateneingabe!$B$6:$B$24,"&gt;="&amp;DATE(YEAR(Dateneingabe!$B6),1,1),Dateneingabe!$B$6:$B$24,"&lt;="&amp;DATE(YEAR(Dateneingabe!$B6),12,31))</calculatedColumnFormula>
    </tableColumn>
    <tableColumn id="14" name="MONAT  " dataDxfId="24">
      <calculatedColumnFormula>IFERROR(TREND($L$6:INDEX($L:$L,ROW(),1),$K$6:INDEX($K:$K,ROW(),1),IF(MONTH(Dateneingabe!$B6)=12,13,MONTH(Dateneingabe!$B6)+1)),"")</calculatedColumnFormula>
    </tableColumn>
    <tableColumn id="15" name="QUARTAL  " dataDxfId="23">
      <calculatedColumnFormula>IFERROR(TREND($M$6:INDEX($M:$M,ROW(),1),$I$6:INDEX($I:$I,ROW(),1),IF(Dateneingabe!$I6=4,5,Dateneingabe!$I6+1)),"")</calculatedColumnFormula>
    </tableColumn>
    <tableColumn id="16" name="JAHR  " dataDxfId="22">
      <calculatedColumnFormula>IFERROR(TREND($N$6:INDEX($N:$N,ROW(),1),$J$6:INDEX($J:$J,ROW(),1),Dateneingabe!$J6+1),"")</calculatedColumnFormula>
    </tableColumn>
  </tableColumns>
  <tableStyleInfo name="Monthly Umsatzbericht Table Style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Monthly Umsatzbericht">
      <a:dk1>
        <a:srgbClr val="000000"/>
      </a:dk1>
      <a:lt1>
        <a:srgbClr val="FFFFFF"/>
      </a:lt1>
      <a:dk2>
        <a:srgbClr val="4E4F4B"/>
      </a:dk2>
      <a:lt2>
        <a:srgbClr val="EAEBEA"/>
      </a:lt2>
      <a:accent1>
        <a:srgbClr val="83BA96"/>
      </a:accent1>
      <a:accent2>
        <a:srgbClr val="D18A4E"/>
      </a:accent2>
      <a:accent3>
        <a:srgbClr val="977974"/>
      </a:accent3>
      <a:accent4>
        <a:srgbClr val="CFA94E"/>
      </a:accent4>
      <a:accent5>
        <a:srgbClr val="7596A9"/>
      </a:accent5>
      <a:accent6>
        <a:srgbClr val="A46675"/>
      </a:accent6>
      <a:hlink>
        <a:srgbClr val="7596A9"/>
      </a:hlink>
      <a:folHlink>
        <a:srgbClr val="A46675"/>
      </a:folHlink>
    </a:clrScheme>
    <a:fontScheme name="Monthly Umsatzbericht">
      <a:majorFont>
        <a:latin typeface="Arial Black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B1:Q24"/>
  <sheetViews>
    <sheetView showGridLines="0" tabSelected="1" zoomScaleNormal="100" workbookViewId="0"/>
  </sheetViews>
  <sheetFormatPr baseColWidth="10" defaultColWidth="9.33203125" defaultRowHeight="17.25" customHeight="1" x14ac:dyDescent="0.2"/>
  <cols>
    <col min="1" max="1" width="2" style="3" customWidth="1"/>
    <col min="2" max="2" width="12.1640625" style="3" customWidth="1"/>
    <col min="3" max="3" width="30.6640625" style="3" customWidth="1"/>
    <col min="4" max="4" width="15.6640625" style="3" customWidth="1"/>
    <col min="5" max="5" width="16.6640625" style="3" customWidth="1"/>
    <col min="6" max="6" width="14.5" style="3" customWidth="1"/>
    <col min="7" max="7" width="16.83203125" style="3" customWidth="1"/>
    <col min="8" max="8" width="14.33203125" style="3" customWidth="1"/>
    <col min="9" max="9" width="17.5" style="3" customWidth="1"/>
    <col min="10" max="10" width="12.83203125" style="3" customWidth="1"/>
    <col min="11" max="11" width="0.33203125" style="3" customWidth="1"/>
    <col min="12" max="12" width="13.83203125" style="3" customWidth="1"/>
    <col min="13" max="13" width="16.33203125" style="3" customWidth="1"/>
    <col min="14" max="14" width="15.6640625" style="3" customWidth="1"/>
    <col min="15" max="15" width="14" style="3" customWidth="1"/>
    <col min="16" max="16" width="16.6640625" style="3" customWidth="1"/>
    <col min="17" max="17" width="12.6640625" style="3" customWidth="1"/>
    <col min="18" max="16384" width="9.33203125" style="3"/>
  </cols>
  <sheetData>
    <row r="1" spans="2:17" customFormat="1" ht="11.25" customHeight="1" x14ac:dyDescent="0.2">
      <c r="J1">
        <f>365*2</f>
        <v>730</v>
      </c>
    </row>
    <row r="2" spans="2:17" customFormat="1" ht="33.75" customHeight="1" x14ac:dyDescent="0.2">
      <c r="B2" s="2" t="s">
        <v>13</v>
      </c>
    </row>
    <row r="3" spans="2:17" customFormat="1" ht="17.25" customHeight="1" x14ac:dyDescent="0.2">
      <c r="L3" s="19" t="s">
        <v>31</v>
      </c>
      <c r="M3" s="4"/>
      <c r="N3" s="4"/>
      <c r="O3" s="19" t="s">
        <v>30</v>
      </c>
      <c r="P3" s="4"/>
      <c r="Q3" s="4"/>
    </row>
    <row r="4" spans="2:17" customFormat="1" ht="11.25" customHeight="1" x14ac:dyDescent="0.2">
      <c r="L4" s="20"/>
      <c r="M4" s="21"/>
      <c r="N4" s="22"/>
      <c r="O4" s="20"/>
      <c r="P4" s="21"/>
      <c r="Q4" s="22"/>
    </row>
    <row r="5" spans="2:17" ht="17.25" customHeight="1" x14ac:dyDescent="0.2">
      <c r="B5" s="46" t="s">
        <v>23</v>
      </c>
      <c r="C5" s="46" t="s">
        <v>24</v>
      </c>
      <c r="D5" s="46" t="s">
        <v>25</v>
      </c>
      <c r="E5" s="46" t="s">
        <v>26</v>
      </c>
      <c r="F5" s="46" t="s">
        <v>27</v>
      </c>
      <c r="G5" s="46" t="s">
        <v>28</v>
      </c>
      <c r="H5" s="46" t="s">
        <v>14</v>
      </c>
      <c r="I5" s="46" t="s">
        <v>15</v>
      </c>
      <c r="J5" s="46" t="s">
        <v>19</v>
      </c>
      <c r="K5" s="46" t="s">
        <v>29</v>
      </c>
      <c r="L5" s="46" t="s">
        <v>16</v>
      </c>
      <c r="M5" s="46" t="s">
        <v>17</v>
      </c>
      <c r="N5" s="46" t="s">
        <v>18</v>
      </c>
      <c r="O5" s="46" t="s">
        <v>20</v>
      </c>
      <c r="P5" s="46" t="s">
        <v>21</v>
      </c>
      <c r="Q5" s="46" t="s">
        <v>22</v>
      </c>
    </row>
    <row r="6" spans="2:17" ht="17.25" customHeight="1" x14ac:dyDescent="0.2">
      <c r="B6" s="42">
        <f>40657+(365*2)</f>
        <v>41387</v>
      </c>
      <c r="C6" s="51" t="s">
        <v>0</v>
      </c>
      <c r="D6" s="52">
        <v>6400</v>
      </c>
      <c r="E6" s="52">
        <v>6200</v>
      </c>
      <c r="F6" s="52">
        <v>4450</v>
      </c>
      <c r="G6" s="53">
        <f>Dateneingabe!$D6-Dateneingabe!$F6</f>
        <v>1950</v>
      </c>
      <c r="H6" s="54">
        <f>DATE(YEAR(Dateneingabe!$B6),MONTH(Dateneingabe!$B6),1)</f>
        <v>41365</v>
      </c>
      <c r="I6" s="55">
        <f>LOOKUP(MONTH(Dateneingabe!$H6),{1,1;2,1;3,1;4,2;5,2;6,2;7,3;8,3;9,3;10,4;11,4;12,4})</f>
        <v>2</v>
      </c>
      <c r="J6" s="56">
        <f>YEAR(Dateneingabe!$B6)</f>
        <v>2013</v>
      </c>
      <c r="K6" s="59">
        <f>MONTH(Dateneingabe!$B6)</f>
        <v>4</v>
      </c>
      <c r="L6" s="58">
        <f>SUMIFS(Dateneingabe!$D$6:$D$24,Dateneingabe!$B$6:$B$24,"&gt;="&amp;EOMONTH(Dateneingabe!$B6,-1)+1,Dateneingabe!$B$6:$B$24,"&lt;="&amp;EOMONTH(Dateneingabe!$B6,0))</f>
        <v>14600</v>
      </c>
      <c r="M6" s="58">
        <f>SUMIFS(Dateneingabe!$D$6:$D$24,Dateneingabe!$B$6:$B$24,"&gt;="&amp;DATE(YEAR(Dateneingabe!$B6),1,1),Dateneingabe!$B$6:$B$24,"&lt;="&amp;DATE(YEAR(Dateneingabe!$B6),12,31),Dateneingabe!$I$6:$I$24,Dateneingabe!$I6)</f>
        <v>50800</v>
      </c>
      <c r="N6" s="58">
        <f>SUMIFS(Dateneingabe!$D$6:$D$24,Dateneingabe!$B$6:$B$24,"&gt;="&amp;DATE(YEAR(Dateneingabe!$B6),1,1),Dateneingabe!$B$6:$B$24,"&lt;="&amp;DATE(YEAR(Dateneingabe!$B6),12,31))</f>
        <v>143800</v>
      </c>
      <c r="O6" s="57">
        <f>IFERROR(TREND($L$6:INDEX($L:$L,ROW(),1),$K$6:INDEX($K:$K,ROW(),1),IF(MONTH(Dateneingabe!$B6)=12,13,MONTH(Dateneingabe!$B6)+1)),"")</f>
        <v>14600</v>
      </c>
      <c r="P6" s="57">
        <f>IFERROR(TREND($M$6:INDEX($M:$M,ROW(),1),$I$6:INDEX($I:$I,ROW(),1),IF(Dateneingabe!$I6=4,5,Dateneingabe!$I6+1)),"")</f>
        <v>50800</v>
      </c>
      <c r="Q6" s="57">
        <f>IFERROR(TREND($N$6:INDEX($N:$N,ROW(),1),$J$6:INDEX($J:$J,ROW(),1),Dateneingabe!$J6+1),"")</f>
        <v>143800</v>
      </c>
    </row>
    <row r="7" spans="2:17" ht="17.25" customHeight="1" x14ac:dyDescent="0.2">
      <c r="B7" s="42">
        <f>40659+(365*2)</f>
        <v>41389</v>
      </c>
      <c r="C7" s="51" t="s">
        <v>1</v>
      </c>
      <c r="D7" s="52">
        <v>8200</v>
      </c>
      <c r="E7" s="52">
        <v>8000</v>
      </c>
      <c r="F7" s="52">
        <v>6400</v>
      </c>
      <c r="G7" s="53">
        <f>Dateneingabe!$D7-Dateneingabe!$F7</f>
        <v>1800</v>
      </c>
      <c r="H7" s="54">
        <f>DATE(YEAR(Dateneingabe!$B7),MONTH(Dateneingabe!$B7),1)</f>
        <v>41365</v>
      </c>
      <c r="I7" s="55">
        <f>LOOKUP(MONTH(Dateneingabe!$H7),{1,1;2,1;3,1;4,2;5,2;6,2;7,3;8,3;9,3;10,4;11,4;12,4})</f>
        <v>2</v>
      </c>
      <c r="J7" s="56">
        <f>YEAR(Dateneingabe!$B7)</f>
        <v>2013</v>
      </c>
      <c r="K7" s="59">
        <f>MONTH(Dateneingabe!$B7)</f>
        <v>4</v>
      </c>
      <c r="L7" s="58">
        <f>SUMIFS(Dateneingabe!$D$6:$D$24,Dateneingabe!$B$6:$B$24,"&gt;="&amp;EOMONTH(Dateneingabe!$B7,-1)+1,Dateneingabe!$B$6:$B$24,"&lt;="&amp;EOMONTH(Dateneingabe!$B7,0))</f>
        <v>14600</v>
      </c>
      <c r="M7" s="58">
        <f>SUMIFS(Dateneingabe!$D$6:$D$24,Dateneingabe!$B$6:$B$24,"&gt;="&amp;DATE(YEAR(Dateneingabe!$B7),1,1),Dateneingabe!$B$6:$B$24,"&lt;="&amp;DATE(YEAR(Dateneingabe!$B7),12,31),Dateneingabe!$I$6:$I$24,Dateneingabe!$I7)</f>
        <v>50800</v>
      </c>
      <c r="N7" s="58">
        <f>SUMIFS(Dateneingabe!$D$6:$D$24,Dateneingabe!$B$6:$B$24,"&gt;="&amp;DATE(YEAR(Dateneingabe!$B7),1,1),Dateneingabe!$B$6:$B$24,"&lt;="&amp;DATE(YEAR(Dateneingabe!$B7),12,31))</f>
        <v>143800</v>
      </c>
      <c r="O7" s="57">
        <f>IFERROR(TREND($L$6:INDEX($L:$L,ROW(),1),$K$6:INDEX($K:$K,ROW(),1),IF(MONTH(Dateneingabe!$B7)=12,13,MONTH(Dateneingabe!$B7)+1)),"")</f>
        <v>14600</v>
      </c>
      <c r="P7" s="57">
        <f>IFERROR(TREND($M$6:INDEX($M:$M,ROW(),1),$I$6:INDEX($I:$I,ROW(),1),IF(Dateneingabe!$I7=4,5,Dateneingabe!$I7+1)),"")</f>
        <v>50800</v>
      </c>
      <c r="Q7" s="57">
        <f>IFERROR(TREND($N$6:INDEX($N:$N,ROW(),1),$J$6:INDEX($J:$J,ROW(),1),Dateneingabe!$J7+1),"")</f>
        <v>143800</v>
      </c>
    </row>
    <row r="8" spans="2:17" ht="17.25" customHeight="1" x14ac:dyDescent="0.2">
      <c r="B8" s="42">
        <f>40671+(365*2)</f>
        <v>41401</v>
      </c>
      <c r="C8" s="51" t="s">
        <v>2</v>
      </c>
      <c r="D8" s="52">
        <v>4400</v>
      </c>
      <c r="E8" s="52">
        <v>4200</v>
      </c>
      <c r="F8" s="52">
        <v>2600</v>
      </c>
      <c r="G8" s="53">
        <f>Dateneingabe!$D8-Dateneingabe!$F8</f>
        <v>1800</v>
      </c>
      <c r="H8" s="54">
        <f>DATE(YEAR(Dateneingabe!$B8),MONTH(Dateneingabe!$B8),1)</f>
        <v>41395</v>
      </c>
      <c r="I8" s="55">
        <f>LOOKUP(MONTH(Dateneingabe!$H8),{1,1;2,1;3,1;4,2;5,2;6,2;7,3;8,3;9,3;10,4;11,4;12,4})</f>
        <v>2</v>
      </c>
      <c r="J8" s="56">
        <f>YEAR(Dateneingabe!$B8)</f>
        <v>2013</v>
      </c>
      <c r="K8" s="59">
        <f>MONTH(Dateneingabe!$B8)</f>
        <v>5</v>
      </c>
      <c r="L8" s="58">
        <f>SUMIFS(Dateneingabe!$D$6:$D$24,Dateneingabe!$B$6:$B$24,"&gt;="&amp;EOMONTH(Dateneingabe!$B8,-1)+1,Dateneingabe!$B$6:$B$24,"&lt;="&amp;EOMONTH(Dateneingabe!$B8,0))</f>
        <v>21800</v>
      </c>
      <c r="M8" s="58">
        <f>SUMIFS(Dateneingabe!$D$6:$D$24,Dateneingabe!$B$6:$B$24,"&gt;="&amp;DATE(YEAR(Dateneingabe!$B8),1,1),Dateneingabe!$B$6:$B$24,"&lt;="&amp;DATE(YEAR(Dateneingabe!$B8),12,31),Dateneingabe!$I$6:$I$24,Dateneingabe!$I8)</f>
        <v>50800</v>
      </c>
      <c r="N8" s="58">
        <f>SUMIFS(Dateneingabe!$D$6:$D$24,Dateneingabe!$B$6:$B$24,"&gt;="&amp;DATE(YEAR(Dateneingabe!$B8),1,1),Dateneingabe!$B$6:$B$24,"&lt;="&amp;DATE(YEAR(Dateneingabe!$B8),12,31))</f>
        <v>143800</v>
      </c>
      <c r="O8" s="57">
        <f>IFERROR(TREND($L$6:INDEX($L:$L,ROW(),1),$K$6:INDEX($K:$K,ROW(),1),IF(MONTH(Dateneingabe!$B8)=12,13,MONTH(Dateneingabe!$B8)+1)),"")</f>
        <v>28999.999999999996</v>
      </c>
      <c r="P8" s="57">
        <f>IFERROR(TREND($M$6:INDEX($M:$M,ROW(),1),$I$6:INDEX($I:$I,ROW(),1),IF(Dateneingabe!$I8=4,5,Dateneingabe!$I8+1)),"")</f>
        <v>50800</v>
      </c>
      <c r="Q8" s="57">
        <f>IFERROR(TREND($N$6:INDEX($N:$N,ROW(),1),$J$6:INDEX($J:$J,ROW(),1),Dateneingabe!$J8+1),"")</f>
        <v>143800</v>
      </c>
    </row>
    <row r="9" spans="2:17" ht="17.25" customHeight="1" x14ac:dyDescent="0.2">
      <c r="B9" s="42">
        <f>40678+(365*2)</f>
        <v>41408</v>
      </c>
      <c r="C9" s="51" t="s">
        <v>3</v>
      </c>
      <c r="D9" s="52">
        <v>5400</v>
      </c>
      <c r="E9" s="52">
        <v>5500</v>
      </c>
      <c r="F9" s="52">
        <v>4500</v>
      </c>
      <c r="G9" s="53">
        <f>Dateneingabe!$D9-Dateneingabe!$F9</f>
        <v>900</v>
      </c>
      <c r="H9" s="54">
        <f>DATE(YEAR(Dateneingabe!$B9),MONTH(Dateneingabe!$B9),1)</f>
        <v>41395</v>
      </c>
      <c r="I9" s="55">
        <f>LOOKUP(MONTH(Dateneingabe!$H9),{1,1;2,1;3,1;4,2;5,2;6,2;7,3;8,3;9,3;10,4;11,4;12,4})</f>
        <v>2</v>
      </c>
      <c r="J9" s="56">
        <f>YEAR(Dateneingabe!$B9)</f>
        <v>2013</v>
      </c>
      <c r="K9" s="59">
        <f>MONTH(Dateneingabe!$B9)</f>
        <v>5</v>
      </c>
      <c r="L9" s="58">
        <f>SUMIFS(Dateneingabe!$D$6:$D$24,Dateneingabe!$B$6:$B$24,"&gt;="&amp;EOMONTH(Dateneingabe!$B9,-1)+1,Dateneingabe!$B$6:$B$24,"&lt;="&amp;EOMONTH(Dateneingabe!$B9,0))</f>
        <v>21800</v>
      </c>
      <c r="M9" s="58">
        <f>SUMIFS(Dateneingabe!$D$6:$D$24,Dateneingabe!$B$6:$B$24,"&gt;="&amp;DATE(YEAR(Dateneingabe!$B9),1,1),Dateneingabe!$B$6:$B$24,"&lt;="&amp;DATE(YEAR(Dateneingabe!$B9),12,31),Dateneingabe!$I$6:$I$24,Dateneingabe!$I9)</f>
        <v>50800</v>
      </c>
      <c r="N9" s="58">
        <f>SUMIFS(Dateneingabe!$D$6:$D$24,Dateneingabe!$B$6:$B$24,"&gt;="&amp;DATE(YEAR(Dateneingabe!$B9),1,1),Dateneingabe!$B$6:$B$24,"&lt;="&amp;DATE(YEAR(Dateneingabe!$B9),12,31))</f>
        <v>143800</v>
      </c>
      <c r="O9" s="57">
        <f>IFERROR(TREND($L$6:INDEX($L:$L,ROW(),1),$K$6:INDEX($K:$K,ROW(),1),IF(MONTH(Dateneingabe!$B9)=12,13,MONTH(Dateneingabe!$B9)+1)),"")</f>
        <v>29000</v>
      </c>
      <c r="P9" s="57">
        <f>IFERROR(TREND($M$6:INDEX($M:$M,ROW(),1),$I$6:INDEX($I:$I,ROW(),1),IF(Dateneingabe!$I9=4,5,Dateneingabe!$I9+1)),"")</f>
        <v>50800</v>
      </c>
      <c r="Q9" s="57">
        <f>IFERROR(TREND($N$6:INDEX($N:$N,ROW(),1),$J$6:INDEX($J:$J,ROW(),1),Dateneingabe!$J9+1),"")</f>
        <v>143800</v>
      </c>
    </row>
    <row r="10" spans="2:17" ht="17.25" customHeight="1" x14ac:dyDescent="0.2">
      <c r="B10" s="42">
        <f>40678+(365*2)</f>
        <v>41408</v>
      </c>
      <c r="C10" s="51" t="s">
        <v>56</v>
      </c>
      <c r="D10" s="52">
        <v>5800</v>
      </c>
      <c r="E10" s="52">
        <v>6000</v>
      </c>
      <c r="F10" s="52">
        <v>4500</v>
      </c>
      <c r="G10" s="53">
        <f>Dateneingabe!$D10-Dateneingabe!$F10</f>
        <v>1300</v>
      </c>
      <c r="H10" s="54">
        <f>DATE(YEAR(Dateneingabe!$B10),MONTH(Dateneingabe!$B10),1)</f>
        <v>41395</v>
      </c>
      <c r="I10" s="55">
        <f>LOOKUP(MONTH(Dateneingabe!$H10),{1,1;2,1;3,1;4,2;5,2;6,2;7,3;8,3;9,3;10,4;11,4;12,4})</f>
        <v>2</v>
      </c>
      <c r="J10" s="56">
        <f>YEAR(Dateneingabe!$B10)</f>
        <v>2013</v>
      </c>
      <c r="K10" s="59">
        <f>MONTH(Dateneingabe!$B10)</f>
        <v>5</v>
      </c>
      <c r="L10" s="58">
        <f>SUMIFS(Dateneingabe!$D$6:$D$24,Dateneingabe!$B$6:$B$24,"&gt;="&amp;EOMONTH(Dateneingabe!$B10,-1)+1,Dateneingabe!$B$6:$B$24,"&lt;="&amp;EOMONTH(Dateneingabe!$B10,0))</f>
        <v>21800</v>
      </c>
      <c r="M10" s="58">
        <f>SUMIFS(Dateneingabe!$D$6:$D$24,Dateneingabe!$B$6:$B$24,"&gt;="&amp;DATE(YEAR(Dateneingabe!$B10),1,1),Dateneingabe!$B$6:$B$24,"&lt;="&amp;DATE(YEAR(Dateneingabe!$B10),12,31),Dateneingabe!$I$6:$I$24,Dateneingabe!$I10)</f>
        <v>50800</v>
      </c>
      <c r="N10" s="58">
        <f>SUMIFS(Dateneingabe!$D$6:$D$24,Dateneingabe!$B$6:$B$24,"&gt;="&amp;DATE(YEAR(Dateneingabe!$B10),1,1),Dateneingabe!$B$6:$B$24,"&lt;="&amp;DATE(YEAR(Dateneingabe!$B10),12,31))</f>
        <v>143800</v>
      </c>
      <c r="O10" s="57">
        <f>IFERROR(TREND($L$6:INDEX($L:$L,ROW(),1),$K$6:INDEX($K:$K,ROW(),1),IF(MONTH(Dateneingabe!$B10)=12,13,MONTH(Dateneingabe!$B10)+1)),"")</f>
        <v>29000</v>
      </c>
      <c r="P10" s="57">
        <f>IFERROR(TREND($M$6:INDEX($M:$M,ROW(),1),$I$6:INDEX($I:$I,ROW(),1),IF(Dateneingabe!$I10=4,5,Dateneingabe!$I10+1)),"")</f>
        <v>50800</v>
      </c>
      <c r="Q10" s="57">
        <f>IFERROR(TREND($N$6:INDEX($N:$N,ROW(),1),$J$6:INDEX($J:$J,ROW(),1),Dateneingabe!$J10+1),"")</f>
        <v>143800</v>
      </c>
    </row>
    <row r="11" spans="2:17" ht="17.25" customHeight="1" x14ac:dyDescent="0.2">
      <c r="B11" s="42">
        <f>40693+(365*2)</f>
        <v>41423</v>
      </c>
      <c r="C11" s="51" t="s">
        <v>4</v>
      </c>
      <c r="D11" s="52">
        <v>6200</v>
      </c>
      <c r="E11" s="52">
        <v>6000</v>
      </c>
      <c r="F11" s="52">
        <v>4500</v>
      </c>
      <c r="G11" s="53">
        <f>Dateneingabe!$D11-Dateneingabe!$F11</f>
        <v>1700</v>
      </c>
      <c r="H11" s="54">
        <f>DATE(YEAR(Dateneingabe!$B11),MONTH(Dateneingabe!$B11),1)</f>
        <v>41395</v>
      </c>
      <c r="I11" s="55">
        <f>LOOKUP(MONTH(Dateneingabe!$H11),{1,1;2,1;3,1;4,2;5,2;6,2;7,3;8,3;9,3;10,4;11,4;12,4})</f>
        <v>2</v>
      </c>
      <c r="J11" s="56">
        <f>YEAR(Dateneingabe!$B11)</f>
        <v>2013</v>
      </c>
      <c r="K11" s="59">
        <f>MONTH(Dateneingabe!$B11)</f>
        <v>5</v>
      </c>
      <c r="L11" s="58">
        <f>SUMIFS(Dateneingabe!$D$6:$D$24,Dateneingabe!$B$6:$B$24,"&gt;="&amp;EOMONTH(Dateneingabe!$B11,-1)+1,Dateneingabe!$B$6:$B$24,"&lt;="&amp;EOMONTH(Dateneingabe!$B11,0))</f>
        <v>21800</v>
      </c>
      <c r="M11" s="58">
        <f>SUMIFS(Dateneingabe!$D$6:$D$24,Dateneingabe!$B$6:$B$24,"&gt;="&amp;DATE(YEAR(Dateneingabe!$B11),1,1),Dateneingabe!$B$6:$B$24,"&lt;="&amp;DATE(YEAR(Dateneingabe!$B11),12,31),Dateneingabe!$I$6:$I$24,Dateneingabe!$I11)</f>
        <v>50800</v>
      </c>
      <c r="N11" s="58">
        <f>SUMIFS(Dateneingabe!$D$6:$D$24,Dateneingabe!$B$6:$B$24,"&gt;="&amp;DATE(YEAR(Dateneingabe!$B11),1,1),Dateneingabe!$B$6:$B$24,"&lt;="&amp;DATE(YEAR(Dateneingabe!$B11),12,31))</f>
        <v>143800</v>
      </c>
      <c r="O11" s="57">
        <f>IFERROR(TREND($L$6:INDEX($L:$L,ROW(),1),$K$6:INDEX($K:$K,ROW(),1),IF(MONTH(Dateneingabe!$B11)=12,13,MONTH(Dateneingabe!$B11)+1)),"")</f>
        <v>29000</v>
      </c>
      <c r="P11" s="57">
        <f>IFERROR(TREND($M$6:INDEX($M:$M,ROW(),1),$I$6:INDEX($I:$I,ROW(),1),IF(Dateneingabe!$I11=4,5,Dateneingabe!$I11+1)),"")</f>
        <v>50800</v>
      </c>
      <c r="Q11" s="57">
        <f>IFERROR(TREND($N$6:INDEX($N:$N,ROW(),1),$J$6:INDEX($J:$J,ROW(),1),Dateneingabe!$J11+1),"")</f>
        <v>143800</v>
      </c>
    </row>
    <row r="12" spans="2:17" ht="17.25" customHeight="1" x14ac:dyDescent="0.2">
      <c r="B12" s="42">
        <f>40705+(365*2)</f>
        <v>41435</v>
      </c>
      <c r="C12" s="51" t="s">
        <v>0</v>
      </c>
      <c r="D12" s="52">
        <v>6900</v>
      </c>
      <c r="E12" s="52">
        <v>7500</v>
      </c>
      <c r="F12" s="52">
        <v>5400</v>
      </c>
      <c r="G12" s="53">
        <f>Dateneingabe!$D12-Dateneingabe!$F12</f>
        <v>1500</v>
      </c>
      <c r="H12" s="54">
        <f>DATE(YEAR(Dateneingabe!$B12),MONTH(Dateneingabe!$B12),1)</f>
        <v>41426</v>
      </c>
      <c r="I12" s="55">
        <f>LOOKUP(MONTH(Dateneingabe!$H12),{1,1;2,1;3,1;4,2;5,2;6,2;7,3;8,3;9,3;10,4;11,4;12,4})</f>
        <v>2</v>
      </c>
      <c r="J12" s="56">
        <f>YEAR(Dateneingabe!$B12)</f>
        <v>2013</v>
      </c>
      <c r="K12" s="59">
        <f>MONTH(Dateneingabe!$B12)</f>
        <v>6</v>
      </c>
      <c r="L12" s="58">
        <f>SUMIFS(Dateneingabe!$D$6:$D$24,Dateneingabe!$B$6:$B$24,"&gt;="&amp;EOMONTH(Dateneingabe!$B12,-1)+1,Dateneingabe!$B$6:$B$24,"&lt;="&amp;EOMONTH(Dateneingabe!$B12,0))</f>
        <v>14400</v>
      </c>
      <c r="M12" s="58">
        <f>SUMIFS(Dateneingabe!$D$6:$D$24,Dateneingabe!$B$6:$B$24,"&gt;="&amp;DATE(YEAR(Dateneingabe!$B12),1,1),Dateneingabe!$B$6:$B$24,"&lt;="&amp;DATE(YEAR(Dateneingabe!$B12),12,31),Dateneingabe!$I$6:$I$24,Dateneingabe!$I12)</f>
        <v>50800</v>
      </c>
      <c r="N12" s="58">
        <f>SUMIFS(Dateneingabe!$D$6:$D$24,Dateneingabe!$B$6:$B$24,"&gt;="&amp;DATE(YEAR(Dateneingabe!$B12),1,1),Dateneingabe!$B$6:$B$24,"&lt;="&amp;DATE(YEAR(Dateneingabe!$B12),12,31))</f>
        <v>143800</v>
      </c>
      <c r="O12" s="57">
        <f>IFERROR(TREND($L$6:INDEX($L:$L,ROW(),1),$K$6:INDEX($K:$K,ROW(),1),IF(MONTH(Dateneingabe!$B12)=12,13,MONTH(Dateneingabe!$B12)+1)),"")</f>
        <v>21600.000000000004</v>
      </c>
      <c r="P12" s="57">
        <f>IFERROR(TREND($M$6:INDEX($M:$M,ROW(),1),$I$6:INDEX($I:$I,ROW(),1),IF(Dateneingabe!$I12=4,5,Dateneingabe!$I12+1)),"")</f>
        <v>50800</v>
      </c>
      <c r="Q12" s="57">
        <f>IFERROR(TREND($N$6:INDEX($N:$N,ROW(),1),$J$6:INDEX($J:$J,ROW(),1),Dateneingabe!$J12+1),"")</f>
        <v>143800</v>
      </c>
    </row>
    <row r="13" spans="2:17" ht="17.25" customHeight="1" x14ac:dyDescent="0.2">
      <c r="B13" s="42">
        <f>40716+(365*2)</f>
        <v>41446</v>
      </c>
      <c r="C13" s="51" t="s">
        <v>1</v>
      </c>
      <c r="D13" s="52">
        <v>7500</v>
      </c>
      <c r="E13" s="52">
        <v>7200</v>
      </c>
      <c r="F13" s="52">
        <v>6500</v>
      </c>
      <c r="G13" s="53">
        <f>Dateneingabe!$D13-Dateneingabe!$F13</f>
        <v>1000</v>
      </c>
      <c r="H13" s="54">
        <f>DATE(YEAR(Dateneingabe!$B13),MONTH(Dateneingabe!$B13),1)</f>
        <v>41426</v>
      </c>
      <c r="I13" s="55">
        <f>LOOKUP(MONTH(Dateneingabe!$H13),{1,1;2,1;3,1;4,2;5,2;6,2;7,3;8,3;9,3;10,4;11,4;12,4})</f>
        <v>2</v>
      </c>
      <c r="J13" s="56">
        <f>YEAR(Dateneingabe!$B13)</f>
        <v>2013</v>
      </c>
      <c r="K13" s="59">
        <f>MONTH(Dateneingabe!$B13)</f>
        <v>6</v>
      </c>
      <c r="L13" s="58">
        <f>SUMIFS(Dateneingabe!$D$6:$D$24,Dateneingabe!$B$6:$B$24,"&gt;="&amp;EOMONTH(Dateneingabe!$B13,-1)+1,Dateneingabe!$B$6:$B$24,"&lt;="&amp;EOMONTH(Dateneingabe!$B13,0))</f>
        <v>14400</v>
      </c>
      <c r="M13" s="58">
        <f>SUMIFS(Dateneingabe!$D$6:$D$24,Dateneingabe!$B$6:$B$24,"&gt;="&amp;DATE(YEAR(Dateneingabe!$B13),1,1),Dateneingabe!$B$6:$B$24,"&lt;="&amp;DATE(YEAR(Dateneingabe!$B13),12,31),Dateneingabe!$I$6:$I$24,Dateneingabe!$I13)</f>
        <v>50800</v>
      </c>
      <c r="N13" s="58">
        <f>SUMIFS(Dateneingabe!$D$6:$D$24,Dateneingabe!$B$6:$B$24,"&gt;="&amp;DATE(YEAR(Dateneingabe!$B13),1,1),Dateneingabe!$B$6:$B$24,"&lt;="&amp;DATE(YEAR(Dateneingabe!$B13),12,31))</f>
        <v>143800</v>
      </c>
      <c r="O13" s="57">
        <f>IFERROR(TREND($L$6:INDEX($L:$L,ROW(),1),$K$6:INDEX($K:$K,ROW(),1),IF(MONTH(Dateneingabe!$B13)=12,13,MONTH(Dateneingabe!$B13)+1)),"")</f>
        <v>17950</v>
      </c>
      <c r="P13" s="57">
        <f>IFERROR(TREND($M$6:INDEX($M:$M,ROW(),1),$I$6:INDEX($I:$I,ROW(),1),IF(Dateneingabe!$I13=4,5,Dateneingabe!$I13+1)),"")</f>
        <v>50800</v>
      </c>
      <c r="Q13" s="57">
        <f>IFERROR(TREND($N$6:INDEX($N:$N,ROW(),1),$J$6:INDEX($J:$J,ROW(),1),Dateneingabe!$J13+1),"")</f>
        <v>143800</v>
      </c>
    </row>
    <row r="14" spans="2:17" ht="17.25" customHeight="1" x14ac:dyDescent="0.2">
      <c r="B14" s="42">
        <f>40731+(365*2)</f>
        <v>41461</v>
      </c>
      <c r="C14" s="51" t="s">
        <v>2</v>
      </c>
      <c r="D14" s="52">
        <v>8700</v>
      </c>
      <c r="E14" s="52">
        <v>8500</v>
      </c>
      <c r="F14" s="52">
        <v>7250</v>
      </c>
      <c r="G14" s="53">
        <f>Dateneingabe!$D14-Dateneingabe!$F14</f>
        <v>1450</v>
      </c>
      <c r="H14" s="54">
        <f>DATE(YEAR(Dateneingabe!$B14),MONTH(Dateneingabe!$B14),1)</f>
        <v>41456</v>
      </c>
      <c r="I14" s="55">
        <f>LOOKUP(MONTH(Dateneingabe!$H14),{1,1;2,1;3,1;4,2;5,2;6,2;7,3;8,3;9,3;10,4;11,4;12,4})</f>
        <v>3</v>
      </c>
      <c r="J14" s="56">
        <f>YEAR(Dateneingabe!$B14)</f>
        <v>2013</v>
      </c>
      <c r="K14" s="59">
        <f>MONTH(Dateneingabe!$B14)</f>
        <v>7</v>
      </c>
      <c r="L14" s="58">
        <f>SUMIFS(Dateneingabe!$D$6:$D$24,Dateneingabe!$B$6:$B$24,"&gt;="&amp;EOMONTH(Dateneingabe!$B14,-1)+1,Dateneingabe!$B$6:$B$24,"&lt;="&amp;EOMONTH(Dateneingabe!$B14,0))</f>
        <v>8700</v>
      </c>
      <c r="M14" s="58">
        <f>SUMIFS(Dateneingabe!$D$6:$D$24,Dateneingabe!$B$6:$B$24,"&gt;="&amp;DATE(YEAR(Dateneingabe!$B14),1,1),Dateneingabe!$B$6:$B$24,"&lt;="&amp;DATE(YEAR(Dateneingabe!$B14),12,31),Dateneingabe!$I$6:$I$24,Dateneingabe!$I14)</f>
        <v>49100</v>
      </c>
      <c r="N14" s="58">
        <f>SUMIFS(Dateneingabe!$D$6:$D$24,Dateneingabe!$B$6:$B$24,"&gt;="&amp;DATE(YEAR(Dateneingabe!$B14),1,1),Dateneingabe!$B$6:$B$24,"&lt;="&amp;DATE(YEAR(Dateneingabe!$B14),12,31))</f>
        <v>143800</v>
      </c>
      <c r="O14" s="57">
        <f>IFERROR(TREND($L$6:INDEX($L:$L,ROW(),1),$K$6:INDEX($K:$K,ROW(),1),IF(MONTH(Dateneingabe!$B14)=12,13,MONTH(Dateneingabe!$B14)+1)),"")</f>
        <v>10776.470588235294</v>
      </c>
      <c r="P14" s="57">
        <f>IFERROR(TREND($M$6:INDEX($M:$M,ROW(),1),$I$6:INDEX($I:$I,ROW(),1),IF(Dateneingabe!$I14=4,5,Dateneingabe!$I14+1)),"")</f>
        <v>47400</v>
      </c>
      <c r="Q14" s="57">
        <f>IFERROR(TREND($N$6:INDEX($N:$N,ROW(),1),$J$6:INDEX($J:$J,ROW(),1),Dateneingabe!$J14+1),"")</f>
        <v>143800</v>
      </c>
    </row>
    <row r="15" spans="2:17" ht="17.25" customHeight="1" x14ac:dyDescent="0.2">
      <c r="B15" s="42">
        <f>40761+(365*2)</f>
        <v>41491</v>
      </c>
      <c r="C15" s="51" t="s">
        <v>3</v>
      </c>
      <c r="D15" s="52">
        <v>8500</v>
      </c>
      <c r="E15" s="52">
        <v>8300</v>
      </c>
      <c r="F15" s="52">
        <v>7100</v>
      </c>
      <c r="G15" s="53">
        <f>Dateneingabe!$D15-Dateneingabe!$F15</f>
        <v>1400</v>
      </c>
      <c r="H15" s="54">
        <f>DATE(YEAR(Dateneingabe!$B15),MONTH(Dateneingabe!$B15),1)</f>
        <v>41487</v>
      </c>
      <c r="I15" s="55">
        <f>LOOKUP(MONTH(Dateneingabe!$H15),{1,1;2,1;3,1;4,2;5,2;6,2;7,3;8,3;9,3;10,4;11,4;12,4})</f>
        <v>3</v>
      </c>
      <c r="J15" s="56">
        <f>YEAR(Dateneingabe!$B15)</f>
        <v>2013</v>
      </c>
      <c r="K15" s="59">
        <f>MONTH(Dateneingabe!$B15)</f>
        <v>8</v>
      </c>
      <c r="L15" s="58">
        <f>SUMIFS(Dateneingabe!$D$6:$D$24,Dateneingabe!$B$6:$B$24,"&gt;="&amp;EOMONTH(Dateneingabe!$B15,-1)+1,Dateneingabe!$B$6:$B$24,"&lt;="&amp;EOMONTH(Dateneingabe!$B15,0))</f>
        <v>16400</v>
      </c>
      <c r="M15" s="58">
        <f>SUMIFS(Dateneingabe!$D$6:$D$24,Dateneingabe!$B$6:$B$24,"&gt;="&amp;DATE(YEAR(Dateneingabe!$B15),1,1),Dateneingabe!$B$6:$B$24,"&lt;="&amp;DATE(YEAR(Dateneingabe!$B15),12,31),Dateneingabe!$I$6:$I$24,Dateneingabe!$I15)</f>
        <v>49100</v>
      </c>
      <c r="N15" s="58">
        <f>SUMIFS(Dateneingabe!$D$6:$D$24,Dateneingabe!$B$6:$B$24,"&gt;="&amp;DATE(YEAR(Dateneingabe!$B15),1,1),Dateneingabe!$B$6:$B$24,"&lt;="&amp;DATE(YEAR(Dateneingabe!$B15),12,31))</f>
        <v>143800</v>
      </c>
      <c r="O15" s="57">
        <f>IFERROR(TREND($L$6:INDEX($L:$L,ROW(),1),$K$6:INDEX($K:$K,ROW(),1),IF(MONTH(Dateneingabe!$B15)=12,13,MONTH(Dateneingabe!$B15)+1)),"")</f>
        <v>12455.862068965516</v>
      </c>
      <c r="P15" s="57">
        <f>IFERROR(TREND($M$6:INDEX($M:$M,ROW(),1),$I$6:INDEX($I:$I,ROW(),1),IF(Dateneingabe!$I15=4,5,Dateneingabe!$I15+1)),"")</f>
        <v>47400</v>
      </c>
      <c r="Q15" s="57">
        <f>IFERROR(TREND($N$6:INDEX($N:$N,ROW(),1),$J$6:INDEX($J:$J,ROW(),1),Dateneingabe!$J15+1),"")</f>
        <v>143800</v>
      </c>
    </row>
    <row r="16" spans="2:17" ht="17.25" customHeight="1" x14ac:dyDescent="0.2">
      <c r="B16" s="42">
        <f>40775+(365*2)</f>
        <v>41505</v>
      </c>
      <c r="C16" s="51" t="s">
        <v>56</v>
      </c>
      <c r="D16" s="52">
        <v>7900</v>
      </c>
      <c r="E16" s="52">
        <v>7700</v>
      </c>
      <c r="F16" s="52">
        <v>6600</v>
      </c>
      <c r="G16" s="53">
        <f>Dateneingabe!$D16-Dateneingabe!$F16</f>
        <v>1300</v>
      </c>
      <c r="H16" s="54">
        <f>DATE(YEAR(Dateneingabe!$B16),MONTH(Dateneingabe!$B16),1)</f>
        <v>41487</v>
      </c>
      <c r="I16" s="55">
        <f>LOOKUP(MONTH(Dateneingabe!$H16),{1,1;2,1;3,1;4,2;5,2;6,2;7,3;8,3;9,3;10,4;11,4;12,4})</f>
        <v>3</v>
      </c>
      <c r="J16" s="56">
        <f>YEAR(Dateneingabe!$B16)</f>
        <v>2013</v>
      </c>
      <c r="K16" s="59">
        <f>MONTH(Dateneingabe!$B16)</f>
        <v>8</v>
      </c>
      <c r="L16" s="58">
        <f>SUMIFS(Dateneingabe!$D$6:$D$24,Dateneingabe!$B$6:$B$24,"&gt;="&amp;EOMONTH(Dateneingabe!$B16,-1)+1,Dateneingabe!$B$6:$B$24,"&lt;="&amp;EOMONTH(Dateneingabe!$B16,0))</f>
        <v>16400</v>
      </c>
      <c r="M16" s="58">
        <f>SUMIFS(Dateneingabe!$D$6:$D$24,Dateneingabe!$B$6:$B$24,"&gt;="&amp;DATE(YEAR(Dateneingabe!$B16),1,1),Dateneingabe!$B$6:$B$24,"&lt;="&amp;DATE(YEAR(Dateneingabe!$B16),12,31),Dateneingabe!$I$6:$I$24,Dateneingabe!$I16)</f>
        <v>49100</v>
      </c>
      <c r="N16" s="58">
        <f>SUMIFS(Dateneingabe!$D$6:$D$24,Dateneingabe!$B$6:$B$24,"&gt;="&amp;DATE(YEAR(Dateneingabe!$B16),1,1),Dateneingabe!$B$6:$B$24,"&lt;="&amp;DATE(YEAR(Dateneingabe!$B16),12,31))</f>
        <v>143800</v>
      </c>
      <c r="O16" s="57">
        <f>IFERROR(TREND($L$6:INDEX($L:$L,ROW(),1),$K$6:INDEX($K:$K,ROW(),1),IF(MONTH(Dateneingabe!$B16)=12,13,MONTH(Dateneingabe!$B16)+1)),"")</f>
        <v>13667.567567567567</v>
      </c>
      <c r="P16" s="57">
        <f>IFERROR(TREND($M$6:INDEX($M:$M,ROW(),1),$I$6:INDEX($I:$I,ROW(),1),IF(Dateneingabe!$I16=4,5,Dateneingabe!$I16+1)),"")</f>
        <v>47400.000000000007</v>
      </c>
      <c r="Q16" s="57">
        <f>IFERROR(TREND($N$6:INDEX($N:$N,ROW(),1),$J$6:INDEX($J:$J,ROW(),1),Dateneingabe!$J16+1),"")</f>
        <v>143800</v>
      </c>
    </row>
    <row r="17" spans="2:17" ht="17.25" customHeight="1" x14ac:dyDescent="0.2">
      <c r="B17" s="42">
        <f>40791+(365*2)</f>
        <v>41521</v>
      </c>
      <c r="C17" s="51" t="s">
        <v>4</v>
      </c>
      <c r="D17" s="52">
        <v>9100</v>
      </c>
      <c r="E17" s="52">
        <v>8900</v>
      </c>
      <c r="F17" s="52">
        <v>7900</v>
      </c>
      <c r="G17" s="53">
        <f>Dateneingabe!$D17-Dateneingabe!$F17</f>
        <v>1200</v>
      </c>
      <c r="H17" s="54">
        <f>DATE(YEAR(Dateneingabe!$B17),MONTH(Dateneingabe!$B17),1)</f>
        <v>41518</v>
      </c>
      <c r="I17" s="55">
        <f>LOOKUP(MONTH(Dateneingabe!$H17),{1,1;2,1;3,1;4,2;5,2;6,2;7,3;8,3;9,3;10,4;11,4;12,4})</f>
        <v>3</v>
      </c>
      <c r="J17" s="56">
        <f>YEAR(Dateneingabe!$B17)</f>
        <v>2013</v>
      </c>
      <c r="K17" s="59">
        <f>MONTH(Dateneingabe!$B17)</f>
        <v>9</v>
      </c>
      <c r="L17" s="58">
        <f>SUMIFS(Dateneingabe!$D$6:$D$24,Dateneingabe!$B$6:$B$24,"&gt;="&amp;EOMONTH(Dateneingabe!$B17,-1)+1,Dateneingabe!$B$6:$B$24,"&lt;="&amp;EOMONTH(Dateneingabe!$B17,0))</f>
        <v>24000</v>
      </c>
      <c r="M17" s="58">
        <f>SUMIFS(Dateneingabe!$D$6:$D$24,Dateneingabe!$B$6:$B$24,"&gt;="&amp;DATE(YEAR(Dateneingabe!$B17),1,1),Dateneingabe!$B$6:$B$24,"&lt;="&amp;DATE(YEAR(Dateneingabe!$B17),12,31),Dateneingabe!$I$6:$I$24,Dateneingabe!$I17)</f>
        <v>49100</v>
      </c>
      <c r="N17" s="58">
        <f>SUMIFS(Dateneingabe!$D$6:$D$24,Dateneingabe!$B$6:$B$24,"&gt;="&amp;DATE(YEAR(Dateneingabe!$B17),1,1),Dateneingabe!$B$6:$B$24,"&lt;="&amp;DATE(YEAR(Dateneingabe!$B17),12,31))</f>
        <v>143800</v>
      </c>
      <c r="O17" s="57">
        <f>IFERROR(TREND($L$6:INDEX($L:$L,ROW(),1),$K$6:INDEX($K:$K,ROW(),1),IF(MONTH(Dateneingabe!$B17)=12,13,MONTH(Dateneingabe!$B17)+1)),"")</f>
        <v>17651.666666666668</v>
      </c>
      <c r="P17" s="57">
        <f>IFERROR(TREND($M$6:INDEX($M:$M,ROW(),1),$I$6:INDEX($I:$I,ROW(),1),IF(Dateneingabe!$I17=4,5,Dateneingabe!$I17+1)),"")</f>
        <v>47400</v>
      </c>
      <c r="Q17" s="57">
        <f>IFERROR(TREND($N$6:INDEX($N:$N,ROW(),1),$J$6:INDEX($J:$J,ROW(),1),Dateneingabe!$J17+1),"")</f>
        <v>143800</v>
      </c>
    </row>
    <row r="18" spans="2:17" ht="17.25" customHeight="1" x14ac:dyDescent="0.2">
      <c r="B18" s="42">
        <f>40807+(365*2)</f>
        <v>41537</v>
      </c>
      <c r="C18" s="51" t="s">
        <v>1</v>
      </c>
      <c r="D18" s="52">
        <v>5600</v>
      </c>
      <c r="E18" s="52">
        <v>5800</v>
      </c>
      <c r="F18" s="52">
        <v>4500</v>
      </c>
      <c r="G18" s="53">
        <f>Dateneingabe!$D18-Dateneingabe!$F18</f>
        <v>1100</v>
      </c>
      <c r="H18" s="54">
        <f>DATE(YEAR(Dateneingabe!$B18),MONTH(Dateneingabe!$B18),1)</f>
        <v>41518</v>
      </c>
      <c r="I18" s="55">
        <f>LOOKUP(MONTH(Dateneingabe!$H18),{1,1;2,1;3,1;4,2;5,2;6,2;7,3;8,3;9,3;10,4;11,4;12,4})</f>
        <v>3</v>
      </c>
      <c r="J18" s="56">
        <f>YEAR(Dateneingabe!$B18)</f>
        <v>2013</v>
      </c>
      <c r="K18" s="59">
        <f>MONTH(Dateneingabe!$B18)</f>
        <v>9</v>
      </c>
      <c r="L18" s="58">
        <f>SUMIFS(Dateneingabe!$D$6:$D$24,Dateneingabe!$B$6:$B$24,"&gt;="&amp;EOMONTH(Dateneingabe!$B18,-1)+1,Dateneingabe!$B$6:$B$24,"&lt;="&amp;EOMONTH(Dateneingabe!$B18,0))</f>
        <v>24000</v>
      </c>
      <c r="M18" s="58">
        <f>SUMIFS(Dateneingabe!$D$6:$D$24,Dateneingabe!$B$6:$B$24,"&gt;="&amp;DATE(YEAR(Dateneingabe!$B18),1,1),Dateneingabe!$B$6:$B$24,"&lt;="&amp;DATE(YEAR(Dateneingabe!$B18),12,31),Dateneingabe!$I$6:$I$24,Dateneingabe!$I18)</f>
        <v>49100</v>
      </c>
      <c r="N18" s="58">
        <f>SUMIFS(Dateneingabe!$D$6:$D$24,Dateneingabe!$B$6:$B$24,"&gt;="&amp;DATE(YEAR(Dateneingabe!$B18),1,1),Dateneingabe!$B$6:$B$24,"&lt;="&amp;DATE(YEAR(Dateneingabe!$B18),12,31))</f>
        <v>143800</v>
      </c>
      <c r="O18" s="57">
        <f>IFERROR(TREND($L$6:INDEX($L:$L,ROW(),1),$K$6:INDEX($K:$K,ROW(),1),IF(MONTH(Dateneingabe!$B18)=12,13,MONTH(Dateneingabe!$B18)+1)),"")</f>
        <v>19877.911646586344</v>
      </c>
      <c r="P18" s="57">
        <f>IFERROR(TREND($M$6:INDEX($M:$M,ROW(),1),$I$6:INDEX($I:$I,ROW(),1),IF(Dateneingabe!$I18=4,5,Dateneingabe!$I18+1)),"")</f>
        <v>47400</v>
      </c>
      <c r="Q18" s="57">
        <f>IFERROR(TREND($N$6:INDEX($N:$N,ROW(),1),$J$6:INDEX($J:$J,ROW(),1),Dateneingabe!$J18+1),"")</f>
        <v>143800</v>
      </c>
    </row>
    <row r="19" spans="2:17" ht="17.25" customHeight="1" x14ac:dyDescent="0.2">
      <c r="B19" s="42">
        <f>40812+(365*2)</f>
        <v>41542</v>
      </c>
      <c r="C19" s="51" t="s">
        <v>2</v>
      </c>
      <c r="D19" s="52">
        <v>9300</v>
      </c>
      <c r="E19" s="52">
        <v>9100</v>
      </c>
      <c r="F19" s="52">
        <v>7500</v>
      </c>
      <c r="G19" s="53">
        <f>Dateneingabe!$D19-Dateneingabe!$F19</f>
        <v>1800</v>
      </c>
      <c r="H19" s="54">
        <f>DATE(YEAR(Dateneingabe!$B19),MONTH(Dateneingabe!$B19),1)</f>
        <v>41518</v>
      </c>
      <c r="I19" s="55">
        <f>LOOKUP(MONTH(Dateneingabe!$H19),{1,1;2,1;3,1;4,2;5,2;6,2;7,3;8,3;9,3;10,4;11,4;12,4})</f>
        <v>3</v>
      </c>
      <c r="J19" s="56">
        <f>YEAR(Dateneingabe!$B19)</f>
        <v>2013</v>
      </c>
      <c r="K19" s="59">
        <f>MONTH(Dateneingabe!$B19)</f>
        <v>9</v>
      </c>
      <c r="L19" s="58">
        <f>SUMIFS(Dateneingabe!$D$6:$D$24,Dateneingabe!$B$6:$B$24,"&gt;="&amp;EOMONTH(Dateneingabe!$B19,-1)+1,Dateneingabe!$B$6:$B$24,"&lt;="&amp;EOMONTH(Dateneingabe!$B19,0))</f>
        <v>24000</v>
      </c>
      <c r="M19" s="58">
        <f>SUMIFS(Dateneingabe!$D$6:$D$24,Dateneingabe!$B$6:$B$24,"&gt;="&amp;DATE(YEAR(Dateneingabe!$B19),1,1),Dateneingabe!$B$6:$B$24,"&lt;="&amp;DATE(YEAR(Dateneingabe!$B19),12,31),Dateneingabe!$I$6:$I$24,Dateneingabe!$I19)</f>
        <v>49100</v>
      </c>
      <c r="N19" s="58">
        <f>SUMIFS(Dateneingabe!$D$6:$D$24,Dateneingabe!$B$6:$B$24,"&gt;="&amp;DATE(YEAR(Dateneingabe!$B19),1,1),Dateneingabe!$B$6:$B$24,"&lt;="&amp;DATE(YEAR(Dateneingabe!$B19),12,31))</f>
        <v>143800</v>
      </c>
      <c r="O19" s="57">
        <f>IFERROR(TREND($L$6:INDEX($L:$L,ROW(),1),$K$6:INDEX($K:$K,ROW(),1),IF(MONTH(Dateneingabe!$B19)=12,13,MONTH(Dateneingabe!$B19)+1)),"")</f>
        <v>21138.050314465407</v>
      </c>
      <c r="P19" s="57">
        <f>IFERROR(TREND($M$6:INDEX($M:$M,ROW(),1),$I$6:INDEX($I:$I,ROW(),1),IF(Dateneingabe!$I19=4,5,Dateneingabe!$I19+1)),"")</f>
        <v>47400</v>
      </c>
      <c r="Q19" s="57">
        <f>IFERROR(TREND($N$6:INDEX($N:$N,ROW(),1),$J$6:INDEX($J:$J,ROW(),1),Dateneingabe!$J19+1),"")</f>
        <v>143800</v>
      </c>
    </row>
    <row r="20" spans="2:17" ht="17.25" customHeight="1" x14ac:dyDescent="0.2">
      <c r="B20" s="42">
        <f>40832+(365*2)</f>
        <v>41562</v>
      </c>
      <c r="C20" s="51" t="s">
        <v>3</v>
      </c>
      <c r="D20" s="52">
        <v>8800</v>
      </c>
      <c r="E20" s="52">
        <v>9350</v>
      </c>
      <c r="F20" s="52">
        <v>7100</v>
      </c>
      <c r="G20" s="53">
        <f>Dateneingabe!$D20-Dateneingabe!$F20</f>
        <v>1700</v>
      </c>
      <c r="H20" s="54">
        <f>DATE(YEAR(Dateneingabe!$B20),MONTH(Dateneingabe!$B20),1)</f>
        <v>41548</v>
      </c>
      <c r="I20" s="55">
        <f>LOOKUP(MONTH(Dateneingabe!$H20),{1,1;2,1;3,1;4,2;5,2;6,2;7,3;8,3;9,3;10,4;11,4;12,4})</f>
        <v>4</v>
      </c>
      <c r="J20" s="56">
        <f>YEAR(Dateneingabe!$B20)</f>
        <v>2013</v>
      </c>
      <c r="K20" s="59">
        <f>MONTH(Dateneingabe!$B20)</f>
        <v>10</v>
      </c>
      <c r="L20" s="58">
        <f>SUMIFS(Dateneingabe!$D$6:$D$24,Dateneingabe!$B$6:$B$24,"&gt;="&amp;EOMONTH(Dateneingabe!$B20,-1)+1,Dateneingabe!$B$6:$B$24,"&lt;="&amp;EOMONTH(Dateneingabe!$B20,0))</f>
        <v>8800</v>
      </c>
      <c r="M20" s="58">
        <f>SUMIFS(Dateneingabe!$D$6:$D$24,Dateneingabe!$B$6:$B$24,"&gt;="&amp;DATE(YEAR(Dateneingabe!$B20),1,1),Dateneingabe!$B$6:$B$24,"&lt;="&amp;DATE(YEAR(Dateneingabe!$B20),12,31),Dateneingabe!$I$6:$I$24,Dateneingabe!$I20)</f>
        <v>43900</v>
      </c>
      <c r="N20" s="58">
        <f>SUMIFS(Dateneingabe!$D$6:$D$24,Dateneingabe!$B$6:$B$24,"&gt;="&amp;DATE(YEAR(Dateneingabe!$B20),1,1),Dateneingabe!$B$6:$B$24,"&lt;="&amp;DATE(YEAR(Dateneingabe!$B20),12,31))</f>
        <v>143800</v>
      </c>
      <c r="O20" s="57">
        <f>IFERROR(TREND($L$6:INDEX($L:$L,ROW(),1),$K$6:INDEX($K:$K,ROW(),1),IF(MONTH(Dateneingabe!$B20)=12,13,MONTH(Dateneingabe!$B20)+1)),"")</f>
        <v>17951.744186046511</v>
      </c>
      <c r="P20" s="57">
        <f>IFERROR(TREND($M$6:INDEX($M:$M,ROW(),1),$I$6:INDEX($I:$I,ROW(),1),IF(Dateneingabe!$I20=4,5,Dateneingabe!$I20+1)),"")</f>
        <v>43258.139534883725</v>
      </c>
      <c r="Q20" s="57">
        <f>IFERROR(TREND($N$6:INDEX($N:$N,ROW(),1),$J$6:INDEX($J:$J,ROW(),1),Dateneingabe!$J20+1),"")</f>
        <v>143800</v>
      </c>
    </row>
    <row r="21" spans="2:17" ht="17.25" customHeight="1" x14ac:dyDescent="0.2">
      <c r="B21" s="42">
        <f>40853+(365*2)</f>
        <v>41583</v>
      </c>
      <c r="C21" s="51" t="s">
        <v>56</v>
      </c>
      <c r="D21" s="52">
        <v>9100</v>
      </c>
      <c r="E21" s="52">
        <v>9200</v>
      </c>
      <c r="F21" s="52">
        <v>7850</v>
      </c>
      <c r="G21" s="53">
        <f>Dateneingabe!$D21-Dateneingabe!$F21</f>
        <v>1250</v>
      </c>
      <c r="H21" s="54">
        <f>DATE(YEAR(Dateneingabe!$B21),MONTH(Dateneingabe!$B21),1)</f>
        <v>41579</v>
      </c>
      <c r="I21" s="55">
        <f>LOOKUP(MONTH(Dateneingabe!$H21),{1,1;2,1;3,1;4,2;5,2;6,2;7,3;8,3;9,3;10,4;11,4;12,4})</f>
        <v>4</v>
      </c>
      <c r="J21" s="56">
        <f>YEAR(Dateneingabe!$B21)</f>
        <v>2013</v>
      </c>
      <c r="K21" s="59">
        <f>MONTH(Dateneingabe!$B21)</f>
        <v>11</v>
      </c>
      <c r="L21" s="58">
        <f>SUMIFS(Dateneingabe!$D$6:$D$24,Dateneingabe!$B$6:$B$24,"&gt;="&amp;EOMONTH(Dateneingabe!$B21,-1)+1,Dateneingabe!$B$6:$B$24,"&lt;="&amp;EOMONTH(Dateneingabe!$B21,0))</f>
        <v>25600</v>
      </c>
      <c r="M21" s="58">
        <f>SUMIFS(Dateneingabe!$D$6:$D$24,Dateneingabe!$B$6:$B$24,"&gt;="&amp;DATE(YEAR(Dateneingabe!$B21),1,1),Dateneingabe!$B$6:$B$24,"&lt;="&amp;DATE(YEAR(Dateneingabe!$B21),12,31),Dateneingabe!$I$6:$I$24,Dateneingabe!$I21)</f>
        <v>43900</v>
      </c>
      <c r="N21" s="58">
        <f>SUMIFS(Dateneingabe!$D$6:$D$24,Dateneingabe!$B$6:$B$24,"&gt;="&amp;DATE(YEAR(Dateneingabe!$B21),1,1),Dateneingabe!$B$6:$B$24,"&lt;="&amp;DATE(YEAR(Dateneingabe!$B21),12,31))</f>
        <v>143800</v>
      </c>
      <c r="O21" s="57">
        <f>IFERROR(TREND($L$6:INDEX($L:$L,ROW(),1),$K$6:INDEX($K:$K,ROW(),1),IF(MONTH(Dateneingabe!$B21)=12,13,MONTH(Dateneingabe!$B21)+1)),"")</f>
        <v>20556.130108423687</v>
      </c>
      <c r="P21" s="57">
        <f>IFERROR(TREND($M$6:INDEX($M:$M,ROW(),1),$I$6:INDEX($I:$I,ROW(),1),IF(Dateneingabe!$I21=4,5,Dateneingabe!$I21+1)),"")</f>
        <v>42312.903225806447</v>
      </c>
      <c r="Q21" s="57">
        <f>IFERROR(TREND($N$6:INDEX($N:$N,ROW(),1),$J$6:INDEX($J:$J,ROW(),1),Dateneingabe!$J21+1),"")</f>
        <v>143800</v>
      </c>
    </row>
    <row r="22" spans="2:17" ht="17.25" customHeight="1" x14ac:dyDescent="0.2">
      <c r="B22" s="42">
        <f>40874+(365*2)</f>
        <v>41604</v>
      </c>
      <c r="C22" s="51" t="s">
        <v>4</v>
      </c>
      <c r="D22" s="52">
        <v>9000</v>
      </c>
      <c r="E22" s="52">
        <v>10000</v>
      </c>
      <c r="F22" s="52">
        <v>7575</v>
      </c>
      <c r="G22" s="53">
        <f>Dateneingabe!$D22-Dateneingabe!$F22</f>
        <v>1425</v>
      </c>
      <c r="H22" s="54">
        <f>DATE(YEAR(Dateneingabe!$B22),MONTH(Dateneingabe!$B22),1)</f>
        <v>41579</v>
      </c>
      <c r="I22" s="55">
        <f>LOOKUP(MONTH(Dateneingabe!$H22),{1,1;2,1;3,1;4,2;5,2;6,2;7,3;8,3;9,3;10,4;11,4;12,4})</f>
        <v>4</v>
      </c>
      <c r="J22" s="56">
        <f>YEAR(Dateneingabe!$B22)</f>
        <v>2013</v>
      </c>
      <c r="K22" s="59">
        <f>MONTH(Dateneingabe!$B22)</f>
        <v>11</v>
      </c>
      <c r="L22" s="58">
        <f>SUMIFS(Dateneingabe!$D$6:$D$24,Dateneingabe!$B$6:$B$24,"&gt;="&amp;EOMONTH(Dateneingabe!$B22,-1)+1,Dateneingabe!$B$6:$B$24,"&lt;="&amp;EOMONTH(Dateneingabe!$B22,0))</f>
        <v>25600</v>
      </c>
      <c r="M22" s="58">
        <f>SUMIFS(Dateneingabe!$D$6:$D$24,Dateneingabe!$B$6:$B$24,"&gt;="&amp;DATE(YEAR(Dateneingabe!$B22),1,1),Dateneingabe!$B$6:$B$24,"&lt;="&amp;DATE(YEAR(Dateneingabe!$B22),12,31),Dateneingabe!$I$6:$I$24,Dateneingabe!$I22)</f>
        <v>43900</v>
      </c>
      <c r="N22" s="58">
        <f>SUMIFS(Dateneingabe!$D$6:$D$24,Dateneingabe!$B$6:$B$24,"&gt;="&amp;DATE(YEAR(Dateneingabe!$B22),1,1),Dateneingabe!$B$6:$B$24,"&lt;="&amp;DATE(YEAR(Dateneingabe!$B22),12,31))</f>
        <v>143800</v>
      </c>
      <c r="O22" s="57">
        <f>IFERROR(TREND($L$6:INDEX($L:$L,ROW(),1),$K$6:INDEX($K:$K,ROW(),1),IF(MONTH(Dateneingabe!$B22)=12,13,MONTH(Dateneingabe!$B22)+1)),"")</f>
        <v>21997.139141742522</v>
      </c>
      <c r="P22" s="57">
        <f>IFERROR(TREND($M$6:INDEX($M:$M,ROW(),1),$I$6:INDEX($I:$I,ROW(),1),IF(Dateneingabe!$I22=4,5,Dateneingabe!$I22+1)),"")</f>
        <v>41811.111111111109</v>
      </c>
      <c r="Q22" s="57">
        <f>IFERROR(TREND($N$6:INDEX($N:$N,ROW(),1),$J$6:INDEX($J:$J,ROW(),1),Dateneingabe!$J22+1),"")</f>
        <v>143800</v>
      </c>
    </row>
    <row r="23" spans="2:17" ht="17.25" customHeight="1" x14ac:dyDescent="0.2">
      <c r="B23" s="42">
        <f>40878+(365*2)</f>
        <v>41608</v>
      </c>
      <c r="C23" s="51" t="s">
        <v>4</v>
      </c>
      <c r="D23" s="52">
        <v>7500</v>
      </c>
      <c r="E23" s="52">
        <v>8000</v>
      </c>
      <c r="F23" s="52">
        <v>5850</v>
      </c>
      <c r="G23" s="53">
        <f>Dateneingabe!$D23-Dateneingabe!$F23</f>
        <v>1650</v>
      </c>
      <c r="H23" s="54">
        <f>DATE(YEAR(Dateneingabe!$B23),MONTH(Dateneingabe!$B23),1)</f>
        <v>41579</v>
      </c>
      <c r="I23" s="55">
        <f>LOOKUP(MONTH(Dateneingabe!$H23),{1,1;2,1;3,1;4,2;5,2;6,2;7,3;8,3;9,3;10,4;11,4;12,4})</f>
        <v>4</v>
      </c>
      <c r="J23" s="56">
        <f>YEAR(Dateneingabe!$B23)</f>
        <v>2013</v>
      </c>
      <c r="K23" s="59">
        <f>MONTH(Dateneingabe!$B23)</f>
        <v>11</v>
      </c>
      <c r="L23" s="58">
        <f>SUMIFS(Dateneingabe!$D$6:$D$24,Dateneingabe!$B$6:$B$24,"&gt;="&amp;EOMONTH(Dateneingabe!$B23,-1)+1,Dateneingabe!$B$6:$B$24,"&lt;="&amp;EOMONTH(Dateneingabe!$B23,0))</f>
        <v>25600</v>
      </c>
      <c r="M23" s="58">
        <f>SUMIFS(Dateneingabe!$D$6:$D$24,Dateneingabe!$B$6:$B$24,"&gt;="&amp;DATE(YEAR(Dateneingabe!$B23),1,1),Dateneingabe!$B$6:$B$24,"&lt;="&amp;DATE(YEAR(Dateneingabe!$B23),12,31),Dateneingabe!$I$6:$I$24,Dateneingabe!$I23)</f>
        <v>43900</v>
      </c>
      <c r="N23" s="58">
        <f>SUMIFS(Dateneingabe!$D$6:$D$24,Dateneingabe!$B$6:$B$24,"&gt;="&amp;DATE(YEAR(Dateneingabe!$B23),1,1),Dateneingabe!$B$6:$B$24,"&lt;="&amp;DATE(YEAR(Dateneingabe!$B23),12,31))</f>
        <v>143800</v>
      </c>
      <c r="O23" s="57">
        <f>IFERROR(TREND($L$6:INDEX($L:$L,ROW(),1),$K$6:INDEX($K:$K,ROW(),1),IF(MONTH(Dateneingabe!$B23)=12,13,MONTH(Dateneingabe!$B23)+1)),"")</f>
        <v>22917.634523175278</v>
      </c>
      <c r="P23" s="57">
        <f>IFERROR(TREND($M$6:INDEX($M:$M,ROW(),1),$I$6:INDEX($I:$I,ROW(),1),IF(Dateneingabe!$I23=4,5,Dateneingabe!$I23+1)),"")</f>
        <v>41500</v>
      </c>
      <c r="Q23" s="57">
        <f>IFERROR(TREND($N$6:INDEX($N:$N,ROW(),1),$J$6:INDEX($J:$J,ROW(),1),Dateneingabe!$J23+1),"")</f>
        <v>143800</v>
      </c>
    </row>
    <row r="24" spans="2:17" ht="17.25" customHeight="1" x14ac:dyDescent="0.2">
      <c r="B24" s="42">
        <f>40889+(365*2)</f>
        <v>41619</v>
      </c>
      <c r="C24" s="51" t="s">
        <v>1</v>
      </c>
      <c r="D24" s="52">
        <v>9500</v>
      </c>
      <c r="E24" s="52">
        <v>9200</v>
      </c>
      <c r="F24" s="52">
        <v>8500</v>
      </c>
      <c r="G24" s="53">
        <f>Dateneingabe!$D24-Dateneingabe!$F24</f>
        <v>1000</v>
      </c>
      <c r="H24" s="54">
        <f>DATE(YEAR(Dateneingabe!$B24),MONTH(Dateneingabe!$B24),1)</f>
        <v>41609</v>
      </c>
      <c r="I24" s="55">
        <f>LOOKUP(MONTH(Dateneingabe!$H24),{1,1;2,1;3,1;4,2;5,2;6,2;7,3;8,3;9,3;10,4;11,4;12,4})</f>
        <v>4</v>
      </c>
      <c r="J24" s="56">
        <f>YEAR(Dateneingabe!$B24)</f>
        <v>2013</v>
      </c>
      <c r="K24" s="59">
        <f>MONTH(Dateneingabe!$B24)</f>
        <v>12</v>
      </c>
      <c r="L24" s="58">
        <f>SUMIFS(Dateneingabe!$D$6:$D$24,Dateneingabe!$B$6:$B$24,"&gt;="&amp;EOMONTH(Dateneingabe!$B24,-1)+1,Dateneingabe!$B$6:$B$24,"&lt;="&amp;EOMONTH(Dateneingabe!$B24,0))</f>
        <v>9500</v>
      </c>
      <c r="M24" s="58">
        <f>SUMIFS(Dateneingabe!$D$6:$D$24,Dateneingabe!$B$6:$B$24,"&gt;="&amp;DATE(YEAR(Dateneingabe!$B24),1,1),Dateneingabe!$B$6:$B$24,"&lt;="&amp;DATE(YEAR(Dateneingabe!$B24),12,31),Dateneingabe!$I$6:$I$24,Dateneingabe!$I24)</f>
        <v>43900</v>
      </c>
      <c r="N24" s="58">
        <f>SUMIFS(Dateneingabe!$D$6:$D$24,Dateneingabe!$B$6:$B$24,"&gt;="&amp;DATE(YEAR(Dateneingabe!$B24),1,1),Dateneingabe!$B$6:$B$24,"&lt;="&amp;DATE(YEAR(Dateneingabe!$B24),12,31))</f>
        <v>143800</v>
      </c>
      <c r="O24" s="57">
        <f>IFERROR(TREND($L$6:INDEX($L:$L,ROW(),1),$K$6:INDEX($K:$K,ROW(),1),IF(MONTH(Dateneingabe!$B24)=12,13,MONTH(Dateneingabe!$B24)+1)),"")</f>
        <v>20504.314720812181</v>
      </c>
      <c r="P24" s="57">
        <f>IFERROR(TREND($M$6:INDEX($M:$M,ROW(),1),$I$6:INDEX($I:$I,ROW(),1),IF(Dateneingabe!$I24=4,5,Dateneingabe!$I24+1)),"")</f>
        <v>41288.23529411765</v>
      </c>
      <c r="Q24" s="57">
        <f>IFERROR(TREND($N$6:INDEX($N:$N,ROW(),1),$J$6:INDEX($J:$J,ROW(),1),Dateneingabe!$J24+1),"")</f>
        <v>143800</v>
      </c>
    </row>
  </sheetData>
  <printOptions horizontalCentered="1"/>
  <pageMargins left="0.25" right="0.25" top="0.75" bottom="0.75" header="0.3" footer="0.3"/>
  <pageSetup paperSize="9" fitToHeight="0" orientation="landscape" horizontalDpi="120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5"/>
    <pageSetUpPr autoPageBreaks="0" fitToPage="1"/>
  </sheetPr>
  <dimension ref="A1:F29"/>
  <sheetViews>
    <sheetView showGridLines="0" zoomScaleNormal="100" workbookViewId="0"/>
  </sheetViews>
  <sheetFormatPr baseColWidth="10" defaultColWidth="9.33203125" defaultRowHeight="17.25" customHeight="1" x14ac:dyDescent="0.2"/>
  <cols>
    <col min="1" max="1" width="2" style="27" customWidth="1"/>
    <col min="2" max="3" width="16.6640625" style="24" customWidth="1"/>
    <col min="4" max="4" width="16.6640625" style="25" customWidth="1"/>
    <col min="5" max="5" width="39.33203125" style="25" customWidth="1"/>
    <col min="6" max="6" width="27" style="26" customWidth="1"/>
    <col min="7" max="16384" width="9.33203125" style="27"/>
  </cols>
  <sheetData>
    <row r="1" spans="1:6" s="23" customFormat="1" ht="11.25" customHeight="1" x14ac:dyDescent="0.2">
      <c r="B1" s="24"/>
      <c r="C1" s="24"/>
      <c r="D1" s="25"/>
      <c r="E1" s="25"/>
      <c r="F1" s="26"/>
    </row>
    <row r="2" spans="1:6" customFormat="1" ht="33.75" x14ac:dyDescent="0.2">
      <c r="B2" s="2" t="s">
        <v>50</v>
      </c>
    </row>
    <row r="3" spans="1:6" ht="17.25" customHeight="1" x14ac:dyDescent="0.2">
      <c r="A3" s="23"/>
    </row>
    <row r="4" spans="1:6" ht="17.25" customHeight="1" x14ac:dyDescent="0.2">
      <c r="A4" s="23"/>
    </row>
    <row r="5" spans="1:6" ht="15" x14ac:dyDescent="0.2">
      <c r="B5" s="61" t="s">
        <v>19</v>
      </c>
      <c r="C5" s="43" t="s">
        <v>15</v>
      </c>
      <c r="D5" s="43" t="s">
        <v>14</v>
      </c>
      <c r="E5" s="43" t="s">
        <v>24</v>
      </c>
      <c r="F5" s="62" t="s">
        <v>51</v>
      </c>
    </row>
    <row r="6" spans="1:6" ht="17.25" customHeight="1" x14ac:dyDescent="0.2">
      <c r="B6" s="29">
        <v>2013</v>
      </c>
      <c r="C6" s="50">
        <v>2</v>
      </c>
      <c r="D6" s="49">
        <v>41365</v>
      </c>
      <c r="E6" t="s">
        <v>0</v>
      </c>
      <c r="F6" s="47">
        <v>6400</v>
      </c>
    </row>
    <row r="7" spans="1:6" ht="17.25" customHeight="1" x14ac:dyDescent="0.2">
      <c r="B7" s="29"/>
      <c r="C7" s="29"/>
      <c r="D7" s="29"/>
      <c r="E7" t="s">
        <v>1</v>
      </c>
      <c r="F7" s="47">
        <v>8200</v>
      </c>
    </row>
    <row r="8" spans="1:6" ht="17.25" customHeight="1" x14ac:dyDescent="0.2">
      <c r="B8" s="29"/>
      <c r="C8" s="29"/>
      <c r="D8" s="49">
        <v>41395</v>
      </c>
      <c r="E8" t="s">
        <v>2</v>
      </c>
      <c r="F8" s="47">
        <v>4400</v>
      </c>
    </row>
    <row r="9" spans="1:6" ht="17.25" customHeight="1" x14ac:dyDescent="0.2">
      <c r="B9" s="29"/>
      <c r="C9" s="29"/>
      <c r="D9" s="29"/>
      <c r="E9" t="s">
        <v>3</v>
      </c>
      <c r="F9" s="47">
        <v>5400</v>
      </c>
    </row>
    <row r="10" spans="1:6" ht="17.25" customHeight="1" x14ac:dyDescent="0.2">
      <c r="B10" s="29"/>
      <c r="C10" s="29"/>
      <c r="D10" s="29"/>
      <c r="E10" t="s">
        <v>56</v>
      </c>
      <c r="F10" s="47">
        <v>5800</v>
      </c>
    </row>
    <row r="11" spans="1:6" ht="17.25" customHeight="1" x14ac:dyDescent="0.2">
      <c r="B11" s="29"/>
      <c r="C11" s="29"/>
      <c r="D11" s="29"/>
      <c r="E11" t="s">
        <v>4</v>
      </c>
      <c r="F11" s="47">
        <v>6200</v>
      </c>
    </row>
    <row r="12" spans="1:6" ht="17.25" customHeight="1" x14ac:dyDescent="0.2">
      <c r="B12" s="29"/>
      <c r="C12" s="29"/>
      <c r="D12" s="49">
        <v>41426</v>
      </c>
      <c r="E12" t="s">
        <v>0</v>
      </c>
      <c r="F12" s="47">
        <v>6900</v>
      </c>
    </row>
    <row r="13" spans="1:6" ht="11.25" x14ac:dyDescent="0.2">
      <c r="B13" s="29"/>
      <c r="C13" s="29"/>
      <c r="D13" s="29"/>
      <c r="E13" t="s">
        <v>1</v>
      </c>
      <c r="F13" s="47">
        <v>7500</v>
      </c>
    </row>
    <row r="14" spans="1:6" ht="17.25" customHeight="1" x14ac:dyDescent="0.2">
      <c r="B14" s="29"/>
      <c r="C14" s="48" t="s">
        <v>53</v>
      </c>
      <c r="D14"/>
      <c r="E14"/>
      <c r="F14" s="47">
        <v>50800</v>
      </c>
    </row>
    <row r="15" spans="1:6" ht="17.25" customHeight="1" x14ac:dyDescent="0.2">
      <c r="B15" s="29"/>
      <c r="C15" s="50">
        <v>3</v>
      </c>
      <c r="D15" s="49">
        <v>41456</v>
      </c>
      <c r="E15" t="s">
        <v>2</v>
      </c>
      <c r="F15" s="47">
        <v>8700</v>
      </c>
    </row>
    <row r="16" spans="1:6" ht="17.25" customHeight="1" x14ac:dyDescent="0.2">
      <c r="B16" s="29"/>
      <c r="C16" s="29"/>
      <c r="D16" s="49">
        <v>41487</v>
      </c>
      <c r="E16" t="s">
        <v>3</v>
      </c>
      <c r="F16" s="47">
        <v>8500</v>
      </c>
    </row>
    <row r="17" spans="2:6" ht="17.25" customHeight="1" x14ac:dyDescent="0.2">
      <c r="B17" s="29"/>
      <c r="C17" s="29"/>
      <c r="D17" s="29"/>
      <c r="E17" t="s">
        <v>56</v>
      </c>
      <c r="F17" s="47">
        <v>7900</v>
      </c>
    </row>
    <row r="18" spans="2:6" ht="17.25" customHeight="1" x14ac:dyDescent="0.2">
      <c r="B18" s="29"/>
      <c r="C18" s="29"/>
      <c r="D18" s="49">
        <v>41518</v>
      </c>
      <c r="E18" t="s">
        <v>2</v>
      </c>
      <c r="F18" s="47">
        <v>9300</v>
      </c>
    </row>
    <row r="19" spans="2:6" ht="17.25" customHeight="1" x14ac:dyDescent="0.2">
      <c r="B19" s="29"/>
      <c r="C19" s="29"/>
      <c r="D19" s="29"/>
      <c r="E19" t="s">
        <v>1</v>
      </c>
      <c r="F19" s="47">
        <v>5600</v>
      </c>
    </row>
    <row r="20" spans="2:6" ht="17.25" customHeight="1" x14ac:dyDescent="0.2">
      <c r="B20" s="29"/>
      <c r="C20" s="29"/>
      <c r="D20" s="29"/>
      <c r="E20" t="s">
        <v>4</v>
      </c>
      <c r="F20" s="47">
        <v>9100</v>
      </c>
    </row>
    <row r="21" spans="2:6" ht="17.25" customHeight="1" x14ac:dyDescent="0.2">
      <c r="B21" s="29"/>
      <c r="C21" s="48" t="s">
        <v>54</v>
      </c>
      <c r="D21"/>
      <c r="E21"/>
      <c r="F21" s="47">
        <v>49100</v>
      </c>
    </row>
    <row r="22" spans="2:6" ht="17.25" customHeight="1" x14ac:dyDescent="0.2">
      <c r="B22" s="29"/>
      <c r="C22" s="50">
        <v>4</v>
      </c>
      <c r="D22" s="49">
        <v>41548</v>
      </c>
      <c r="E22" t="s">
        <v>3</v>
      </c>
      <c r="F22" s="47">
        <v>8800</v>
      </c>
    </row>
    <row r="23" spans="2:6" ht="17.25" customHeight="1" x14ac:dyDescent="0.2">
      <c r="B23" s="29"/>
      <c r="C23" s="29"/>
      <c r="D23" s="49">
        <v>41579</v>
      </c>
      <c r="E23" t="s">
        <v>56</v>
      </c>
      <c r="F23" s="47">
        <v>9100</v>
      </c>
    </row>
    <row r="24" spans="2:6" ht="17.25" customHeight="1" x14ac:dyDescent="0.2">
      <c r="B24" s="29"/>
      <c r="C24" s="29"/>
      <c r="D24" s="29"/>
      <c r="E24" t="s">
        <v>4</v>
      </c>
      <c r="F24" s="47">
        <v>16500</v>
      </c>
    </row>
    <row r="25" spans="2:6" ht="17.25" customHeight="1" x14ac:dyDescent="0.2">
      <c r="B25" s="29"/>
      <c r="C25" s="29"/>
      <c r="D25" s="49">
        <v>41609</v>
      </c>
      <c r="E25" t="s">
        <v>1</v>
      </c>
      <c r="F25" s="47">
        <v>9500</v>
      </c>
    </row>
    <row r="26" spans="2:6" ht="17.25" customHeight="1" x14ac:dyDescent="0.2">
      <c r="B26" s="29"/>
      <c r="C26" s="48" t="s">
        <v>55</v>
      </c>
      <c r="D26"/>
      <c r="E26"/>
      <c r="F26" s="47">
        <v>43900</v>
      </c>
    </row>
    <row r="27" spans="2:6" ht="11.25" x14ac:dyDescent="0.2">
      <c r="B27" s="28" t="s">
        <v>52</v>
      </c>
      <c r="C27" s="28"/>
      <c r="D27" s="28"/>
      <c r="E27" s="28"/>
      <c r="F27" s="60">
        <v>143800</v>
      </c>
    </row>
    <row r="28" spans="2:6" ht="11.25" x14ac:dyDescent="0.2">
      <c r="B28" t="s">
        <v>49</v>
      </c>
      <c r="C28"/>
      <c r="D28"/>
      <c r="E28"/>
      <c r="F28" s="47">
        <v>143800</v>
      </c>
    </row>
    <row r="29" spans="2:6" ht="17.25" customHeight="1" x14ac:dyDescent="0.2">
      <c r="B29"/>
      <c r="C29"/>
      <c r="D29"/>
      <c r="E29"/>
      <c r="F29"/>
    </row>
  </sheetData>
  <conditionalFormatting sqref="E1:E4 E30:E1048553">
    <cfRule type="expression" dxfId="21" priority="4">
      <formula>(LEN($E1)&gt;0)*(LEN($D2)&gt;0)</formula>
    </cfRule>
  </conditionalFormatting>
  <conditionalFormatting sqref="D1:D5 D26:D1048576 F30:F1048576">
    <cfRule type="expression" dxfId="20" priority="3">
      <formula>(LEN($D1)&gt;0)*(LEN($C1)=0)</formula>
    </cfRule>
  </conditionalFormatting>
  <conditionalFormatting sqref="F1:F4">
    <cfRule type="expression" dxfId="19" priority="1">
      <formula>(LEN($D1)&gt;0)*(LEN($C1)=0)</formula>
    </cfRule>
  </conditionalFormatting>
  <conditionalFormatting sqref="E1048554:E1048576">
    <cfRule type="expression" dxfId="18" priority="10">
      <formula>(LEN($E1048554)&gt;0)*(LEN($D1)&gt;0)</formula>
    </cfRule>
  </conditionalFormatting>
  <printOptions horizontalCentered="1"/>
  <pageMargins left="0.25" right="0.25" top="0.75" bottom="0.75" header="0.3" footer="0.3"/>
  <pageSetup paperSize="9" fitToHeight="0" orientation="portrait" horizont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7"/>
    <pageSetUpPr autoPageBreaks="0" fitToPage="1"/>
  </sheetPr>
  <dimension ref="B2:J43"/>
  <sheetViews>
    <sheetView showGridLines="0" zoomScaleNormal="100" workbookViewId="0"/>
  </sheetViews>
  <sheetFormatPr baseColWidth="10" defaultColWidth="9.33203125" defaultRowHeight="11.25" x14ac:dyDescent="0.2"/>
  <cols>
    <col min="1" max="1" width="2" customWidth="1"/>
    <col min="2" max="2" width="32.1640625" customWidth="1"/>
    <col min="3" max="4" width="16" customWidth="1"/>
    <col min="5" max="5" width="23.6640625" customWidth="1"/>
    <col min="6" max="6" width="16" customWidth="1"/>
    <col min="7" max="7" width="24.33203125" customWidth="1"/>
    <col min="8" max="8" width="26.83203125" customWidth="1"/>
    <col min="9" max="9" width="36.5" customWidth="1"/>
    <col min="10" max="10" width="23.83203125" customWidth="1"/>
  </cols>
  <sheetData>
    <row r="2" spans="2:10" ht="33.75" x14ac:dyDescent="0.2">
      <c r="B2" s="2" t="s">
        <v>32</v>
      </c>
    </row>
    <row r="3" spans="2:10" ht="27.75" customHeight="1" x14ac:dyDescent="0.2">
      <c r="B3" s="16" t="str">
        <f ca="1">"Aktuelles Datum: "&amp;UPPER(TEXT(TODAY(),"T MMM, JJJJ"))</f>
        <v>Aktuelles Datum: 13 SEP, 2012</v>
      </c>
      <c r="D3" s="18">
        <f ca="1">--TRIM(RIGHT(B3,LEN(B3)-FIND(":",B3)))</f>
        <v>41165</v>
      </c>
    </row>
    <row r="4" spans="2:10" ht="15" customHeight="1" x14ac:dyDescent="0.2"/>
    <row r="5" spans="2:10" ht="18.75" customHeight="1" x14ac:dyDescent="0.2">
      <c r="B5" s="41" t="s">
        <v>33</v>
      </c>
      <c r="C5" s="40" t="s">
        <v>34</v>
      </c>
      <c r="D5" s="40" t="s">
        <v>35</v>
      </c>
      <c r="E5" s="40" t="s">
        <v>36</v>
      </c>
      <c r="F5" s="40" t="s">
        <v>5</v>
      </c>
      <c r="G5" s="40" t="s">
        <v>37</v>
      </c>
      <c r="H5" s="40" t="s">
        <v>38</v>
      </c>
      <c r="I5" s="40" t="s">
        <v>39</v>
      </c>
      <c r="J5" s="31" t="s">
        <v>12</v>
      </c>
    </row>
    <row r="6" spans="2:10" s="3" customFormat="1" ht="15" customHeight="1" x14ac:dyDescent="0.2">
      <c r="B6" s="5" t="s">
        <v>6</v>
      </c>
      <c r="C6" s="36">
        <f ca="1">COUNTIF(Dateneingabe!$B$6:$B$24,"&gt;="&amp;DATE(fJahr,MONTH(fDatum),1))-COUNTIF(Dateneingabe!$B$6:$B$24,"&gt;"&amp;EOMONTH(fDatum,0))</f>
        <v>0</v>
      </c>
      <c r="D6" s="39"/>
      <c r="E6" s="7"/>
      <c r="F6" s="8"/>
      <c r="G6" s="36">
        <f ca="1">COUNTIF(Dateneingabe!$B$6:$B$24,"&lt;="&amp;EOMONTH(fDatum,0))</f>
        <v>0</v>
      </c>
      <c r="H6" s="6"/>
      <c r="I6" s="6"/>
      <c r="J6" s="9"/>
    </row>
    <row r="7" spans="2:10" s="3" customFormat="1" ht="15" customHeight="1" x14ac:dyDescent="0.2">
      <c r="B7" s="10" t="s">
        <v>11</v>
      </c>
      <c r="C7" s="44">
        <f ca="1">SUMIF(Dateneingabe!$B$6:$B$24,"&gt;="&amp;DATE(fJahr,MONTH(fDatum),1),Dateneingabe!$D$6:$D$24)-SUMIF(Dateneingabe!$B$6:$B$24,"&gt;"&amp;EOMONTH(fDatum,0),Dateneingabe!$D$6:$D$24)</f>
        <v>0</v>
      </c>
      <c r="D7" s="44">
        <f ca="1">SUMIF(Dateneingabe!$B$6:$B$24,"&gt;="&amp;DATE(fJahr,MONTH(fDatum),1),Dateneingabe!$E$6:$E$24)-SUMIF(Dateneingabe!$B$6:$B$24,"&gt;"&amp;EOMONTH(fDatum,0),Dateneingabe!$E$6:$E$24)</f>
        <v>0</v>
      </c>
      <c r="E7" s="44">
        <f ca="1">D7-C7</f>
        <v>0</v>
      </c>
      <c r="F7" s="37" t="str">
        <f ca="1">IFERROR(D7/C7,"-")</f>
        <v>-</v>
      </c>
      <c r="G7" s="44">
        <f ca="1">SUMIF(Dateneingabe!$B$6:$B$24,"&lt;="&amp;EOMONTH(fDatum,0),Dateneingabe!$D$6:$D$24)</f>
        <v>0</v>
      </c>
      <c r="H7" s="44">
        <f ca="1">SUMIF(Dateneingabe!$B$6:$B$24,"&lt;="&amp;EOMONTH(fDatum,0),Dateneingabe!$E$6:$E$24)</f>
        <v>0</v>
      </c>
      <c r="I7" s="44">
        <f ca="1">H7-G7</f>
        <v>0</v>
      </c>
      <c r="J7" s="11" t="str">
        <f ca="1">IFERROR(H7/G7,"")</f>
        <v/>
      </c>
    </row>
    <row r="8" spans="2:10" s="3" customFormat="1" ht="15" customHeight="1" x14ac:dyDescent="0.2">
      <c r="B8" s="10" t="s">
        <v>7</v>
      </c>
      <c r="C8" s="44">
        <f ca="1">(SUMIF(Dateneingabe!$B$6:$B$24,"&gt;="&amp;DATE(fJahr,MONTH(fDatum),1),Dateneingabe!$D$6:$D$24)-SUMIF(Dateneingabe!$B$6:$B$24,"&gt;"&amp;EOMONTH(fDatum,0),Dateneingabe!$D$6:$D$24))-(SUMIF(Dateneingabe!$B$6:$B$24,"&gt;="&amp;DATE(fJahr,MONTH(fDatum),1),Dateneingabe!$F$6:$F$24)-SUMIF(Dateneingabe!$B$6:$B$24,"&gt;"&amp;EOMONTH(fDatum,0),Dateneingabe!$F$6:$F$24))</f>
        <v>0</v>
      </c>
      <c r="D8" s="44">
        <f ca="1">(SUMIF(Dateneingabe!$B$6:$B$24,"&gt;="&amp;DATE(fJahr,MONTH(fDatum),1),Dateneingabe!$E$6:$E$24)-SUMIF(Dateneingabe!$B$6:$B$24,"&gt;"&amp;EOMONTH(fDatum,0),Dateneingabe!$E$6:$E$24))-(SUMIF(Dateneingabe!$B$6:$B$24,"&gt;="&amp;DATE(fJahr,MONTH(fDatum),1),Dateneingabe!$F$6:$F$24)-SUMIF(Dateneingabe!$B$6:$B$24,"&gt;"&amp;EOMONTH(fDatum,0),Dateneingabe!$F$6:$F$24))</f>
        <v>0</v>
      </c>
      <c r="E8" s="44">
        <f ca="1">D8-C8</f>
        <v>0</v>
      </c>
      <c r="F8" s="37" t="str">
        <f ca="1">IFERROR(D8/C8,"-")</f>
        <v>-</v>
      </c>
      <c r="G8" s="44">
        <f ca="1">SUMIF(Dateneingabe!$B$6:$B$24,"&lt;="&amp;EOMONTH(fDatum,0),Dateneingabe!$F$6:$F$24)</f>
        <v>0</v>
      </c>
      <c r="H8" s="44">
        <f ca="1">SUMIF(Dateneingabe!$B$6:$B$24,"&lt;="&amp;EOMONTH(fDatum,0),Dateneingabe!$F$6:$F$24)</f>
        <v>0</v>
      </c>
      <c r="I8" s="44">
        <f ca="1">H8-G8</f>
        <v>0</v>
      </c>
      <c r="J8" s="11" t="str">
        <f ca="1">IFERROR(H8/G8,"")</f>
        <v/>
      </c>
    </row>
    <row r="9" spans="2:10" s="3" customFormat="1" ht="15" customHeight="1" x14ac:dyDescent="0.2">
      <c r="B9" s="10" t="s">
        <v>8</v>
      </c>
      <c r="C9" s="37" t="str">
        <f ca="1">IFERROR(C8/C7,"-")</f>
        <v>-</v>
      </c>
      <c r="D9" s="37" t="str">
        <f ca="1">IFERROR(D8/D7,"-")</f>
        <v>-</v>
      </c>
      <c r="E9" s="37"/>
      <c r="F9" s="37" t="str">
        <f ca="1">IFERROR(F8/F7,"-")</f>
        <v>-</v>
      </c>
      <c r="G9" s="37" t="str">
        <f ca="1">IFERROR(G8/G7,"")</f>
        <v/>
      </c>
      <c r="H9" s="37" t="str">
        <f ca="1">IFERROR(H8/H7,"")</f>
        <v/>
      </c>
      <c r="I9" s="37"/>
      <c r="J9" s="11" t="str">
        <f ca="1">IFERROR(J8/J7,"")</f>
        <v/>
      </c>
    </row>
    <row r="10" spans="2:10" s="3" customFormat="1" ht="15" customHeight="1" x14ac:dyDescent="0.2">
      <c r="B10" s="10" t="s">
        <v>9</v>
      </c>
      <c r="C10" s="38">
        <f ca="1">COUNTIF(Dateneingabe!$B$6:$B$24,"&gt;="&amp;DATE(fJahr,MONTH(fDatum),1))-COUNTIF(Dateneingabe!$B$6:$B$24,"&gt;"&amp;EOMONTH(fDatum,0))</f>
        <v>0</v>
      </c>
      <c r="D10" s="12"/>
      <c r="E10" s="12"/>
      <c r="F10" s="12"/>
      <c r="G10" s="38">
        <f ca="1">COUNTIF(Dateneingabe!$B$6:$B$24,"&gt;"&amp;EOMONTH(fDatum,0))</f>
        <v>19</v>
      </c>
      <c r="H10" s="12"/>
      <c r="I10" s="12"/>
      <c r="J10" s="13"/>
    </row>
    <row r="11" spans="2:10" s="3" customFormat="1" ht="15" customHeight="1" x14ac:dyDescent="0.2">
      <c r="B11" s="10" t="s">
        <v>10</v>
      </c>
      <c r="C11" s="44" t="str">
        <f ca="1">IFERROR(C7/C10,"-")</f>
        <v>-</v>
      </c>
      <c r="D11" s="12"/>
      <c r="E11" s="12"/>
      <c r="F11" s="12"/>
      <c r="G11" s="44">
        <f ca="1">IFERROR(G7/G10,"-")</f>
        <v>0</v>
      </c>
      <c r="H11" s="12"/>
      <c r="I11" s="12"/>
      <c r="J11" s="13"/>
    </row>
    <row r="12" spans="2:10" ht="27" customHeight="1" x14ac:dyDescent="0.2">
      <c r="B12" s="1"/>
      <c r="C12" s="1"/>
      <c r="D12" s="1"/>
      <c r="E12" s="1"/>
      <c r="F12" s="1"/>
      <c r="G12" s="1"/>
      <c r="H12" s="1"/>
      <c r="I12" s="1"/>
      <c r="J12" s="1"/>
    </row>
    <row r="13" spans="2:10" ht="15.75" customHeight="1" x14ac:dyDescent="0.2">
      <c r="B13" s="30" t="s">
        <v>30</v>
      </c>
      <c r="C13" s="30"/>
      <c r="D13" s="30" t="s">
        <v>40</v>
      </c>
      <c r="E13" s="35"/>
      <c r="F13" s="30" t="s">
        <v>41</v>
      </c>
      <c r="G13" s="35"/>
      <c r="H13" s="30"/>
      <c r="I13" s="30" t="s">
        <v>42</v>
      </c>
      <c r="J13" s="14"/>
    </row>
    <row r="14" spans="2:10" x14ac:dyDescent="0.2">
      <c r="B14" s="32" t="s">
        <v>11</v>
      </c>
      <c r="C14" s="32"/>
      <c r="D14" s="45">
        <f ca="1">TREND(tblDaten[[MONAT ]],tblDaten[MONAT NR (AUSBLENDEN)],IF(MONTH(fDatum)=12,13,MONTH(fDatum)+1))</f>
        <v>19451.903553299489</v>
      </c>
      <c r="E14" s="34"/>
      <c r="F14" s="45">
        <f ca="1">TREND(tblDaten[[QUARTAL ]],tblDaten[MONAT NR (AUSBLENDEN)],IF(MONTH(fDatum)=12,13,MONTH(fDatum)+1))</f>
        <v>46098.98477157361</v>
      </c>
      <c r="G14" s="34"/>
      <c r="H14" s="33"/>
      <c r="I14" s="45">
        <f ca="1">TREND(tblDaten[[JÄHRLICH ]],tblDaten[MONAT NR (AUSBLENDEN)],IF(MONTH(fDatum)=12,13,MONTH(fDatum)+1))</f>
        <v>143800</v>
      </c>
      <c r="J14" s="15"/>
    </row>
    <row r="15" spans="2:10" ht="27" customHeight="1" x14ac:dyDescent="0.2"/>
    <row r="16" spans="2:10" s="17" customFormat="1" ht="27" customHeight="1" x14ac:dyDescent="0.2">
      <c r="B16" s="17" t="s">
        <v>43</v>
      </c>
    </row>
    <row r="30" spans="2:6" s="17" customFormat="1" ht="27" customHeight="1" x14ac:dyDescent="0.2">
      <c r="B30" s="17" t="s">
        <v>46</v>
      </c>
      <c r="F30" s="17" t="s">
        <v>47</v>
      </c>
    </row>
    <row r="38" spans="2:10" s="17" customFormat="1" ht="27" customHeight="1" x14ac:dyDescent="0.2">
      <c r="B38" s="17" t="s">
        <v>44</v>
      </c>
      <c r="F38" s="17" t="s">
        <v>45</v>
      </c>
    </row>
    <row r="43" spans="2:10" x14ac:dyDescent="0.2">
      <c r="J43" t="s">
        <v>48</v>
      </c>
    </row>
  </sheetData>
  <conditionalFormatting sqref="E2">
    <cfRule type="expression" dxfId="17" priority="3">
      <formula>(LEN($E2)&gt;0)*(LEN($D3)&gt;0)</formula>
    </cfRule>
  </conditionalFormatting>
  <conditionalFormatting sqref="D2">
    <cfRule type="expression" dxfId="16" priority="2">
      <formula>(LEN($D2)&gt;0)*(LEN($C2)=0)</formula>
    </cfRule>
  </conditionalFormatting>
  <conditionalFormatting sqref="F2">
    <cfRule type="expression" dxfId="15" priority="1">
      <formula>(LEN($D2)&gt;0)*(LEN($C2)=0)</formula>
    </cfRule>
  </conditionalFormatting>
  <printOptions horizontalCentered="1" verticalCentered="1"/>
  <pageMargins left="0.25" right="0.25" top="0.75" bottom="0.75" header="0.3" footer="0.3"/>
  <pageSetup paperSize="9" orientation="landscape" horizont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37696D9D1D95EC45A9440548E782419D04008C4669C20C93454ABB50E332FADBDDBE" ma:contentTypeVersion="55" ma:contentTypeDescription="Create a new document." ma:contentTypeScope="" ma:versionID="0862fa1d3c98dca9116b8c2bbf050b2c">
  <xsd:schema xmlns:xsd="http://www.w3.org/2001/XMLSchema" xmlns:xs="http://www.w3.org/2001/XMLSchema" xmlns:p="http://schemas.microsoft.com/office/2006/metadata/properties" xmlns:ns2="f105ad54-119a-4495-aa55-0e28b6b4ad2f" xmlns:ns3="c7af2036-029c-470e-8042-297c68a41472" targetNamespace="http://schemas.microsoft.com/office/2006/metadata/properties" ma:root="true" ma:fieldsID="efcf89ea05a71204977c7c6a0a118372" ns2:_="" ns3:_="">
    <xsd:import namespace="f105ad54-119a-4495-aa55-0e28b6b4ad2f"/>
    <xsd:import namespace="c7af2036-029c-470e-8042-297c68a41472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05ad54-119a-4495-aa55-0e28b6b4ad2f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fcc66ca1-c804-4edc-95c8-efd5040409e2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77ED1C39-458B-43CB-92CF-2BB5034D6716}" ma:internalName="CSXSubmissionMarket" ma:readOnly="false" ma:showField="MarketName" ma:web="f105ad54-119a-4495-aa55-0e28b6b4ad2f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6cd481e8-ffbe-48c6-a0d2-a06a66f62d0e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48E76E2C-5BED-4E0E-9D91-D053B66F5ED2}" ma:internalName="InProjectListLookup" ma:readOnly="true" ma:showField="InProjectList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49953ee0-cdd8-4a42-ac76-36ba2a8fee2f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48E76E2C-5BED-4E0E-9D91-D053B66F5ED2}" ma:internalName="LastCompleteVersionLookup" ma:readOnly="true" ma:showField="LastCompleteVersion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48E76E2C-5BED-4E0E-9D91-D053B66F5ED2}" ma:internalName="LastPreviewErrorLookup" ma:readOnly="true" ma:showField="LastPreviewError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48E76E2C-5BED-4E0E-9D91-D053B66F5ED2}" ma:internalName="LastPreviewResultLookup" ma:readOnly="true" ma:showField="LastPreviewResult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48E76E2C-5BED-4E0E-9D91-D053B66F5ED2}" ma:internalName="LastPreviewAttemptDateLookup" ma:readOnly="true" ma:showField="LastPreviewAttemptDate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48E76E2C-5BED-4E0E-9D91-D053B66F5ED2}" ma:internalName="LastPreviewedByLookup" ma:readOnly="true" ma:showField="LastPreviewedBy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48E76E2C-5BED-4E0E-9D91-D053B66F5ED2}" ma:internalName="LastPreviewTimeLookup" ma:readOnly="true" ma:showField="LastPreviewTime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48E76E2C-5BED-4E0E-9D91-D053B66F5ED2}" ma:internalName="LastPreviewVersionLookup" ma:readOnly="true" ma:showField="LastPreviewVersion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48E76E2C-5BED-4E0E-9D91-D053B66F5ED2}" ma:internalName="LastPublishErrorLookup" ma:readOnly="true" ma:showField="LastPublishError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48E76E2C-5BED-4E0E-9D91-D053B66F5ED2}" ma:internalName="LastPublishResultLookup" ma:readOnly="true" ma:showField="LastPublishResult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48E76E2C-5BED-4E0E-9D91-D053B66F5ED2}" ma:internalName="LastPublishAttemptDateLookup" ma:readOnly="true" ma:showField="LastPublishAttemptDate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48E76E2C-5BED-4E0E-9D91-D053B66F5ED2}" ma:internalName="LastPublishedByLookup" ma:readOnly="true" ma:showField="LastPublishedBy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48E76E2C-5BED-4E0E-9D91-D053B66F5ED2}" ma:internalName="LastPublishTimeLookup" ma:readOnly="true" ma:showField="LastPublishTime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48E76E2C-5BED-4E0E-9D91-D053B66F5ED2}" ma:internalName="LastPublishVersionLookup" ma:readOnly="true" ma:showField="LastPublishVersion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F611A6F9-FC3A-482F-805C-5B55AA6502C0}" ma:internalName="LocLastLocAttemptVersionLookup" ma:readOnly="false" ma:showField="LastLocAttemptVersion" ma:web="f105ad54-119a-4495-aa55-0e28b6b4ad2f">
      <xsd:simpleType>
        <xsd:restriction base="dms:Lookup"/>
      </xsd:simpleType>
    </xsd:element>
    <xsd:element name="LocLastLocAttemptVersionTypeLookup" ma:index="72" nillable="true" ma:displayName="Loc Last Loc Attempt Version Type" ma:default="" ma:list="{F611A6F9-FC3A-482F-805C-5B55AA6502C0}" ma:internalName="LocLastLocAttemptVersionTypeLookup" ma:readOnly="true" ma:showField="LastLocAttemptVersionType" ma:web="f105ad54-119a-4495-aa55-0e28b6b4ad2f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F611A6F9-FC3A-482F-805C-5B55AA6502C0}" ma:internalName="LocNewPublishedVersionLookup" ma:readOnly="true" ma:showField="NewPublishedVersion" ma:web="f105ad54-119a-4495-aa55-0e28b6b4ad2f">
      <xsd:simpleType>
        <xsd:restriction base="dms:Lookup"/>
      </xsd:simpleType>
    </xsd:element>
    <xsd:element name="LocOverallHandbackStatusLookup" ma:index="76" nillable="true" ma:displayName="Loc Overall Handback Status" ma:default="" ma:list="{F611A6F9-FC3A-482F-805C-5B55AA6502C0}" ma:internalName="LocOverallHandbackStatusLookup" ma:readOnly="true" ma:showField="OverallHandbackStatus" ma:web="f105ad54-119a-4495-aa55-0e28b6b4ad2f">
      <xsd:simpleType>
        <xsd:restriction base="dms:Lookup"/>
      </xsd:simpleType>
    </xsd:element>
    <xsd:element name="LocOverallLocStatusLookup" ma:index="77" nillable="true" ma:displayName="Loc Overall Localize Status" ma:default="" ma:list="{F611A6F9-FC3A-482F-805C-5B55AA6502C0}" ma:internalName="LocOverallLocStatusLookup" ma:readOnly="true" ma:showField="OverallLocStatus" ma:web="f105ad54-119a-4495-aa55-0e28b6b4ad2f">
      <xsd:simpleType>
        <xsd:restriction base="dms:Lookup"/>
      </xsd:simpleType>
    </xsd:element>
    <xsd:element name="LocOverallPreviewStatusLookup" ma:index="78" nillable="true" ma:displayName="Loc Overall Preview Status" ma:default="" ma:list="{F611A6F9-FC3A-482F-805C-5B55AA6502C0}" ma:internalName="LocOverallPreviewStatusLookup" ma:readOnly="true" ma:showField="OverallPreviewStatus" ma:web="f105ad54-119a-4495-aa55-0e28b6b4ad2f">
      <xsd:simpleType>
        <xsd:restriction base="dms:Lookup"/>
      </xsd:simpleType>
    </xsd:element>
    <xsd:element name="LocOverallPublishStatusLookup" ma:index="79" nillable="true" ma:displayName="Loc Overall Publish Status" ma:default="" ma:list="{F611A6F9-FC3A-482F-805C-5B55AA6502C0}" ma:internalName="LocOverallPublishStatusLookup" ma:readOnly="true" ma:showField="OverallPublishStatus" ma:web="f105ad54-119a-4495-aa55-0e28b6b4ad2f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F611A6F9-FC3A-482F-805C-5B55AA6502C0}" ma:internalName="LocProcessedForHandoffsLookup" ma:readOnly="true" ma:showField="ProcessedForHandoffs" ma:web="f105ad54-119a-4495-aa55-0e28b6b4ad2f">
      <xsd:simpleType>
        <xsd:restriction base="dms:Lookup"/>
      </xsd:simpleType>
    </xsd:element>
    <xsd:element name="LocProcessedForMarketsLookup" ma:index="82" nillable="true" ma:displayName="Loc Processed For Markets" ma:default="" ma:list="{F611A6F9-FC3A-482F-805C-5B55AA6502C0}" ma:internalName="LocProcessedForMarketsLookup" ma:readOnly="true" ma:showField="ProcessedForMarkets" ma:web="f105ad54-119a-4495-aa55-0e28b6b4ad2f">
      <xsd:simpleType>
        <xsd:restriction base="dms:Lookup"/>
      </xsd:simpleType>
    </xsd:element>
    <xsd:element name="LocPublishedDependentAssetsLookup" ma:index="83" nillable="true" ma:displayName="Loc Published Dependent Assets" ma:default="" ma:list="{F611A6F9-FC3A-482F-805C-5B55AA6502C0}" ma:internalName="LocPublishedDependentAssetsLookup" ma:readOnly="true" ma:showField="PublishedDependentAssets" ma:web="f105ad54-119a-4495-aa55-0e28b6b4ad2f">
      <xsd:simpleType>
        <xsd:restriction base="dms:Lookup"/>
      </xsd:simpleType>
    </xsd:element>
    <xsd:element name="LocPublishedLinkedAssetsLookup" ma:index="84" nillable="true" ma:displayName="Loc Published Linked Assets" ma:default="" ma:list="{F611A6F9-FC3A-482F-805C-5B55AA6502C0}" ma:internalName="LocPublishedLinkedAssetsLookup" ma:readOnly="true" ma:showField="PublishedLinkedAssets" ma:web="f105ad54-119a-4495-aa55-0e28b6b4ad2f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e3ccb7f3-e095-4e60-89e4-99358a9e407b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77ED1C39-458B-43CB-92CF-2BB5034D6716}" ma:internalName="Markets" ma:readOnly="false" ma:showField="MarketName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48E76E2C-5BED-4E0E-9D91-D053B66F5ED2}" ma:internalName="NumOfRatingsLookup" ma:readOnly="true" ma:showField="NumOfRatings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48E76E2C-5BED-4E0E-9D91-D053B66F5ED2}" ma:internalName="PublishStatusLookup" ma:readOnly="false" ma:showField="PublishStatus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faf1e1af-89ff-457d-b189-64e47bbed779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14d3419f-9772-4c8d-a0a0-05446c45e95f}" ma:internalName="TaxCatchAll" ma:showField="CatchAllData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14d3419f-9772-4c8d-a0a0-05446c45e95f}" ma:internalName="TaxCatchAllLabel" ma:readOnly="true" ma:showField="CatchAllDataLabel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af2036-029c-470e-8042-297c68a41472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encoding="utf-8"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f105ad54-119a-4495-aa55-0e28b6b4ad2f" xsi:nil="true"/>
    <AssetExpire xmlns="f105ad54-119a-4495-aa55-0e28b6b4ad2f">2029-01-01T08:00:00+00:00</AssetExpire>
    <CampaignTagsTaxHTField0 xmlns="f105ad54-119a-4495-aa55-0e28b6b4ad2f">
      <Terms xmlns="http://schemas.microsoft.com/office/infopath/2007/PartnerControls"/>
    </CampaignTagsTaxHTField0>
    <IntlLangReviewDate xmlns="f105ad54-119a-4495-aa55-0e28b6b4ad2f" xsi:nil="true"/>
    <TPFriendlyName xmlns="f105ad54-119a-4495-aa55-0e28b6b4ad2f" xsi:nil="true"/>
    <IntlLangReview xmlns="f105ad54-119a-4495-aa55-0e28b6b4ad2f">false</IntlLangReview>
    <LocLastLocAttemptVersionLookup xmlns="f105ad54-119a-4495-aa55-0e28b6b4ad2f">845880</LocLastLocAttemptVersionLookup>
    <PolicheckWords xmlns="f105ad54-119a-4495-aa55-0e28b6b4ad2f" xsi:nil="true"/>
    <SubmitterId xmlns="f105ad54-119a-4495-aa55-0e28b6b4ad2f" xsi:nil="true"/>
    <AcquiredFrom xmlns="f105ad54-119a-4495-aa55-0e28b6b4ad2f">Internal MS</AcquiredFrom>
    <EditorialStatus xmlns="f105ad54-119a-4495-aa55-0e28b6b4ad2f" xsi:nil="true"/>
    <Markets xmlns="f105ad54-119a-4495-aa55-0e28b6b4ad2f"/>
    <OriginAsset xmlns="f105ad54-119a-4495-aa55-0e28b6b4ad2f" xsi:nil="true"/>
    <AssetStart xmlns="f105ad54-119a-4495-aa55-0e28b6b4ad2f">2012-06-28T22:27:47+00:00</AssetStart>
    <FriendlyTitle xmlns="f105ad54-119a-4495-aa55-0e28b6b4ad2f" xsi:nil="true"/>
    <MarketSpecific xmlns="f105ad54-119a-4495-aa55-0e28b6b4ad2f">false</MarketSpecific>
    <TPNamespace xmlns="f105ad54-119a-4495-aa55-0e28b6b4ad2f" xsi:nil="true"/>
    <PublishStatusLookup xmlns="f105ad54-119a-4495-aa55-0e28b6b4ad2f">
      <Value>560207</Value>
    </PublishStatusLookup>
    <APAuthor xmlns="f105ad54-119a-4495-aa55-0e28b6b4ad2f">
      <UserInfo>
        <DisplayName/>
        <AccountId>2566</AccountId>
        <AccountType/>
      </UserInfo>
    </APAuthor>
    <TPCommandLine xmlns="f105ad54-119a-4495-aa55-0e28b6b4ad2f" xsi:nil="true"/>
    <IntlLangReviewer xmlns="f105ad54-119a-4495-aa55-0e28b6b4ad2f" xsi:nil="true"/>
    <OpenTemplate xmlns="f105ad54-119a-4495-aa55-0e28b6b4ad2f">true</OpenTemplate>
    <CSXSubmissionDate xmlns="f105ad54-119a-4495-aa55-0e28b6b4ad2f" xsi:nil="true"/>
    <TaxCatchAll xmlns="f105ad54-119a-4495-aa55-0e28b6b4ad2f"/>
    <Manager xmlns="f105ad54-119a-4495-aa55-0e28b6b4ad2f" xsi:nil="true"/>
    <NumericId xmlns="f105ad54-119a-4495-aa55-0e28b6b4ad2f" xsi:nil="true"/>
    <ParentAssetId xmlns="f105ad54-119a-4495-aa55-0e28b6b4ad2f" xsi:nil="true"/>
    <OriginalSourceMarket xmlns="f105ad54-119a-4495-aa55-0e28b6b4ad2f">english</OriginalSourceMarket>
    <ApprovalStatus xmlns="f105ad54-119a-4495-aa55-0e28b6b4ad2f">InProgress</ApprovalStatus>
    <TPComponent xmlns="f105ad54-119a-4495-aa55-0e28b6b4ad2f" xsi:nil="true"/>
    <EditorialTags xmlns="f105ad54-119a-4495-aa55-0e28b6b4ad2f" xsi:nil="true"/>
    <TPExecutable xmlns="f105ad54-119a-4495-aa55-0e28b6b4ad2f" xsi:nil="true"/>
    <TPLaunchHelpLink xmlns="f105ad54-119a-4495-aa55-0e28b6b4ad2f" xsi:nil="true"/>
    <LocComments xmlns="f105ad54-119a-4495-aa55-0e28b6b4ad2f" xsi:nil="true"/>
    <LocRecommendedHandoff xmlns="f105ad54-119a-4495-aa55-0e28b6b4ad2f" xsi:nil="true"/>
    <SourceTitle xmlns="f105ad54-119a-4495-aa55-0e28b6b4ad2f" xsi:nil="true"/>
    <CSXUpdate xmlns="f105ad54-119a-4495-aa55-0e28b6b4ad2f">false</CSXUpdate>
    <IntlLocPriority xmlns="f105ad54-119a-4495-aa55-0e28b6b4ad2f" xsi:nil="true"/>
    <UAProjectedTotalWords xmlns="f105ad54-119a-4495-aa55-0e28b6b4ad2f" xsi:nil="true"/>
    <AssetType xmlns="f105ad54-119a-4495-aa55-0e28b6b4ad2f" xsi:nil="true"/>
    <MachineTranslated xmlns="f105ad54-119a-4495-aa55-0e28b6b4ad2f">false</MachineTranslated>
    <OutputCachingOn xmlns="f105ad54-119a-4495-aa55-0e28b6b4ad2f">false</OutputCachingOn>
    <TemplateStatus xmlns="f105ad54-119a-4495-aa55-0e28b6b4ad2f">Complete</TemplateStatus>
    <IsSearchable xmlns="f105ad54-119a-4495-aa55-0e28b6b4ad2f">false</IsSearchable>
    <ContentItem xmlns="f105ad54-119a-4495-aa55-0e28b6b4ad2f" xsi:nil="true"/>
    <HandoffToMSDN xmlns="f105ad54-119a-4495-aa55-0e28b6b4ad2f" xsi:nil="true"/>
    <ShowIn xmlns="f105ad54-119a-4495-aa55-0e28b6b4ad2f">Show everywhere</ShowIn>
    <ThumbnailAssetId xmlns="f105ad54-119a-4495-aa55-0e28b6b4ad2f" xsi:nil="true"/>
    <UALocComments xmlns="f105ad54-119a-4495-aa55-0e28b6b4ad2f" xsi:nil="true"/>
    <UALocRecommendation xmlns="f105ad54-119a-4495-aa55-0e28b6b4ad2f">Localize</UALocRecommendation>
    <LastModifiedDateTime xmlns="f105ad54-119a-4495-aa55-0e28b6b4ad2f" xsi:nil="true"/>
    <LegacyData xmlns="f105ad54-119a-4495-aa55-0e28b6b4ad2f" xsi:nil="true"/>
    <LocManualTestRequired xmlns="f105ad54-119a-4495-aa55-0e28b6b4ad2f">false</LocManualTestRequired>
    <LocMarketGroupTiers2 xmlns="f105ad54-119a-4495-aa55-0e28b6b4ad2f" xsi:nil="true"/>
    <ClipArtFilename xmlns="f105ad54-119a-4495-aa55-0e28b6b4ad2f" xsi:nil="true"/>
    <TPApplication xmlns="f105ad54-119a-4495-aa55-0e28b6b4ad2f" xsi:nil="true"/>
    <CSXHash xmlns="f105ad54-119a-4495-aa55-0e28b6b4ad2f" xsi:nil="true"/>
    <DirectSourceMarket xmlns="f105ad54-119a-4495-aa55-0e28b6b4ad2f">english</DirectSourceMarket>
    <PrimaryImageGen xmlns="f105ad54-119a-4495-aa55-0e28b6b4ad2f">false</PrimaryImageGen>
    <PlannedPubDate xmlns="f105ad54-119a-4495-aa55-0e28b6b4ad2f" xsi:nil="true"/>
    <CSXSubmissionMarket xmlns="f105ad54-119a-4495-aa55-0e28b6b4ad2f" xsi:nil="true"/>
    <Downloads xmlns="f105ad54-119a-4495-aa55-0e28b6b4ad2f">0</Downloads>
    <ArtSampleDocs xmlns="f105ad54-119a-4495-aa55-0e28b6b4ad2f" xsi:nil="true"/>
    <TrustLevel xmlns="f105ad54-119a-4495-aa55-0e28b6b4ad2f">1 Microsoft Managed Content</TrustLevel>
    <BlockPublish xmlns="f105ad54-119a-4495-aa55-0e28b6b4ad2f">false</BlockPublish>
    <TPLaunchHelpLinkType xmlns="f105ad54-119a-4495-aa55-0e28b6b4ad2f">Template</TPLaunchHelpLinkType>
    <LocalizationTagsTaxHTField0 xmlns="f105ad54-119a-4495-aa55-0e28b6b4ad2f">
      <Terms xmlns="http://schemas.microsoft.com/office/infopath/2007/PartnerControls"/>
    </LocalizationTagsTaxHTField0>
    <BusinessGroup xmlns="f105ad54-119a-4495-aa55-0e28b6b4ad2f" xsi:nil="true"/>
    <Providers xmlns="f105ad54-119a-4495-aa55-0e28b6b4ad2f" xsi:nil="true"/>
    <TemplateTemplateType xmlns="f105ad54-119a-4495-aa55-0e28b6b4ad2f">Excel Spreadsheet Template</TemplateTemplateType>
    <TimesCloned xmlns="f105ad54-119a-4495-aa55-0e28b6b4ad2f" xsi:nil="true"/>
    <TPAppVersion xmlns="f105ad54-119a-4495-aa55-0e28b6b4ad2f" xsi:nil="true"/>
    <VoteCount xmlns="f105ad54-119a-4495-aa55-0e28b6b4ad2f" xsi:nil="true"/>
    <AverageRating xmlns="f105ad54-119a-4495-aa55-0e28b6b4ad2f" xsi:nil="true"/>
    <FeatureTagsTaxHTField0 xmlns="f105ad54-119a-4495-aa55-0e28b6b4ad2f">
      <Terms xmlns="http://schemas.microsoft.com/office/infopath/2007/PartnerControls"/>
    </FeatureTagsTaxHTField0>
    <Provider xmlns="f105ad54-119a-4495-aa55-0e28b6b4ad2f" xsi:nil="true"/>
    <UACurrentWords xmlns="f105ad54-119a-4495-aa55-0e28b6b4ad2f" xsi:nil="true"/>
    <AssetId xmlns="f105ad54-119a-4495-aa55-0e28b6b4ad2f">TP102929974</AssetId>
    <TPClientViewer xmlns="f105ad54-119a-4495-aa55-0e28b6b4ad2f" xsi:nil="true"/>
    <DSATActionTaken xmlns="f105ad54-119a-4495-aa55-0e28b6b4ad2f" xsi:nil="true"/>
    <APEditor xmlns="f105ad54-119a-4495-aa55-0e28b6b4ad2f">
      <UserInfo>
        <DisplayName/>
        <AccountId xsi:nil="true"/>
        <AccountType/>
      </UserInfo>
    </APEditor>
    <TPInstallLocation xmlns="f105ad54-119a-4495-aa55-0e28b6b4ad2f" xsi:nil="true"/>
    <OOCacheId xmlns="f105ad54-119a-4495-aa55-0e28b6b4ad2f" xsi:nil="true"/>
    <IsDeleted xmlns="f105ad54-119a-4495-aa55-0e28b6b4ad2f">false</IsDeleted>
    <PublishTargets xmlns="f105ad54-119a-4495-aa55-0e28b6b4ad2f">OfficeOnlineVNext</PublishTargets>
    <ApprovalLog xmlns="f105ad54-119a-4495-aa55-0e28b6b4ad2f" xsi:nil="true"/>
    <BugNumber xmlns="f105ad54-119a-4495-aa55-0e28b6b4ad2f" xsi:nil="true"/>
    <CrawlForDependencies xmlns="f105ad54-119a-4495-aa55-0e28b6b4ad2f">false</CrawlForDependencies>
    <InternalTagsTaxHTField0 xmlns="f105ad54-119a-4495-aa55-0e28b6b4ad2f">
      <Terms xmlns="http://schemas.microsoft.com/office/infopath/2007/PartnerControls"/>
    </InternalTagsTaxHTField0>
    <LastHandOff xmlns="f105ad54-119a-4495-aa55-0e28b6b4ad2f" xsi:nil="true"/>
    <Milestone xmlns="f105ad54-119a-4495-aa55-0e28b6b4ad2f" xsi:nil="true"/>
    <OriginalRelease xmlns="f105ad54-119a-4495-aa55-0e28b6b4ad2f">15</OriginalRelease>
    <RecommendationsModifier xmlns="f105ad54-119a-4495-aa55-0e28b6b4ad2f" xsi:nil="true"/>
    <ScenarioTagsTaxHTField0 xmlns="f105ad54-119a-4495-aa55-0e28b6b4ad2f">
      <Terms xmlns="http://schemas.microsoft.com/office/infopath/2007/PartnerControls"/>
    </ScenarioTagsTaxHTField0>
    <UANotes xmlns="f105ad54-119a-4495-aa55-0e28b6b4ad2f" xsi:nil="true"/>
    <Component xmlns="c7af2036-029c-470e-8042-297c68a41472" xsi:nil="true"/>
    <Description0 xmlns="c7af2036-029c-470e-8042-297c68a41472" xsi:nil="true"/>
  </documentManagement>
</p:properties>
</file>

<file path=customXml/itemProps1.xml><?xml version="1.0" encoding="utf-8"?>
<ds:datastoreItem xmlns:ds="http://schemas.openxmlformats.org/officeDocument/2006/customXml" ds:itemID="{500D01E3-D790-4B9D-961F-76759085744C}"/>
</file>

<file path=customXml/itemProps2.xml><?xml version="1.0" encoding="utf-8"?>
<ds:datastoreItem xmlns:ds="http://schemas.openxmlformats.org/officeDocument/2006/customXml" ds:itemID="{0AEE7169-E8EC-4E19-BA48-3F46D4C38897}"/>
</file>

<file path=customXml/itemProps3.xml><?xml version="1.0" encoding="utf-8"?>
<ds:datastoreItem xmlns:ds="http://schemas.openxmlformats.org/officeDocument/2006/customXml" ds:itemID="{C8DE6788-D1FD-452D-A3B7-55A6390F72E3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7</vt:i4>
      </vt:variant>
    </vt:vector>
  </HeadingPairs>
  <TitlesOfParts>
    <vt:vector size="10" baseType="lpstr">
      <vt:lpstr>Dateneingabe</vt:lpstr>
      <vt:lpstr>Umsatzbericht</vt:lpstr>
      <vt:lpstr>Umsatzprognose</vt:lpstr>
      <vt:lpstr>Umsatzprognose!Druckbereich</vt:lpstr>
      <vt:lpstr>Umsatzbericht!Drucktitel</vt:lpstr>
      <vt:lpstr>fDatum</vt:lpstr>
      <vt:lpstr>fJahr</vt:lpstr>
      <vt:lpstr>fMonat</vt:lpstr>
      <vt:lpstr>fTag</vt:lpstr>
      <vt:lpstr>PrognoseDatum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Hosek</dc:creator>
  <dcterms:created xsi:type="dcterms:W3CDTF">2012-06-20T20:17:06Z</dcterms:created>
  <dcterms:modified xsi:type="dcterms:W3CDTF">2012-09-13T01:21:33Z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0x01010037696D9D1D95EC45A9440548E782419D04008C4669C20C93454ABB50E332FADBDDBE</vt:lpwstr>
  </property>
  <property fmtid="{D5CDD505-2E9C-101B-9397-08002B2CF9AE}" pid="3" name="HiddenCategoryTags">
    <vt:lpwstr/>
  </property>
  <property fmtid="{D5CDD505-2E9C-101B-9397-08002B2CF9AE}" pid="4" name="InternalTags">
    <vt:lpwstr/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CategoryTags">
    <vt:lpwstr/>
  </property>
  <property fmtid="{D5CDD505-2E9C-101B-9397-08002B2CF9AE}" pid="8" name="ScenarioTags">
    <vt:lpwstr/>
  </property>
  <property fmtid="{D5CDD505-2E9C-101B-9397-08002B2CF9AE}" pid="9" name="CategoryTagsTaxHTField0">
    <vt:lpwstr/>
  </property>
  <property fmtid="{D5CDD505-2E9C-101B-9397-08002B2CF9AE}" pid="10" name="CampaignTags">
    <vt:lpwstr/>
  </property>
  <property fmtid="{D5CDD505-2E9C-101B-9397-08002B2CF9AE}" pid="11" name="HiddenCategoryTagsTaxHTField0">
    <vt:lpwstr/>
  </property>
</Properties>
</file>