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240" yWindow="75" windowWidth="20115" windowHeight="7740" tabRatio="717"/>
  </bookViews>
  <sheets>
    <sheet name="Juhlien yleiskatsaus" sheetId="4" r:id="rId1"/>
    <sheet name="Vierasluettelo" sheetId="2" r:id="rId2"/>
    <sheet name="Ruoka ja juoma" sheetId="1" r:id="rId3"/>
    <sheet name="Muut ostokset" sheetId="3" r:id="rId4"/>
    <sheet name="Istumajärjestys-ruudukko" sheetId="5" r:id="rId5"/>
  </sheets>
  <definedNames>
    <definedName name="AdultTotal">'Juhlien yleiskatsaus'!$E$9</definedName>
    <definedName name="ChildrenTotal">'Juhlien yleiskatsaus'!$E$10</definedName>
    <definedName name="ConfirmedGuests">AttendeeSummary[[#Totals],[Vahvistettuja yhteensä]]</definedName>
    <definedName name="EssentialCostPerGuest">(Table1Budget[[#Totals],[Kustannus]]+Table2Budget[[#Totals],[Kustannus]]+Table3Budget[[#Totals],[Kustannus]])/AttendeeSummary[[#Totals],[Vahvistettuja yhteensä]]</definedName>
    <definedName name="OutstandingRSVPs">COUNTIF(GuestTable[OSALLISTUU?],"&lt;&gt;"&amp;"*")</definedName>
    <definedName name="Table1Header">'Muut ostokset'!$B$6</definedName>
    <definedName name="Table2Header">'Muut ostokset'!$B$17</definedName>
    <definedName name="Table3Header">'Muut ostokset'!$B$25</definedName>
    <definedName name="_xlnm.Print_Area" localSheetId="4">'Istumajärjestys-ruudukko'!$A$1:$AH$44</definedName>
  </definedNames>
  <calcPr calcId="152511"/>
</workbook>
</file>

<file path=xl/calcChain.xml><?xml version="1.0" encoding="utf-8"?>
<calcChain xmlns="http://schemas.openxmlformats.org/spreadsheetml/2006/main">
  <c r="G11" i="4" l="1"/>
  <c r="F11" i="4"/>
  <c r="U38" i="5" l="1"/>
  <c r="U42" i="5" l="1"/>
  <c r="U41" i="5"/>
  <c r="U40" i="5"/>
  <c r="U39" i="5"/>
  <c r="H6" i="4" l="1"/>
  <c r="E10" i="4"/>
  <c r="E9" i="4"/>
  <c r="E20" i="4" l="1"/>
  <c r="E19" i="4"/>
  <c r="E18" i="4"/>
  <c r="E17" i="4"/>
  <c r="E21" i="4" l="1"/>
  <c r="C30" i="3"/>
  <c r="G20" i="4" s="1"/>
  <c r="H20" i="4" s="1"/>
  <c r="C22" i="3"/>
  <c r="G19" i="4" s="1"/>
  <c r="H19" i="4" s="1"/>
  <c r="C14" i="3"/>
  <c r="G18" i="4" s="1"/>
  <c r="H18" i="4" s="1"/>
  <c r="E25" i="1"/>
  <c r="D25" i="1"/>
  <c r="C25" i="1"/>
  <c r="G17" i="4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F21" i="4"/>
  <c r="D20" i="4"/>
  <c r="D19" i="4"/>
  <c r="D18" i="4"/>
  <c r="F16" i="1" l="1"/>
  <c r="G16" i="1" s="1"/>
  <c r="H16" i="1" s="1"/>
  <c r="F18" i="1"/>
  <c r="G18" i="1" s="1"/>
  <c r="H18" i="1" s="1"/>
  <c r="F17" i="1"/>
  <c r="G17" i="1" s="1"/>
  <c r="H17" i="1" s="1"/>
  <c r="E11" i="4"/>
  <c r="G21" i="4"/>
  <c r="H17" i="4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G9" i="4" l="1"/>
  <c r="T36" i="5"/>
  <c r="G10" i="4"/>
  <c r="I18" i="1"/>
  <c r="I17" i="1"/>
  <c r="I16" i="1"/>
  <c r="I21" i="1"/>
  <c r="I19" i="1"/>
  <c r="I14" i="1"/>
  <c r="I12" i="1"/>
  <c r="I10" i="1"/>
  <c r="I8" i="1"/>
  <c r="I22" i="1"/>
  <c r="I20" i="1"/>
  <c r="I15" i="1"/>
  <c r="I13" i="1"/>
  <c r="I11" i="1"/>
  <c r="I9" i="1"/>
  <c r="I7" i="1"/>
  <c r="I23" i="1"/>
  <c r="I24" i="1"/>
  <c r="H21" i="4"/>
  <c r="F25" i="1"/>
  <c r="I25" i="1" l="1"/>
  <c r="F9" i="4" s="1"/>
  <c r="G25" i="1"/>
  <c r="H25" i="1"/>
  <c r="F10" i="4" s="1"/>
  <c r="H10" i="4" s="1"/>
  <c r="H9" i="4" l="1"/>
  <c r="H11" i="4" s="1"/>
</calcChain>
</file>

<file path=xl/sharedStrings.xml><?xml version="1.0" encoding="utf-8"?>
<sst xmlns="http://schemas.openxmlformats.org/spreadsheetml/2006/main" count="253" uniqueCount="215">
  <si>
    <t>Hummus</t>
  </si>
  <si>
    <t>Istumajärjestys</t>
  </si>
  <si>
    <t>*1 neliö = noin 30 x 30 cm</t>
  </si>
  <si>
    <t>Huomautukset</t>
  </si>
  <si>
    <t>Muut ostokset</t>
  </si>
  <si>
    <t>Laitteet ja tarvikkeet</t>
  </si>
  <si>
    <t>Kustannus</t>
  </si>
  <si>
    <t>Ostettu</t>
  </si>
  <si>
    <t>Huoneen/salin vuokra</t>
  </si>
  <si>
    <t>Pöytäliinat</t>
  </si>
  <si>
    <t>Pöydät ja tuolit</t>
  </si>
  <si>
    <t>Servetit</t>
  </si>
  <si>
    <t>Lautasliinat</t>
  </si>
  <si>
    <t>Kattaus</t>
  </si>
  <si>
    <t>Lasitavara</t>
  </si>
  <si>
    <t>Yhteensä</t>
  </si>
  <si>
    <t>Vuokra</t>
  </si>
  <si>
    <t>Sisältyy salin hintaan</t>
  </si>
  <si>
    <t>Koristelut</t>
  </si>
  <si>
    <t>Ilmapallot</t>
  </si>
  <si>
    <t>Heliumsäiliö</t>
  </si>
  <si>
    <t>Koriste-esineet</t>
  </si>
  <si>
    <t>Lasimaljakot</t>
  </si>
  <si>
    <t>Yhteensä 10</t>
  </si>
  <si>
    <t>Lainataan Tanjalta</t>
  </si>
  <si>
    <t>Kutsut</t>
  </si>
  <si>
    <t>Postikulut</t>
  </si>
  <si>
    <t>Valokuvaaja</t>
  </si>
  <si>
    <t>Pikkulahjat</t>
  </si>
  <si>
    <t>2 tuntia (klo 14-16.00)</t>
  </si>
  <si>
    <t>Kyllä</t>
  </si>
  <si>
    <t>Ruoka ja juoma</t>
  </si>
  <si>
    <t>Kirjoita kustannukset ja arvioitu annosten määrä, niin kokonaisannosmäärät ja -kustannukset lasketaan automaattisesti osallistujien mukaan</t>
  </si>
  <si>
    <t>RUOKA- TAI JUOMANIMIKE</t>
  </si>
  <si>
    <t>KOKONAISKULUT</t>
  </si>
  <si>
    <t>LASTEN ANNOKSET</t>
  </si>
  <si>
    <t>AIKUISTEN ANNOKSET</t>
  </si>
  <si>
    <t>ANNOKSET YHTEENSÄ</t>
  </si>
  <si>
    <t>KUSTANNUS ANNOSTA KOHDEN</t>
  </si>
  <si>
    <t>KUSTANNUS LASTA KOHDEN</t>
  </si>
  <si>
    <t>KUSTANNUS AIKUISTA KOHDEN</t>
  </si>
  <si>
    <t>HUOMAUTUKSET</t>
  </si>
  <si>
    <t>2 litran pulloja</t>
  </si>
  <si>
    <t>Omena ja viinirypäleet</t>
  </si>
  <si>
    <t>Tilaukset paikallisesta leipomosta</t>
  </si>
  <si>
    <t>Osta pakattuja purkkeja: vanilja ja suklaa</t>
  </si>
  <si>
    <t>Kermajuustolla ja makkaralla täytetyt sienet</t>
  </si>
  <si>
    <t xml:space="preserve">Tomaatti ja basilika </t>
  </si>
  <si>
    <t>4 pussia - lajitelma</t>
  </si>
  <si>
    <t>2 suurta rasiaa</t>
  </si>
  <si>
    <t>3 purkkia</t>
  </si>
  <si>
    <t>Ostokset paikallisesta kaupasta</t>
  </si>
  <si>
    <t>Tee päivää aikaisemmin</t>
  </si>
  <si>
    <t>Porkkanatikut, selleri, parsakaali, kukkakaali, punaiset ja vihreät paprikat</t>
  </si>
  <si>
    <t>Lajitelma: kermajuusto, pähkinäinen kova juusto</t>
  </si>
  <si>
    <t>Lajitelma</t>
  </si>
  <si>
    <t>Virvoitusjuomat</t>
  </si>
  <si>
    <t>Mehupurkit</t>
  </si>
  <si>
    <t>Viini</t>
  </si>
  <si>
    <t>Kakku</t>
  </si>
  <si>
    <t>Jäätelö</t>
  </si>
  <si>
    <t>Vanukaspurkki</t>
  </si>
  <si>
    <t>Täytetyt sienet</t>
  </si>
  <si>
    <t>Bruschetta-leivät</t>
  </si>
  <si>
    <t>Savustettu lohi</t>
  </si>
  <si>
    <t>Minirinkelit</t>
  </si>
  <si>
    <t>Kermajuusto</t>
  </si>
  <si>
    <t>Kaprikset</t>
  </si>
  <si>
    <t>Kanansiivet</t>
  </si>
  <si>
    <t>Parmesaani-pitavoileipäkeksit</t>
  </si>
  <si>
    <t>Lajitelma vihanneksia</t>
  </si>
  <si>
    <t>Juustopallot</t>
  </si>
  <si>
    <t>Voileipäkeksit</t>
  </si>
  <si>
    <t>Voit käyttää mitä tahansa seuraavista pöytäkattauksista:</t>
  </si>
  <si>
    <t>(Suositeltava pöytien väli: 1 metri)</t>
  </si>
  <si>
    <t>Vierasluettelo</t>
  </si>
  <si>
    <t>NIMI</t>
  </si>
  <si>
    <t>OSOITE</t>
  </si>
  <si>
    <t>POSTITOIMIPAIKKA</t>
  </si>
  <si>
    <t>KAUPUNKI</t>
  </si>
  <si>
    <t>POSTINUMERO</t>
  </si>
  <si>
    <t>PUHELIN</t>
  </si>
  <si>
    <t>SÄHKÖPOSTI</t>
  </si>
  <si>
    <t>OSALLISTUU?</t>
  </si>
  <si>
    <t>LAPSET</t>
  </si>
  <si>
    <t>AIKUISET</t>
  </si>
  <si>
    <t>YHTEENSÄ</t>
  </si>
  <si>
    <t>Ei</t>
  </si>
  <si>
    <t>Sähköposti1</t>
  </si>
  <si>
    <t>Sähköposti2</t>
  </si>
  <si>
    <t>Sähköposti3</t>
  </si>
  <si>
    <t>Sähköposti4</t>
  </si>
  <si>
    <t>Sähköposti5</t>
  </si>
  <si>
    <t>Sähköposti6</t>
  </si>
  <si>
    <t>Sähköposti7</t>
  </si>
  <si>
    <t>Sähköposti8</t>
  </si>
  <si>
    <t>Sähköposti9</t>
  </si>
  <si>
    <t>Sähköposti10</t>
  </si>
  <si>
    <t>Sähköposti11</t>
  </si>
  <si>
    <t>Sähköposti12</t>
  </si>
  <si>
    <t>Sähköposti13</t>
  </si>
  <si>
    <t>Sähköposti14</t>
  </si>
  <si>
    <t>Sähköposti15</t>
  </si>
  <si>
    <t>Puhelin 1</t>
  </si>
  <si>
    <t>Puhelin 2</t>
  </si>
  <si>
    <t>Puhelin 3</t>
  </si>
  <si>
    <t>Puhelin 4</t>
  </si>
  <si>
    <t>Puhelin 5</t>
  </si>
  <si>
    <t>Puhelin 6</t>
  </si>
  <si>
    <t>Puhelin 7</t>
  </si>
  <si>
    <t>Puhelin 8</t>
  </si>
  <si>
    <t>Puhelin 9</t>
  </si>
  <si>
    <t>Puhelin 10</t>
  </si>
  <si>
    <t>Puhelin 11</t>
  </si>
  <si>
    <t>Puhelin 12</t>
  </si>
  <si>
    <t>Puhelin 13</t>
  </si>
  <si>
    <t>Puhelin 14</t>
  </si>
  <si>
    <t>Puhelin 15</t>
  </si>
  <si>
    <t>Postinumero 1</t>
  </si>
  <si>
    <t>Postinumero 2</t>
  </si>
  <si>
    <t>Postinumero 3</t>
  </si>
  <si>
    <t>Postinumero 4</t>
  </si>
  <si>
    <t>Postinumero 5</t>
  </si>
  <si>
    <t>Postinumero 6</t>
  </si>
  <si>
    <t>Postinumero 7</t>
  </si>
  <si>
    <t>Postinumero 8</t>
  </si>
  <si>
    <t>Postinumero 9</t>
  </si>
  <si>
    <t>Postinumero 10</t>
  </si>
  <si>
    <t>Postinumero 11</t>
  </si>
  <si>
    <t>Postinumero 12</t>
  </si>
  <si>
    <t>Postinumero 13</t>
  </si>
  <si>
    <t>Postinumero 14</t>
  </si>
  <si>
    <t>Postinumero 15</t>
  </si>
  <si>
    <t>Alue 1</t>
  </si>
  <si>
    <t>Alue 2</t>
  </si>
  <si>
    <t>Alue 3</t>
  </si>
  <si>
    <t>Alue 4</t>
  </si>
  <si>
    <t>Alue 5</t>
  </si>
  <si>
    <t>Alue 6</t>
  </si>
  <si>
    <t>Alue 7</t>
  </si>
  <si>
    <t>Alue 8</t>
  </si>
  <si>
    <t>Alue 9</t>
  </si>
  <si>
    <t>Alue 10</t>
  </si>
  <si>
    <t>Alue 11</t>
  </si>
  <si>
    <t>Alue 12</t>
  </si>
  <si>
    <t>Alue 13</t>
  </si>
  <si>
    <t>Alue 14</t>
  </si>
  <si>
    <t>Alue 15</t>
  </si>
  <si>
    <t>Kaupunki 1</t>
  </si>
  <si>
    <t>Kaupunki 2</t>
  </si>
  <si>
    <t>Kaupunki 3</t>
  </si>
  <si>
    <t>Kaupunki 4</t>
  </si>
  <si>
    <t>Kaupunki 5</t>
  </si>
  <si>
    <t>Kaupunki 6</t>
  </si>
  <si>
    <t>Kaupunki 7</t>
  </si>
  <si>
    <t>Kaupunki 8</t>
  </si>
  <si>
    <t>Kaupunki 9</t>
  </si>
  <si>
    <t>Kaupunki 10</t>
  </si>
  <si>
    <t>Kaupunki 11</t>
  </si>
  <si>
    <t>Kaupunki 12</t>
  </si>
  <si>
    <t>Kaupunki 13</t>
  </si>
  <si>
    <t>Kaupunki 14</t>
  </si>
  <si>
    <t>Kaupunki 15</t>
  </si>
  <si>
    <t>Osoite 1</t>
  </si>
  <si>
    <t>Osoite 2</t>
  </si>
  <si>
    <t>Osoite 3</t>
  </si>
  <si>
    <t>Osoite 4</t>
  </si>
  <si>
    <t>Osoite 5</t>
  </si>
  <si>
    <t>Osoite 6</t>
  </si>
  <si>
    <t>Osoite 7</t>
  </si>
  <si>
    <t>Osoite 8</t>
  </si>
  <si>
    <t>Osoite 9</t>
  </si>
  <si>
    <t>Osoite 10</t>
  </si>
  <si>
    <t>Osoite 11</t>
  </si>
  <si>
    <t>Osoite 12</t>
  </si>
  <si>
    <t>Osoite 13</t>
  </si>
  <si>
    <t>Osoite 14</t>
  </si>
  <si>
    <t>Osoite 15</t>
  </si>
  <si>
    <t>Perhe 1</t>
  </si>
  <si>
    <t>Perhe 2</t>
  </si>
  <si>
    <t>Perhe 3</t>
  </si>
  <si>
    <t>Perhe 4</t>
  </si>
  <si>
    <t>Perhe 5</t>
  </si>
  <si>
    <t>Perhe 6</t>
  </si>
  <si>
    <t>Perhe 7</t>
  </si>
  <si>
    <t>Perhe 8</t>
  </si>
  <si>
    <t>Perhe 9</t>
  </si>
  <si>
    <t>Perhe 10</t>
  </si>
  <si>
    <t>Perhe 11</t>
  </si>
  <si>
    <t>Perhe 12</t>
  </si>
  <si>
    <t>Perhe 13</t>
  </si>
  <si>
    <t>Perhe 14</t>
  </si>
  <si>
    <t>Perhe 15</t>
  </si>
  <si>
    <t>Juhlien yleiskatsaus</t>
  </si>
  <si>
    <t>TAPAHTUMA</t>
  </si>
  <si>
    <t>Isoäidin 75-vuotissyntymäpäivä</t>
  </si>
  <si>
    <t>PÄIVÄMÄÄRÄ</t>
  </si>
  <si>
    <t>AIKA</t>
  </si>
  <si>
    <t>klo 14–16.00</t>
  </si>
  <si>
    <t>SIJAINTI</t>
  </si>
  <si>
    <t>Tiina-tädin luona</t>
  </si>
  <si>
    <t>YHTEENVETO VIERAISTA</t>
  </si>
  <si>
    <t>VASTAUSPYYNTÖJEN YLEISKATSAUS</t>
  </si>
  <si>
    <t>Vahvistetut vieraat</t>
  </si>
  <si>
    <t>Vahvistettuja yhteensä</t>
  </si>
  <si>
    <t>Aikuiset</t>
  </si>
  <si>
    <t>Lapset</t>
  </si>
  <si>
    <t>KUSTANNUKSET VIERASTA KOHDEN</t>
  </si>
  <si>
    <t>Muut</t>
  </si>
  <si>
    <t>Ruoka</t>
  </si>
  <si>
    <t>BUDJETTI</t>
  </si>
  <si>
    <t>BUDJETTIYHTEENVETO</t>
  </si>
  <si>
    <t>NIMIKE</t>
  </si>
  <si>
    <t>LUKUMÄÄRÄ</t>
  </si>
  <si>
    <t>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</si>
</sst>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[&lt;=9999999]###\-####;\(###\)\ ###\-####"/>
    <numFmt numFmtId="166" formatCode="#,##0.00\ &quot;€&quot;"/>
    <numFmt numFmtId="167" formatCode="#,##0.00\ &quot;€&quot;;[Red]#,##0.00\ &quot;€&quot;"/>
    <numFmt numFmtId="168" formatCode="[$-40B]d\.\ mmmm\t\a\ yyyy;@"/>
  </numFmts>
  <fonts count="22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164" fontId="0" fillId="0" borderId="7" xfId="0" applyNumberFormat="1" applyFont="1" applyFill="1" applyBorder="1" applyAlignment="1">
      <alignment horizontal="right" vertical="center" indent="3"/>
    </xf>
    <xf numFmtId="164" fontId="0" fillId="0" borderId="6" xfId="0" applyNumberFormat="1" applyFont="1" applyFill="1" applyBorder="1" applyAlignment="1">
      <alignment horizontal="right" vertical="center" indent="2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0" fillId="0" borderId="0" xfId="0" applyAlignment="1">
      <alignment horizontal="right" vertical="top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166" fontId="0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7" xfId="0" applyNumberFormat="1" applyFont="1" applyFill="1" applyBorder="1" applyAlignment="1">
      <alignment horizontal="right" vertical="center" indent="3"/>
    </xf>
    <xf numFmtId="167" fontId="0" fillId="0" borderId="0" xfId="0" applyNumberFormat="1" applyAlignment="1">
      <alignment horizontal="right" vertical="center" indent="1"/>
    </xf>
    <xf numFmtId="166" fontId="0" fillId="0" borderId="14" xfId="0" applyNumberFormat="1" applyBorder="1" applyAlignment="1">
      <alignment horizontal="right" vertical="center" indent="1"/>
    </xf>
    <xf numFmtId="166" fontId="0" fillId="0" borderId="6" xfId="0" applyNumberFormat="1" applyFont="1" applyFill="1" applyBorder="1" applyAlignment="1">
      <alignment horizontal="right" vertical="center" indent="2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8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Heading 1 2" xfId="6"/>
    <cellStyle name="Normaali" xfId="0" builtinId="0" customBuiltin="1"/>
    <cellStyle name="Normal 2" xfId="2"/>
    <cellStyle name="Normal 3" xfId="7"/>
    <cellStyle name="Normal_Graph Paper (combined)" xfId="3"/>
    <cellStyle name="Otsikko" xfId="1" builtinId="15" customBuiltin="1"/>
    <cellStyle name="Otsikko 1" xfId="8" builtinId="16" customBuiltin="1"/>
    <cellStyle name="Otsikko 2" xfId="9" builtinId="17" customBuiltin="1"/>
    <cellStyle name="Otsikko 3" xfId="10" builtinId="18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numFmt numFmtId="167" formatCode="#,##0.00\ &quot;€&quot;;[Red]#,##0.00\ &quot;€&quot;"/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>
        <left/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2"/>
      <tableStyleElement type="headerRow" dxfId="81"/>
      <tableStyleElement type="totalRow" dxfId="80"/>
    </tableStyle>
    <tableStyle name="Party Planner 2" pivot="0" count="3">
      <tableStyleElement type="wholeTable" dxfId="79"/>
      <tableStyleElement type="headerRow" dxfId="78"/>
      <tableStyleElement type="totalRow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ierasluettelo!A1"/><Relationship Id="rId2" Type="http://schemas.openxmlformats.org/officeDocument/2006/relationships/hyperlink" Target="#'Muut ostokset'!A1"/><Relationship Id="rId1" Type="http://schemas.openxmlformats.org/officeDocument/2006/relationships/hyperlink" Target="#'Ruoka ja juom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Juhlien yleiskatsau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Juhlien yleiskatsaus'!A1"/><Relationship Id="rId1" Type="http://schemas.openxmlformats.org/officeDocument/2006/relationships/hyperlink" Target="#'Muut ostoks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Ruoka ja juoma'!A1"/><Relationship Id="rId1" Type="http://schemas.openxmlformats.org/officeDocument/2006/relationships/hyperlink" Target="#'Juhlien yleiskatsau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Ruoka ja juoma" descr="&quot;&quot;" title="Ruoka ja juoma (siirtymispainike)">
          <a:hlinkClick xmlns:r="http://schemas.openxmlformats.org/officeDocument/2006/relationships" r:id="rId1" tooltip="Tarkastele ruoka- ja juomatietoja napsauttamalla tätä"/>
        </xdr:cNvPr>
        <xdr:cNvSpPr/>
      </xdr:nvSpPr>
      <xdr:spPr>
        <a:xfrm>
          <a:off x="7519987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RUOKA JA JUOMA</a:t>
          </a: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Muut ostokset" descr="&quot;&quot;" title="Muut ostokset (siirtymispainike)">
          <a:hlinkClick xmlns:r="http://schemas.openxmlformats.org/officeDocument/2006/relationships" r:id="rId2" tooltip="Tarkastele muiden ostosten tietoja napsauttamalla tätä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MUUT OSTOKSET</a:t>
          </a:r>
        </a:p>
      </xdr:txBody>
    </xdr:sp>
    <xdr:clientData fPrintsWithSheet="0"/>
  </xdr:twoCellAnchor>
  <xdr:twoCellAnchor>
    <xdr:from>
      <xdr:col>4</xdr:col>
      <xdr:colOff>180973</xdr:colOff>
      <xdr:row>2</xdr:row>
      <xdr:rowOff>200025</xdr:rowOff>
    </xdr:from>
    <xdr:to>
      <xdr:col>5</xdr:col>
      <xdr:colOff>670558</xdr:colOff>
      <xdr:row>2</xdr:row>
      <xdr:rowOff>474345</xdr:rowOff>
    </xdr:to>
    <xdr:sp macro="" textlink="">
      <xdr:nvSpPr>
        <xdr:cNvPr id="6" name="Vierasluettelo" descr="&quot;&quot;" title="Vierasluettelo (siirtymispainike)">
          <a:hlinkClick xmlns:r="http://schemas.openxmlformats.org/officeDocument/2006/relationships" r:id="rId3" tooltip="Tarkastele vieraiden luetteloa napsauttamalla tätä"/>
        </xdr:cNvPr>
        <xdr:cNvSpPr/>
      </xdr:nvSpPr>
      <xdr:spPr>
        <a:xfrm>
          <a:off x="5638798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bg1"/>
              </a:solidFill>
              <a:latin typeface="+mj-lt"/>
            </a:rPr>
            <a:t>VIERASLUETTELO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66676</xdr:rowOff>
    </xdr:from>
    <xdr:to>
      <xdr:col>7</xdr:col>
      <xdr:colOff>1381125</xdr:colOff>
      <xdr:row>15</xdr:row>
      <xdr:rowOff>47626</xdr:rowOff>
    </xdr:to>
    <xdr:sp macro="" textlink="">
      <xdr:nvSpPr>
        <xdr:cNvPr id="1224" name="Vihje" descr="Kirjoita yksittäiset nimikkeet Juoma ja ruoka- sekä Muut ostokset -taulukoihin, niin kokonaiskulut lasketaan automaattisesti." title="Tietojen tallentamisen vihje"/>
        <xdr:cNvSpPr txBox="1"/>
      </xdr:nvSpPr>
      <xdr:spPr>
        <a:xfrm>
          <a:off x="7743825" y="4038601"/>
          <a:ext cx="32670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Kirjoita yksittäiset nimikkeet Juoma ja ruoka- sekä Muut ostokset -taulukoihin, niin kokonaiskulut lasketaan automaattisesti.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Otsikon reuna" descr="Koristeellinen kuvio" title="Otsikon reuna"/>
        <xdr:cNvGrpSpPr/>
      </xdr:nvGrpSpPr>
      <xdr:grpSpPr>
        <a:xfrm>
          <a:off x="0" y="0"/>
          <a:ext cx="1236239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Ryhmä 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Ryhmä 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Vapaa piirto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Vapaa piirto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Vapaa piirto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Vapaa piirto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Vapaa piirto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Vapaa piirto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Vapaa piirto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Vapaa piirto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Vapaa piirto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Vapaa piirto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Vapaa piirto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Vapaa piirto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Vapaa piirto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Vapaa piirto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Vapaa piirto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Vapaa piirto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Vapaa piirto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Vapaa piirto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Vapaa piirto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Vapaa piirto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Vapaa piirto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Vapaa piirto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Vapaa piirto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Vapaa piirto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Vapaa piirto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Vapaa piirto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Vapaa piirto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Vapaa piirto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Vapaa piirto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Vapaa piirto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Vapaa piirto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Vapaa piirto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Vapaa piirto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Vapaa piirto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Vapaa piirto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Vapaa piirto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Vapaa piirto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Vapaa piirto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Vapaa piirto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Vapaa piirto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Vapaa piirto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Vapaa piirto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Vapaa piirto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Vapaa piirto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Vapaa piirto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Vapaa piirto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Vapaa piirto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Vapaa piirto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Vapaa piirto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Vapaa piirto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Vapaa piirto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Vapaa piirto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Vapaa piirto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Vapaa piirto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Vapaa piirto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Vapaa piirto 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Vapaa piirto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Vapaa piirto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Vapaa piirto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Vapaa piirto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Vapaa piirto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Vapaa piirto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Vapaa piirto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Vapaa piirto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Vapaa piirto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Vapaa piirto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Vapaa piirto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Vapaa piirto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Vapaa piirto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Vapaa piirto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Vapaa piirto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Vapaa piirto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Vapaa piirto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Vapaa piirto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Vapaa piirto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Vapaa piirto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Vapaa piirto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Vapaa piirto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Vapaa piirto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Vapaa piirto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Vapaa piirto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Vapaa piirto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Vapaa piirto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Vapaa piirto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Vapaa piirto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Vapaa piirto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Vapaa piirto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Vapaa piirto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Vapaa piirto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Vapaa piirto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Vapaa piirto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Vapaa piirto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Vapaa piirto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Vapaa piirto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Vapaa piirto 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Vapaa piirto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Vapaa piirto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Vapaa piirto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Vapaa piirto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Vapaa piirto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Vapaa piirto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Vapaa piirto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Vapaa piirto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Vapaa piirto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Vapaa piirto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Vapaa piirto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Vapaa piirto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Vapaa piirto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Vapaa piirto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Vapaa piirto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Vapaa piirto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Vapaa piirto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Vapaa piirto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Vapaa piirto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Vapaa piirto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Vapaa piirto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Vapaa piirto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Vapaa piirto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Vapaa piirto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Vapaa piirto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Vapaa piirto 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Vapaa piirto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Vapaa piirto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Vapaa piirto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Vapaa piirto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Vapaa piirto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Vapaa piirto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Vapaa piirto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Vapaa piirto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Vapaa piirto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Vapaa piirto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Vapaa piirto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Vapaa piirto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Vapaa piirto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Vapaa piirto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Vapaa piirto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Vapaa piirto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Vapaa piirto 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Vapaa piirto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Vapaa piirto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Vapaa piirto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Vapaa piirto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Vapaa piirto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Vapaa piirto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Vapaa piirto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Vapaa piirto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Vapaa piirto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Vapaa piirto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Vapaa piirto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Vapaa piirto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Vapaa piirto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Vapaa piirto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Vapaa piirto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Vapaa piirto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Vapaa piirto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Vapaa piirto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Vapaa piirto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Vapaa piirto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Vapaa piirto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Vapaa piirto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Vapaa piirto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Vapaa piirto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Vapaa piirto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Vapaa piirto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Vapaa piirto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Vapaa piirto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Vapaa piirto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Vapaa piirto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Vapaa piirto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Vapaa piirto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Vapaa piirto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Vapaa piirto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Vapaa piirto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Vapaa piirto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Vapaa piirto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Vapaa piirto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Vapaa piirto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Vapaa piirto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Vapaa piirto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Vapaa piirto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Vapaa piirto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Vapaa piirto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Vapaa piirto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Vapaa piirto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Vapaa piirto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Vapaa piirto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Vapaa piirto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Vapaa piirto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Vapaa piirto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Vapaa piirto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Vapaa piirto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Vapaa piirto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Vapaa piirto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Vapaa piirto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Vapaa piirto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Vapaa piirto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Vapaa piirto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Vapaa piirto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Vapaa piirto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Vapaa piirto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Vapaa piirto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Vapaa piirto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Vapaa piirto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Vapaa piirto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Vapaa piirto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Vapaa piirto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Vapaa piirto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Vapaa piirto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Vapaa piirto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Vapaa piirto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Vapaa piirto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Vapaa piirto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Vapaa piirto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Vapaa piirto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Vapaa piirto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Vapaa piirto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Vapaa piirto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Vapaa piirto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Vapaa piirto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Vapaa piirto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Vapaa piirto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Vapaa piirto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Vapaa piirto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Vapaa piirto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Vapaa piirto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Vapaa piirto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Vapaa piirto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Vapaa piirto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Vapaa piirto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Vapaa piirto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Vapaa piirto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Vapaa piirto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Vapaa piirto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Vapaa piirto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Vapaa piirto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Vapaa piirto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Vapaa piirto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Vapaa piirto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Vapaa piirto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Vapaa piirto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Vapaa piirto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Vapaa piirto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Vapaa piirto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Vapaa piirto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Vapaa piirto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Vapaa piirto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Vapaa piirto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Vapaa piirto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Vapaa piirto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Vapaa piirto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Vapaa piirto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Vapaa piirto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Vapaa piirto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Vapaa piirto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Vapaa piirto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Vapaa piirto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Vapaa piirto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Vapaa piirto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Vapaa piirto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Vapaa piirto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Vapaa piirto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Vapaa piirto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Vapaa piirto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Vapaa piirto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Vapaa piirto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Vapaa piirto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Vapaa piirto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Vapaa piirto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Vapaa piirto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Vapaa piirto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Vapaa piirto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Vapaa piirto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Vapaa piirto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Vapaa piirto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Vapaa piirto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Vapaa piirto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Vapaa piirto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Vapaa piirto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Vapaa piirto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Vapaa piirto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Vapaa piirto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Vapaa piirto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Vapaa piirto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Vapaa piirto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Vapaa piirto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Otsikon reuna" descr="Koristeellinen kuvio" title="Otsikon reuna"/>
        <xdr:cNvGrpSpPr/>
      </xdr:nvGrpSpPr>
      <xdr:grpSpPr>
        <a:xfrm>
          <a:off x="0" y="0"/>
          <a:ext cx="14599721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Ryhmä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Ryhmä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Ryhmä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Vapaa piirto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Vapaa piirto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Vapaa piirto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Vapaa piirto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Vapaa piirto 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Vapaa piirto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Vapaa piirto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Vapaa piirto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Vapaa piirto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Vapaa piirto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Vapaa piirto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Vapaa piirto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Vapaa piirto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Vapaa piirto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Vapaa piirto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Vapaa piirto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Vapaa piirto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Vapaa piirto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Vapaa piirto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Vapaa piirto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Vapaa piirto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Vapaa piirto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Vapaa piirto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Vapaa piirto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Vapaa piirto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Vapaa piirto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Vapaa piirto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Vapaa piirto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Vapaa piirto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Vapaa piirto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Vapaa piirto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Vapaa piirto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Vapaa piirto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Vapaa piirto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Vapaa piirto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Vapaa piirto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Vapaa piirto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Vapaa piirto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Vapaa piirto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Vapaa piirto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Vapaa piirto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Vapaa piirto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Vapaa piirto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Vapaa piirto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Vapaa piirto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Vapaa piirto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Vapaa piirto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Vapaa piirto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Vapaa piirto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Vapaa piirto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Vapaa piirto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Vapaa piirto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Vapaa piirto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Vapaa piirto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Vapaa piirto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Vapaa piirto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Vapaa piirto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Vapaa piirto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Vapaa piirto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Vapaa piirto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Vapaa piirto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Vapaa piirto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Vapaa piirto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Vapaa piirto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Vapaa piirto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Vapaa piirto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Vapaa piirto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Vapaa piirto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Vapaa piirto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Vapaa piirto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Vapaa piirto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Vapaa piirto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Vapaa piirto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Vapaa piirto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Vapaa piirto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Vapaa piirto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Vapaa piirto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Vapaa piirto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Vapaa piirto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Vapaa piirto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Vapaa piirto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Vapaa piirto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Vapaa piirto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Vapaa piirto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Vapaa piirto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Vapaa piirto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Vapaa piirto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Vapaa piirto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Vapaa piirto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Vapaa piirto 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Vapaa piirto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Vapaa piirto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Vapaa piirto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Vapaa piirto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Vapaa piirto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Vapaa piirto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Vapaa piirto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Vapaa piirto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Vapaa piirto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Vapaa piirto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Vapaa piirto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Vapaa piirto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Vapaa piirto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Vapaa piirto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Vapaa piirto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Vapaa piirto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Vapaa piirto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Vapaa piirto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Vapaa piirto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Vapaa piirto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Vapaa piirto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Vapaa piirto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Vapaa piirto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Vapaa piirto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Vapaa piirto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Vapaa piirto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Vapaa piirto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Vapaa piirto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Vapaa piirto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Vapaa piirto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Vapaa piirto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Vapaa piirto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Vapaa piirto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Vapaa piirto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Vapaa piirto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Vapaa piirto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Vapaa piirto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Vapaa piirto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Vapaa piirto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Vapaa piirto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Vapaa piirto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Vapaa piirto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Vapaa piirto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Vapaa piirto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Vapaa piirto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Vapaa piirto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Vapaa piirto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Vapaa piirto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Vapaa piirto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Vapaa piirto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Vapaa piirto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Vapaa piirto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Vapaa piirto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Vapaa piirto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Vapaa piirto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Vapaa piirto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Vapaa piirto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Vapaa piirto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Vapaa piirto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Vapaa piirto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Vapaa piirto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Vapaa piirto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Vapaa piirto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Vapaa piirto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Vapaa piirto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Vapaa piirto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Vapaa piirto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Vapaa piirto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Vapaa piirto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Vapaa piirto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Vapaa piirto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Vapaa piirto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Vapaa piirto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Vapaa piirto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Vapaa piirto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Vapaa piirto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Vapaa piirto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Vapaa piirto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Vapaa piirto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Vapaa piirto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Vapaa piirto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Vapaa piirto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Vapaa piirto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Vapaa piirto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Vapaa piirto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Vapaa piirto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Vapaa piirto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Vapaa piirto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Vapaa piirto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Vapaa piirto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Vapaa piirto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Vapaa piirto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Vapaa piirto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Vapaa piirto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Vapaa piirto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Vapaa piirto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Vapaa piirto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Vapaa piirto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Vapaa piirto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Vapaa piirto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Vapaa piirto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Vapaa piirto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Vapaa piirto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Vapaa piirto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Vapaa piirto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Vapaa piirto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Vapaa piirto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Vapaa piirto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Vapaa piirto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Vapaa piirto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Vapaa piirto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Vapaa piirto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Vapaa piirto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Vapaa piirto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Vapaa piirto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Vapaa piirto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Vapaa piirto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Vapaa piirto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Vapaa piirto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Vapaa piirto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Vapaa piirto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Vapaa piirto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Vapaa piirto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Vapaa piirto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Vapaa piirto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Vapaa piirto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Vapaa piirto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Vapaa piirto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Vapaa piirto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Vapaa piirto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Vapaa piirto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Vapaa piirto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Vapaa piirto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Vapaa piirto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Vapaa piirto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Vapaa piirto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Vapaa piirto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Vapaa piirto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Vapaa piirto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Vapaa piirto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Vapaa piirto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Vapaa piirt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Vapaa piirto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Vapaa piirto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Vapaa piirto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Vapaa piirto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Vapaa piirto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Vapaa piirto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Vapaa piirto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Vapaa piirto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Vapaa piirto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Vapaa piirto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Vapaa piirto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Vapaa piirto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Vapaa piirto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Vapaa piirto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Vapaa piirto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Vapaa piirto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Vapaa piirto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Vapaa piirto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Vapaa piirto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Vapaa piirto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Vapaa piirto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Vapaa piirto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Vapaa piirto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Vapaa piirto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Vapaa piirto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Vapaa piirto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Vapaa piirto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Vapaa piirto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Vapaa piirto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Vapaa piirto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Vapaa piirto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Vapaa piirto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Vapaa piirto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Vapaa piirto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Vapaa piirto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Vapaa piirto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Vapaa piirto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Vapaa piirto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Vapaa piirto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Vapaa piirto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Vapaa piirto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Vapaa piirto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Vapaa piirto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Vapaa piirto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Vapaa piirto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Vapaa piirto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Vapaa piirto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Vapaa piirto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Vapaa piirto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Vapaa piirto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Vapaa piirto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Vapaa piirto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Vapaa piirto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Vapaa piirto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Vapaa piirto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Vapaa piirto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Vapaa piirto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Vapaa piirto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Vapaa piirto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Vapaa piirto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Vapaa piirto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Vapaa piirto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Vapaa piirto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Vapaa piirto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Vapaa piirto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Vapaa piirto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Vapaa piirto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Vapaa piirto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Vapaa piirto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Vapaa piirto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Vapaa piirto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Vapaa piirto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Vapaa piirto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Vapaa piirto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Vapaa piirto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Vapaa piirto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Vapaa piirto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Vapaa piirto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Vapaa piirto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Vapaa piirto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Vapaa piirto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Vapaa piirto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Vapaa piirto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Vapaa piirto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Vapaa piirto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Vapaa piirto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Vapaa piirto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Vapaa piirto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Vapaa piirto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Vapaa piirto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Vapaa piirto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Vapaa piirto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Vapaa piirto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Vapaa piirto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Vapaa piirto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Vapaa piirto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Vapaa piirto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Vapaa piirto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Vapaa piirto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Vapaa piirto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Vapaa piirto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Vapaa piirto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Vapaa piirto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Vapaa piirto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Vapaa piirto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Vapaa piirto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Vapaa piirto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Vapaa piirto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Vapaa piirto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Vapaa piirto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Juhlien yleiskatsaus" descr="&quot;&quot;" title="Yleiskatsaus (siirtymispainike)">
          <a:hlinkClick xmlns:r="http://schemas.openxmlformats.org/officeDocument/2006/relationships" r:id="rId1" tooltip="Tarkastele juhlien yleiskatsausta napsauttamalla tätä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j-lt"/>
              <a:ea typeface="+mn-ea"/>
              <a:cs typeface="+mn-cs"/>
            </a:rPr>
            <a:t>JUHLIEN YLEISKATSAUS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Ryhmä 2257" descr="Flourish pattern" title="Title Border"/>
        <xdr:cNvGrpSpPr/>
      </xdr:nvGrpSpPr>
      <xdr:grpSpPr>
        <a:xfrm>
          <a:off x="0" y="0"/>
          <a:ext cx="13818671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Ryhmä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Ryhmä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Ryhmä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Vapaa piirto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Vapaa piirto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Vapaa piirto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Vapaa piirto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Vapaa piirto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Vapaa piirto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Vapaa piirto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Vapaa piirto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Vapaa piirto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Vapaa piirto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Vapaa piirto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Vapaa piirto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Vapaa piirto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Vapaa piirto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Vapaa piirto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Vapaa piirto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Vapaa piirto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Vapaa piirto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Vapaa piirto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Vapaa piirto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Vapaa piirto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Vapaa piirto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Vapaa piirto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Vapaa piirto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Vapaa piirto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Vapaa piirto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Vapaa piirto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Vapaa piirto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Vapaa piirto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Vapaa piirto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Vapaa piirto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Vapaa piirto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Vapaa piirto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Vapaa piirto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Vapaa piirto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Vapaa piirto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Vapaa piirto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Vapaa piirto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Vapaa piirto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Vapaa piirto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Vapaa piirto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Vapaa piirto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Vapaa piirto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Vapaa piirto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Vapaa piirto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Vapaa piirto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Vapaa piirto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Vapaa piirto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Vapaa piirto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Vapaa piirto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Vapaa piirto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Vapaa piirto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Vapaa piirto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Vapaa piirto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Vapaa piirto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Vapaa piirto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Vapaa piirto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Vapaa piirto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Vapaa piirto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Vapaa piirto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Vapaa piirto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Vapaa piirto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Vapaa piirto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Vapaa piirto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Vapaa piirto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Vapaa piirto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Vapaa piirto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Vapaa piirto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Vapaa piirto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Vapaa piirto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Vapaa piirto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Vapaa piirto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Vapaa piirto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Vapaa piirto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Vapaa piirto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Vapaa piirto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Vapaa piirto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Vapaa piirto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Vapaa piirto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Vapaa piirto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Vapaa piirto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Vapaa piirto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Vapaa piirto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Vapaa piirto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Vapaa piirto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Vapaa piirto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Vapaa piirto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Vapaa piirto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Vapaa piirto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Vapaa piirto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Vapaa piirto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Vapaa piirto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Vapaa piirto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Vapaa piirto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Vapaa piirto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Vapaa piirto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Vapaa piirto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Vapaa piirto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Vapaa piirto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Vapaa piirto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Vapaa piirto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Vapaa piirto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Vapaa piirto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Vapaa piirto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Vapaa piirto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Vapaa piirto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Vapaa piirto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Vapaa piirto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Vapaa piirto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Vapaa piirto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Vapaa piirto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Vapaa piirto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Vapaa piirto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Vapaa piirto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Vapaa piirto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Vapaa piirto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Vapaa piirto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Vapaa piirto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Vapaa piirto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Vapaa piirto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Vapaa piirto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Vapaa piirto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Vapaa piirto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Vapaa piirto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Vapaa piirto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Vapaa piirto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Vapaa piirto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Vapaa piirto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Vapaa piirto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Vapaa piirto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Vapaa piirto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Vapaa piirto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Vapaa piirto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Vapaa piirto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Vapaa piirto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Vapaa piirto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Vapaa piirto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Vapaa piirto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Vapaa piirto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Vapaa piirto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Vapaa piirto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Vapaa piirto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Vapaa piirto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Vapaa piirto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Vapaa piirto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Vapaa piirto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Vapaa piirto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Vapaa piirto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Vapaa piirto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Vapaa piirto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Vapaa piirto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Vapaa piirto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Vapaa piirto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Vapaa piirto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Vapaa piirto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Vapaa piirto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Vapaa piirto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Vapaa piirto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Vapaa piirto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Vapaa piirto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Vapaa piirto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Vapaa piirto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Vapaa piirto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Vapaa piirto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Vapaa piirto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Vapaa piirto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Vapaa piirto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Vapaa piirto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Vapaa piirto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Vapaa piirto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Vapaa piirto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Vapaa piirto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Vapaa piirto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Vapaa piirto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Vapaa piirto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Vapaa piirto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Vapaa piirto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Vapaa piirto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Vapaa piirto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Vapaa piirto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Vapaa piirto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Vapaa piirto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Vapaa piirto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Vapaa piirto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Vapaa piirto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Vapaa piirto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Vapaa piirto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Vapaa piirto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Vapaa piirto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Vapaa piirto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Vapaa piirto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Vapaa piirto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Vapaa piirto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Vapaa piirto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Vapaa piirto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Vapaa piirto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Vapaa piirto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Vapaa piirto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Vapaa piirto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Vapaa piirto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Vapaa piirto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Vapaa piirto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Vapaa piirto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Vapaa piirto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Vapaa piirto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Vapaa piirto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Vapaa piirto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Vapaa piirto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Vapaa piirto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Vapaa piirto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Vapaa piirto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Vapaa piirto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Vapaa piirto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Vapaa piirto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Vapaa piirto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Vapaa piirto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Vapaa piirto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Vapaa piirto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Vapaa piirto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Vapaa piirto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Vapaa piirto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Vapaa piirto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Vapaa piirto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Vapaa piirto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Vapaa piirto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Vapaa piirto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Vapaa piirto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Vapaa piirto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Vapaa piirto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Vapaa piirto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Vapaa piirto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Vapaa piirto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Vapaa piirto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Vapaa piirto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Vapaa piirto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Vapaa piirto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Vapaa piirto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Vapaa piirto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Vapaa piirto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Vapaa piirto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Vapaa piirto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Vapaa piirto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Vapaa piirto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Vapaa piirto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Vapaa piirto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Vapaa piirto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Vapaa piirto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Vapaa piirto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Vapaa piirto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Vapaa piirto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Vapaa piirto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Vapaa piirto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Vapaa piirto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Vapaa piirto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Vapaa piirto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Vapaa piirto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Vapaa piirto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Vapaa piirto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Vapaa piirto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Vapaa piirto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Vapaa piirto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Vapaa piirto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Vapaa piirto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Vapaa piirto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Vapaa piirto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Vapaa piirto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Vapaa piirto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Vapaa piirto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Vapaa piirto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Vapaa piirto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Vapaa piirto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Vapaa piirto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Vapaa piirto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Vapaa piirto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Vapaa piirto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Vapaa piirto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Vapaa piirto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Vapaa piirto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Vapaa piirto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Vapaa piirto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Vapaa piirto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Vapaa piirto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Vapaa piirto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Vapaa piirto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Vapaa piirto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Vapaa piirto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Vapaa piirto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Vapaa piirto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Vapaa piirto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Vapaa piirto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Vapaa piirto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Vapaa piirto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Vapaa piirto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Vapaa piirto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Vapaa piirto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Vapaa piirto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Vapaa piirto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Vapaa piirto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Vapaa piirto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Vapaa piirto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Vapaa piirto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Vapaa piirto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Vapaa piirto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Vapaa piirto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Vapaa piirto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Vapaa piirto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Vapaa piirto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Vapaa piirto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Vapaa piirto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Vapaa piirto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Vapaa piirto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Vapaa piirto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Vapaa piirto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Vapaa piirto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Vapaa piirto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Vapaa piirto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Vapaa piirto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Vapaa piirto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Vapaa piirto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Vapaa piirto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Vapaa piirto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Vapaa piirto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Vapaa piirto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Vapaa piirto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Vapaa piirto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Vapaa piirto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Vapaa piirto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Vapaa piirto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Vapaa piirto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Vapaa piirto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Vapaa piirto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Vapaa piirto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Vapaa piirto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Vapaa piirto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Vapaa piirto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Vapaa piirto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Vapaa piirto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Vapaa piirto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Vapaa piirto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Vapaa piirto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Vapaa piirto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Vapaa piirto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781050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Muut ostokset" descr="&quot;&quot;" title="Muut ostokset (siirtymispainike)">
          <a:hlinkClick xmlns:r="http://schemas.openxmlformats.org/officeDocument/2006/relationships" r:id="rId1" tooltip="Tarkastele muiden ostosten tietoja napsauttamalla tätä"/>
        </xdr:cNvPr>
        <xdr:cNvSpPr/>
      </xdr:nvSpPr>
      <xdr:spPr>
        <a:xfrm>
          <a:off x="9829800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MUUT OSTOKSET</a:t>
          </a:r>
        </a:p>
      </xdr:txBody>
    </xdr:sp>
    <xdr:clientData fPrintsWithSheet="0"/>
  </xdr:twoCellAnchor>
  <xdr:twoCellAnchor>
    <xdr:from>
      <xdr:col>9</xdr:col>
      <xdr:colOff>2581275</xdr:colOff>
      <xdr:row>2</xdr:row>
      <xdr:rowOff>200025</xdr:rowOff>
    </xdr:from>
    <xdr:to>
      <xdr:col>10</xdr:col>
      <xdr:colOff>60960</xdr:colOff>
      <xdr:row>2</xdr:row>
      <xdr:rowOff>474345</xdr:rowOff>
    </xdr:to>
    <xdr:sp macro="" textlink="">
      <xdr:nvSpPr>
        <xdr:cNvPr id="2606" name="Muut ostokset" descr="&quot;&quot;" title="Yleiskatsaus (siirtymispainike)">
          <a:hlinkClick xmlns:r="http://schemas.openxmlformats.org/officeDocument/2006/relationships" r:id="rId2" tooltip="Tarkastele juhlien yleiskatsausta napsauttamalla tätä"/>
        </xdr:cNvPr>
        <xdr:cNvSpPr/>
      </xdr:nvSpPr>
      <xdr:spPr>
        <a:xfrm>
          <a:off x="11772900" y="695325"/>
          <a:ext cx="18135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j-lt"/>
              <a:ea typeface="+mn-ea"/>
              <a:cs typeface="+mn-cs"/>
            </a:rPr>
            <a:t>JUHLIEN YLEISKATSAUS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866775</xdr:colOff>
      <xdr:row>0</xdr:row>
      <xdr:rowOff>409575</xdr:rowOff>
    </xdr:to>
    <xdr:sp macro="" textlink="">
      <xdr:nvSpPr>
        <xdr:cNvPr id="3073" name="Automaattisen muodon 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866775</xdr:colOff>
      <xdr:row>0</xdr:row>
      <xdr:rowOff>409575</xdr:rowOff>
    </xdr:to>
    <xdr:sp macro="" textlink="">
      <xdr:nvSpPr>
        <xdr:cNvPr id="3333" name="Automaattisen muodon  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866775</xdr:colOff>
      <xdr:row>0</xdr:row>
      <xdr:rowOff>409575</xdr:rowOff>
    </xdr:to>
    <xdr:sp macro="" textlink="">
      <xdr:nvSpPr>
        <xdr:cNvPr id="3853" name="Automaattisen muodon 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Otsikon reuna" descr="Koristeellinen kuvio" title="Otsikon reuna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Ryhmä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Vapaa piirto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Vapaa piirto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Vapaa piirto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Vapaa piirto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Vapaa piirto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Vapaa piirto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Vapaa piirto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Vapaa piirto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Vapaa piirto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Vapaa piirto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Vapaa piirto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Vapaa piirto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Vapaa piirto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Vapaa piirto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Vapaa piirto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Vapaa piirto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Vapaa piirto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Vapaa piirto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Vapaa piirto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Vapaa piirto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Vapaa piirto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Vapaa piirto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Vapaa piirto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Vapaa piirto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Vapaa piirto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Vapaa piirto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Vapaa piirto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Vapaa piirto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Vapaa piirto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Vapaa piirto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Vapaa piirto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Vapaa piirto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Vapaa piirto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Vapaa piirto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Vapaa piirto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Vapaa piirto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Vapaa piirto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Vapaa piirto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Vapaa piirto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Vapaa piirto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Vapaa piirto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Vapaa piirto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Vapaa piirto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Vapaa piirto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Vapaa piirto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Vapaa piirto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Vapaa piirto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Vapaa piirto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Vapaa piirto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Vapaa piirto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Vapaa piirto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Vapaa piirto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Vapaa piirto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Vapaa piirto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Vapaa piirto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Vapaa piirto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Vapaa piirto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Vapaa piirto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Vapaa piirto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Vapaa piirto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Vapaa piirto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Vapaa piirto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Vapaa piirto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Vapaa piirto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Vapaa piirto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Vapaa piirto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Vapaa piirto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Vapaa piirto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Vapaa piirto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Vapaa piirto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Vapaa piirto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Vapaa piirto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Vapaa piirto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Vapaa piirto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Vapaa piirto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Vapaa piirto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Vapaa piirto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Vapaa piirto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Vapaa piirto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Vapaa piirto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Vapaa piirto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Vapaa piirto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Vapaa piirto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Vapaa piirto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Vapaa piirto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Vapaa piirto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Vapaa piirto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Vapaa piirto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Vapaa piirto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Vapaa piirto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Vapaa piirto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Vapaa piirto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Vapaa piirto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Vapaa piirto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Vapaa piirto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Vapaa piirto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Vapaa piirto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Vapaa piirto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Vapaa piirto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Vapaa piirto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Vapaa piirto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Vapaa piirto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Vapaa piirto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Vapaa piirto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Vapaa piirto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Vapaa piirto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Vapaa piirto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Vapaa piirto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Vapaa piirto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Vapaa piirto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Vapaa piirto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Vapaa piirto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Vapaa piirto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Vapaa piirto 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Vapaa piirto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Vapaa piirto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Vapaa piirto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Vapaa piirto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Vapaa piirto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Vapaa piirto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Vapaa piirto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Vapaa piirto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Vapaa piirto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Vapaa piirto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Vapaa piirto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Vapaa piirto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Vapaa piirto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Vapaa piirto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Vapaa piirto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Vapaa piirto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Vapaa piirto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Vapaa piirto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Vapaa piirto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Vapaa piirto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Vapaa piirto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Vapaa piirto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Vapaa piirto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Vapaa piirto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Vapaa piirto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Vapaa piirto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Vapaa piirto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Vapaa piirto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Vapaa piirto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Vapaa piirto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Vapaa piirto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Vapaa piirto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Vapaa piirto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Vapaa piirto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Vapaa piirto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Vapaa piirto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Vapaa piirto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Vapaa piirto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Vapaa piirto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Vapaa piirto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Vapaa piirto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Vapaa piirto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Vapaa piirto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Vapaa piirto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Vapaa piirto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Vapaa piirto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Vapaa piirto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Vapaa piirto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Vapaa piirto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Vapaa piirto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Vapaa piirto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Vapaa piirto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Vapaa piirto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Vapaa piirto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Vapaa piirto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Vapaa piirto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Vapaa piirto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Vapaa piirto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Vapaa piirto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Vapaa piirto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Vapaa piirto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Vapaa piirto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Vapaa piirto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Vapaa piirto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Vapaa piirto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Vapaa piirto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Vapaa piirto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Vapaa piirto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Vapaa piirto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Vapaa piirto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Vapaa piirto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Vapaa piirto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Vapaa piirto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Vapaa piirto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Vapaa piirto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Vapaa piirto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Vapaa piirto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Vapaa piirto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Vapaa piirto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Vapaa piirto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Vapaa piirto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Vapaa piirto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Vapaa piirto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Vapaa piirto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Vapaa piirto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Vapaa piirto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Vapaa piirto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Vapaa piirto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Vapaa piirto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Vapaa piirto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Vapaa piirto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Vapaa piirto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Vapaa piirto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Vapaa piirto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Vapaa piirto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Vapaa piirto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Vapaa piirto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Vapaa piirto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Vapaa piirto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Vapaa piirto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Vapaa piirto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Vapaa piirto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Vapaa piirto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Vapaa piirto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Vapaa piirto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Vapaa piirto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Vapaa piirto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Vapaa piirto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Vapaa piirto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Vapaa piirto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Vapaa piirto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Vapaa piirto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Vapaa piirto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Vapaa piirto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Vapaa piirto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Vapaa piirto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Vapaa piirto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Vapaa piirto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Vapaa piirto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Vapaa piirto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Vapaa piirto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Vapaa piirto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Vapaa piirto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Vapaa piirto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Vapaa piirto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Vapaa piirto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Vapaa piirto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Vapaa piirto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Vapaa piirto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Vapaa piirto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Vapaa piirto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Vapaa piirto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Vapaa piirto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Vapaa piirto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Vapaa piirto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Vapaa piirto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Vapaa piirto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Vapaa piirto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Vapaa piirto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Vapaa piirto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Vapaa piirto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Juhlien Yleiskatsausta" descr="&quot;&quot;" title="Yleiskatsaus (siirtymispainike)">
          <a:hlinkClick xmlns:r="http://schemas.openxmlformats.org/officeDocument/2006/relationships" r:id="rId1" tooltip="Tarkastele juhlien yleiskatsausta napsauttamalla tätä"/>
        </xdr:cNvPr>
        <xdr:cNvSpPr/>
      </xdr:nvSpPr>
      <xdr:spPr>
        <a:xfrm>
          <a:off x="78200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j-lt"/>
              <a:ea typeface="+mn-ea"/>
              <a:cs typeface="+mn-cs"/>
            </a:rPr>
            <a:t>JUHLIEN YLEISKATSAUS</a:t>
          </a: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Ruoka ja juoma" descr="&quot;&quot;" title="Ruoka ja juoma (siirtymispainike)">
          <a:hlinkClick xmlns:r="http://schemas.openxmlformats.org/officeDocument/2006/relationships" r:id="rId2" tooltip="Tarkastele ruoka- ja juomatietoja napsauttamalla tätä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RUOKA JA JUOMA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Vihje" descr="Tulosta tämä taulukko ja suunnittele istumajärjestys sen avulla!" title="Vihje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Tulosta tämä taulukko ja suunnittele istumajärjestys sen avulla!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BudgetOverview" displayName="BudgetOverview" ref="D16:H21" totalsRowCount="1" headerRowDxfId="75">
  <tableColumns count="5">
    <tableColumn id="1" name="NIMIKE" totalsRowLabel="Yhteensä" dataDxfId="74" totalsRowDxfId="73"/>
    <tableColumn id="5" name="LUKUMÄÄRÄ" totalsRowFunction="sum" dataDxfId="72" totalsRowDxfId="71"/>
    <tableColumn id="2" name="BUDJETTI" totalsRowFunction="sum" dataDxfId="70" totalsRowDxfId="69"/>
    <tableColumn id="3" name="KOKONAISKULUT" totalsRowFunction="sum" dataDxfId="68" totalsRowDxfId="67"/>
    <tableColumn id="4" name="ERO" totalsRowFunction="custom" dataDxfId="66" totalsRowDxfId="65">
      <calculatedColumnFormula>BudgetOverview[[#This Row],[BUDJETTI]]-BudgetOverview[[#This Row],[KOKONAISKULUT]]</calculatedColumnFormula>
      <totalsRowFormula>BudgetOverview[[#Totals],[BUDJETTI]]-BudgetOverview[[#Totals],[KOKONAISKULUT]]</totalsRow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Budjettiyhteenveto" altTextSummary="Budjettinimikkeiden määrä, budjettisumma, kokonaiskulut ja budjettierot"/>
    </ext>
  </extLst>
</table>
</file>

<file path=xl/tables/table2.xml><?xml version="1.0" encoding="utf-8"?>
<table xmlns="http://schemas.openxmlformats.org/spreadsheetml/2006/main" id="11" name="AttendeeSummary" displayName="AttendeeSummary" ref="D8:H11" totalsRowCount="1" headerRowDxfId="64">
  <tableColumns count="5">
    <tableColumn id="1" name="Vahvistetut vieraat" totalsRowLabel="Yhteensä" dataDxfId="63" totalsRowDxfId="4"/>
    <tableColumn id="2" name="Vahvistettuja yhteensä" totalsRowFunction="sum" dataDxfId="62" totalsRowDxfId="3"/>
    <tableColumn id="4" name="Ruoka" totalsRowFunction="custom" totalsRowDxfId="2">
      <totalsRowFormula>"Keskiarvo.     "&amp;TEXT(SUBTOTAL(101,AttendeeSummary[Ruoka]),"# ##0,00 €")</totalsRowFormula>
    </tableColumn>
    <tableColumn id="3" name="Muut" totalsRowFunction="custom" totalsRowDxfId="1">
      <calculatedColumnFormula>EssentialCostPerGuest</calculatedColumnFormula>
      <totalsRowFormula>"Keskiarvo     "&amp;TEXT(SUBTOTAL(101,AttendeeSummary[Muut]),"# ##0,00 €")</totalsRowFormula>
    </tableColumn>
    <tableColumn id="5" name="Yhteensä" totalsRowFunction="sum" dataDxfId="61" totalsRowDxfId="0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Yhteenveto vieraista" altTextSummary="Luettelo, joka sisältää vastauspyynnöt, kustannukset vierasta kohden ja budjettisumman"/>
    </ext>
  </extLst>
</table>
</file>

<file path=xl/tables/table3.xml><?xml version="1.0" encoding="utf-8"?>
<table xmlns="http://schemas.openxmlformats.org/spreadsheetml/2006/main" id="1" name="GuestTable" displayName="GuestTable" ref="B7:L22" totalsRowShown="0">
  <autoFilter ref="B7:L22"/>
  <tableColumns count="11">
    <tableColumn id="1" name="NIMI" dataDxfId="60"/>
    <tableColumn id="2" name="OSOITE" dataDxfId="59"/>
    <tableColumn id="3" name="POSTITOIMIPAIKKA" dataDxfId="58"/>
    <tableColumn id="4" name="KAUPUNKI" dataDxfId="57"/>
    <tableColumn id="5" name="POSTINUMERO" dataDxfId="56"/>
    <tableColumn id="6" name="PUHELIN" dataDxfId="55"/>
    <tableColumn id="11" name="SÄHKÖPOSTI" dataDxfId="54"/>
    <tableColumn id="7" name="OSALLISTUU?" dataDxfId="53"/>
    <tableColumn id="8" name="LAPSET" dataDxfId="52"/>
    <tableColumn id="9" name="AIKUISET" dataDxfId="51"/>
    <tableColumn id="10" name="YHTEENSÄ" dataDxfId="50">
      <calculatedColumnFormula>SUM(GuestTable[[#This Row],[LAPSET]:[AIKUISET]])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Vieraat" altTextSummary="Luettelo vieraiden nimistä ja tiedoista, joita ovat esimerkiksi osoite, sähköpostiosoite, osallistuminen (kyllä/ei), osallistuvien lasten ja aikuisten määrä ja laskettu osallistujien määrä yhteensä."/>
    </ext>
  </extLst>
</table>
</file>

<file path=xl/tables/table4.xml><?xml version="1.0" encoding="utf-8"?>
<table xmlns="http://schemas.openxmlformats.org/spreadsheetml/2006/main" id="2" name="FoodTable" displayName="FoodTable" ref="B6:J25" totalsRowCount="1">
  <tableColumns count="9">
    <tableColumn id="1" name="RUOKA- TAI JUOMANIMIKE" totalsRowLabel="Yhteensä" dataDxfId="49" totalsRowDxfId="48"/>
    <tableColumn id="6" name="KOKONAISKULUT" totalsRowFunction="sum" dataDxfId="47" totalsRowDxfId="46"/>
    <tableColumn id="2" name="LASTEN ANNOKSET" totalsRowFunction="sum" dataDxfId="45" totalsRowDxfId="44"/>
    <tableColumn id="3" name="AIKUISTEN ANNOKSET" totalsRowFunction="sum" dataDxfId="43" totalsRowDxfId="42"/>
    <tableColumn id="4" name="ANNOKSET YHTEENSÄ" totalsRowFunction="sum" dataDxfId="41" totalsRowDxfId="40">
      <calculatedColumnFormula>(FoodTable[[#This Row],[LASTEN ANNOKSET]]*ChildrenTotal)+(FoodTable[[#This Row],[AIKUISTEN ANNOKSET]]*AdultTotal)</calculatedColumnFormula>
    </tableColumn>
    <tableColumn id="7" name="KUSTANNUS ANNOSTA KOHDEN" totalsRowFunction="sum" dataDxfId="39" totalsRowDxfId="38">
      <calculatedColumnFormula>IFERROR(FoodTable[[#This Row],[KOKONAISKULUT]]/FoodTable[[#This Row],[ANNOKSET YHTEENSÄ]],"")</calculatedColumnFormula>
    </tableColumn>
    <tableColumn id="10" name="KUSTANNUS LASTA KOHDEN" totalsRowFunction="sum" dataDxfId="37" totalsRowDxfId="36">
      <calculatedColumnFormula>IFERROR(FoodTable[[#This Row],[KUSTANNUS ANNOSTA KOHDEN]]*FoodTable[[#This Row],[LASTEN ANNOKSET]],"")</calculatedColumnFormula>
    </tableColumn>
    <tableColumn id="9" name="KUSTANNUS AIKUISTA KOHDEN" totalsRowFunction="sum" dataDxfId="35" totalsRowDxfId="34">
      <calculatedColumnFormula>IFERROR(FoodTable[[#This Row],[KUSTANNUS ANNOSTA KOHDEN]]*FoodTable[[#This Row],[AIKUISTEN ANNOKSET]],"")</calculatedColumnFormula>
    </tableColumn>
    <tableColumn id="5" name="HUOMAUTUKSET" dataDxfId="33" totalsRowDxfId="32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Ruoka ja juoma" altTextSummary="Luettelo ruoka- ja juomanimikkeistä mukaan lukien kokonaiskulut, lasten ja aikuisten annoskoot sekä lasketut annokset yhteensä, kustannukset annosta kohden, kustannukset lasta kohden, kustannukset aikuista kohden mukaan lukien tila muistiinpanoille."/>
    </ext>
  </extLst>
</table>
</file>

<file path=xl/tables/table5.xml><?xml version="1.0" encoding="utf-8"?>
<table xmlns="http://schemas.openxmlformats.org/spreadsheetml/2006/main" id="6" name="Table2Budget" displayName="Table2Budget" ref="B17:E22" totalsRowCount="1" headerRowDxfId="31">
  <autoFilter ref="B17:E21"/>
  <tableColumns count="4">
    <tableColumn id="1" name="Koristelut" totalsRowLabel="Yhteensä" dataDxfId="30" totalsRowDxfId="29"/>
    <tableColumn id="3" name="Kustannus" totalsRowFunction="sum" dataDxfId="28" totalsRowDxfId="27"/>
    <tableColumn id="5" name="Ostettu" dataDxfId="26" totalsRowDxfId="25"/>
    <tableColumn id="6" name="Huomautukset" dataDxfId="24" totalsRowDxfId="23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le1Budget" displayName="Table1Budget" ref="B6:E14" totalsRowCount="1" headerRowDxfId="22">
  <autoFilter ref="B6:E13"/>
  <tableColumns count="4">
    <tableColumn id="1" name="Laitteet ja tarvikkeet" totalsRowLabel="Yhteensä" dataDxfId="21" totalsRowDxfId="20"/>
    <tableColumn id="3" name="Kustannus" totalsRowFunction="sum" dataDxfId="19" totalsRowDxfId="18"/>
    <tableColumn id="5" name="Ostettu" dataDxfId="17" totalsRowDxfId="16"/>
    <tableColumn id="6" name="Huomautukset" dataDxfId="15" totalsRowDxfId="14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Muut ostokset" altTextSummary="Luettelo nimikkeistä, joita ovat esimerkiksi laitteet ja tarvikkeet, kustannukset, ostetut (kyllä/ei) ja muistiinpanot."/>
    </ext>
  </extLst>
</table>
</file>

<file path=xl/tables/table7.xml><?xml version="1.0" encoding="utf-8"?>
<table xmlns="http://schemas.openxmlformats.org/spreadsheetml/2006/main" id="8" name="Table3Budget" displayName="Table3Budget" ref="B25:E30" totalsRowCount="1" headerRowDxfId="13">
  <autoFilter ref="B25:E29"/>
  <tableColumns count="4">
    <tableColumn id="1" name="Muut" totalsRowLabel="Yhteensä" dataDxfId="12" totalsRowDxfId="11"/>
    <tableColumn id="2" name="Kustannus" totalsRowFunction="sum" dataDxfId="10" totalsRowDxfId="9"/>
    <tableColumn id="3" name="Ostettu" dataDxfId="8" totalsRowDxfId="7"/>
    <tableColumn id="4" name="Huomautukset" dataDxfId="6" totalsRowDxfId="5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3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1.125" customWidth="1"/>
    <col min="5" max="5" width="20.75" customWidth="1"/>
    <col min="6" max="6" width="25" bestFit="1" customWidth="1"/>
    <col min="7" max="7" width="24" bestFit="1" customWidth="1"/>
    <col min="8" max="8" width="19.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9" ht="53.25" customHeight="1" x14ac:dyDescent="0.25">
      <c r="A3" s="53"/>
      <c r="B3" s="55" t="s">
        <v>193</v>
      </c>
      <c r="C3" s="53"/>
      <c r="D3" s="54"/>
      <c r="E3" s="53"/>
      <c r="F3" s="53"/>
      <c r="G3" s="53"/>
      <c r="H3" s="53"/>
      <c r="I3" s="53"/>
    </row>
    <row r="4" spans="1:9" ht="14.25" customHeight="1" x14ac:dyDescent="0.25">
      <c r="A4" s="57"/>
      <c r="B4" s="58"/>
      <c r="C4" s="57"/>
      <c r="D4" s="59"/>
      <c r="E4" s="57"/>
      <c r="F4" s="57"/>
      <c r="G4" s="57"/>
      <c r="H4" s="57"/>
      <c r="I4" s="57"/>
    </row>
    <row r="5" spans="1:9" ht="32.25" customHeight="1" x14ac:dyDescent="0.25"/>
    <row r="6" spans="1:9" s="13" customFormat="1" ht="21.75" customHeight="1" x14ac:dyDescent="0.25">
      <c r="B6" s="12" t="s">
        <v>194</v>
      </c>
      <c r="D6" s="12" t="s">
        <v>201</v>
      </c>
      <c r="H6" s="70" t="str">
        <f>"AVOIMET VASTAUSPYYNNÖT:  "&amp;OutstandingRSVPs</f>
        <v>AVOIMET VASTAUSPYYNNÖT:  2</v>
      </c>
    </row>
    <row r="7" spans="1:9" ht="21.75" customHeight="1" x14ac:dyDescent="0.35">
      <c r="B7" s="60" t="s">
        <v>195</v>
      </c>
      <c r="D7" s="80" t="s">
        <v>202</v>
      </c>
      <c r="E7" s="81"/>
      <c r="F7" s="82" t="s">
        <v>207</v>
      </c>
      <c r="G7" s="81"/>
      <c r="H7" s="61" t="s">
        <v>210</v>
      </c>
    </row>
    <row r="8" spans="1:9" s="13" customFormat="1" ht="21.75" customHeight="1" x14ac:dyDescent="0.2">
      <c r="B8" s="14"/>
      <c r="D8" s="22" t="s">
        <v>203</v>
      </c>
      <c r="E8" s="21" t="s">
        <v>204</v>
      </c>
      <c r="F8" s="64" t="s">
        <v>209</v>
      </c>
      <c r="G8" s="65" t="s">
        <v>208</v>
      </c>
      <c r="H8" s="27" t="s">
        <v>15</v>
      </c>
    </row>
    <row r="9" spans="1:9" ht="21.75" customHeight="1" x14ac:dyDescent="0.25">
      <c r="A9" s="1"/>
      <c r="B9" s="12" t="s">
        <v>196</v>
      </c>
      <c r="D9" s="26" t="s">
        <v>205</v>
      </c>
      <c r="E9" s="49">
        <f>SUMIF(GuestTable[OSALLISTUU?],"=Kyllä",GuestTable[AIKUISET])</f>
        <v>26</v>
      </c>
      <c r="F9" s="76">
        <f>FoodTable[[#Totals],[KUSTANNUS AIKUISTA KOHDEN]]</f>
        <v>12.690089084110037</v>
      </c>
      <c r="G9" s="79">
        <f>EssentialCostPerGuest</f>
        <v>18.695652173913043</v>
      </c>
      <c r="H9" s="73">
        <f>(AttendeeSummary[[#This Row],[Ruoka]]+AttendeeSummary[[#This Row],[Muut]])*AdultTotal</f>
        <v>816.02927270860016</v>
      </c>
    </row>
    <row r="10" spans="1:9" s="15" customFormat="1" ht="21.75" customHeight="1" x14ac:dyDescent="0.35">
      <c r="B10" s="83">
        <v>40708</v>
      </c>
      <c r="C10" s="83"/>
      <c r="D10" s="26" t="s">
        <v>206</v>
      </c>
      <c r="E10" s="49">
        <f>SUMIF(GuestTable[OSALLISTUU?],"=Kyllä",GuestTable[LAPSET])</f>
        <v>20</v>
      </c>
      <c r="F10" s="76">
        <f>FoodTable[[#Totals],[KUSTANNUS LASTA KOHDEN]]</f>
        <v>7.2528841906569532</v>
      </c>
      <c r="G10" s="79">
        <f>EssentialCostPerGuest</f>
        <v>18.695652173913043</v>
      </c>
      <c r="H10" s="73">
        <f>(AttendeeSummary[[#This Row],[Ruoka]]+AttendeeSummary[[#This Row],[Muut]])*ChildrenTotal</f>
        <v>518.97072729139995</v>
      </c>
    </row>
    <row r="11" spans="1:9" ht="21.75" customHeight="1" x14ac:dyDescent="0.25">
      <c r="D11" s="26" t="s">
        <v>15</v>
      </c>
      <c r="E11" s="49">
        <f>SUBTOTAL(109,AttendeeSummary[Vahvistettuja yhteensä])</f>
        <v>46</v>
      </c>
      <c r="F11" s="62" t="str">
        <f>"Keskiarvo.     "&amp;TEXT(SUBTOTAL(101,AttendeeSummary[Ruoka]),"# ##0,00 €")</f>
        <v>Keskiarvo.     9,97 €</v>
      </c>
      <c r="G11" s="63" t="str">
        <f>"Keskiarvo     "&amp;TEXT(SUBTOTAL(101,AttendeeSummary[Muut]),"# ##0,00 €")</f>
        <v>Keskiarvo     18,70 €</v>
      </c>
      <c r="H11" s="73">
        <f>SUBTOTAL(109,AttendeeSummary[Yhteensä])</f>
        <v>1335</v>
      </c>
    </row>
    <row r="12" spans="1:9" ht="21.75" customHeight="1" x14ac:dyDescent="0.25">
      <c r="B12" s="12" t="s">
        <v>197</v>
      </c>
    </row>
    <row r="13" spans="1:9" s="13" customFormat="1" ht="21.75" customHeight="1" x14ac:dyDescent="0.35">
      <c r="A13" s="15"/>
      <c r="B13" s="60" t="s">
        <v>198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199</v>
      </c>
      <c r="D15" s="12" t="s">
        <v>211</v>
      </c>
    </row>
    <row r="16" spans="1:9" ht="21.75" customHeight="1" x14ac:dyDescent="0.35">
      <c r="B16" s="60" t="s">
        <v>200</v>
      </c>
      <c r="D16" s="25" t="s">
        <v>212</v>
      </c>
      <c r="E16" s="50" t="s">
        <v>213</v>
      </c>
      <c r="F16" s="51" t="s">
        <v>210</v>
      </c>
      <c r="G16" s="51" t="s">
        <v>34</v>
      </c>
      <c r="H16" s="24" t="s">
        <v>214</v>
      </c>
    </row>
    <row r="17" spans="4:8" ht="21.75" customHeight="1" x14ac:dyDescent="0.25">
      <c r="D17" s="25" t="s">
        <v>31</v>
      </c>
      <c r="E17" s="52">
        <f>COUNTA(FoodTable[RUOKA- TAI JUOMANIMIKE])</f>
        <v>18</v>
      </c>
      <c r="F17" s="78">
        <v>500</v>
      </c>
      <c r="G17" s="78">
        <f>FoodTable[[#Totals],[KOKONAISKULUT]]</f>
        <v>475</v>
      </c>
      <c r="H17" s="77">
        <f>BudgetOverview[[#This Row],[BUDJETTI]]-BudgetOverview[[#This Row],[KOKONAISKULUT]]</f>
        <v>25</v>
      </c>
    </row>
    <row r="18" spans="4:8" ht="21.75" customHeight="1" x14ac:dyDescent="0.25">
      <c r="D18" s="25" t="str">
        <f>Table1Header</f>
        <v>Laitteet ja tarvikkeet</v>
      </c>
      <c r="E18" s="52">
        <f>COUNTA(Table1Budget[Laitteet ja tarvikkeet])</f>
        <v>7</v>
      </c>
      <c r="F18" s="78">
        <v>400</v>
      </c>
      <c r="G18" s="78">
        <f>Table1Budget[[#Totals],[Kustannus]]</f>
        <v>400</v>
      </c>
      <c r="H18" s="77">
        <f>BudgetOverview[[#This Row],[BUDJETTI]]-BudgetOverview[[#This Row],[KOKONAISKULUT]]</f>
        <v>0</v>
      </c>
    </row>
    <row r="19" spans="4:8" ht="21.75" customHeight="1" x14ac:dyDescent="0.25">
      <c r="D19" s="25" t="str">
        <f>Table2Header</f>
        <v>Koristelut</v>
      </c>
      <c r="E19" s="52">
        <f>COUNTA(Table2Budget[Koristelut])</f>
        <v>4</v>
      </c>
      <c r="F19" s="78">
        <v>150</v>
      </c>
      <c r="G19" s="78">
        <f>Table2Budget[[#Totals],[Kustannus]]</f>
        <v>175</v>
      </c>
      <c r="H19" s="77">
        <f>BudgetOverview[[#This Row],[BUDJETTI]]-BudgetOverview[[#This Row],[KOKONAISKULUT]]</f>
        <v>-25</v>
      </c>
    </row>
    <row r="20" spans="4:8" ht="21.75" customHeight="1" x14ac:dyDescent="0.25">
      <c r="D20" s="25" t="str">
        <f>Table3Header</f>
        <v>Muut</v>
      </c>
      <c r="E20" s="52">
        <f>COUNTA(Table3Budget[Muut])</f>
        <v>4</v>
      </c>
      <c r="F20" s="78">
        <v>300</v>
      </c>
      <c r="G20" s="78">
        <f>Table3Budget[[#Totals],[Kustannus]]</f>
        <v>285</v>
      </c>
      <c r="H20" s="77">
        <f>BudgetOverview[[#This Row],[BUDJETTI]]-BudgetOverview[[#This Row],[KOKONAISKULUT]]</f>
        <v>15</v>
      </c>
    </row>
    <row r="21" spans="4:8" ht="21.75" customHeight="1" x14ac:dyDescent="0.25">
      <c r="D21" s="25" t="s">
        <v>15</v>
      </c>
      <c r="E21" s="52">
        <f>SUBTOTAL(109,BudgetOverview[LUKUMÄÄRÄ])</f>
        <v>33</v>
      </c>
      <c r="F21" s="78">
        <f>SUBTOTAL(109,BudgetOverview[BUDJETTI])</f>
        <v>1350</v>
      </c>
      <c r="G21" s="78">
        <f>SUBTOTAL(109,BudgetOverview[KOKONAISKULUT])</f>
        <v>1335</v>
      </c>
      <c r="H21" s="77">
        <f>BudgetOverview[[#Totals],[BUDJETTI]]-BudgetOverview[[#Totals],[KOKONAISKULUT]]</f>
        <v>15</v>
      </c>
    </row>
    <row r="22" spans="4:8" ht="18" customHeight="1" x14ac:dyDescent="0.25"/>
    <row r="23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76" priority="2">
      <formula>OutstandingRSVPs&gt;0</formula>
    </cfRule>
  </conditionalFormatting>
  <printOptions horizontalCentered="1"/>
  <pageMargins left="0.25" right="0.25" top="0.75" bottom="0.75" header="0.3" footer="0.3"/>
  <pageSetup scale="5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topLeftCell="E1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23.75" customWidth="1"/>
    <col min="4" max="4" width="21.125" customWidth="1"/>
    <col min="5" max="5" width="13.875" customWidth="1"/>
    <col min="6" max="6" width="17.625" customWidth="1"/>
    <col min="7" max="7" width="13.75" customWidth="1"/>
    <col min="8" max="8" width="15.75" customWidth="1"/>
    <col min="9" max="9" width="16.5" customWidth="1"/>
    <col min="10" max="10" width="13.125" customWidth="1"/>
    <col min="11" max="11" width="12.5" customWidth="1"/>
    <col min="12" max="12" width="13.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53.25" customHeight="1" x14ac:dyDescent="0.25">
      <c r="A3" s="53"/>
      <c r="B3" s="56" t="s">
        <v>75</v>
      </c>
      <c r="C3" s="53"/>
      <c r="D3" s="54"/>
      <c r="E3" s="53"/>
      <c r="F3" s="53"/>
      <c r="G3" s="53"/>
      <c r="H3" s="53"/>
      <c r="I3" s="53"/>
      <c r="J3" s="53"/>
      <c r="K3" s="53"/>
      <c r="L3" s="53"/>
      <c r="M3" s="53"/>
    </row>
    <row r="4" spans="1:13" s="28" customFormat="1" ht="14.25" customHeight="1" x14ac:dyDescent="0.25">
      <c r="A4" s="67"/>
      <c r="B4" s="68"/>
      <c r="C4" s="67"/>
      <c r="D4" s="69"/>
      <c r="E4" s="67"/>
      <c r="F4" s="67"/>
      <c r="G4" s="67"/>
      <c r="H4" s="67"/>
      <c r="I4" s="67"/>
      <c r="J4" s="67"/>
      <c r="K4" s="67"/>
      <c r="L4" s="67"/>
      <c r="M4" s="67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76</v>
      </c>
      <c r="C7" s="26" t="s">
        <v>77</v>
      </c>
      <c r="D7" s="26" t="s">
        <v>78</v>
      </c>
      <c r="E7" s="26" t="s">
        <v>79</v>
      </c>
      <c r="F7" s="26" t="s">
        <v>80</v>
      </c>
      <c r="G7" s="26" t="s">
        <v>81</v>
      </c>
      <c r="H7" s="26" t="s">
        <v>82</v>
      </c>
      <c r="I7" s="23" t="s">
        <v>83</v>
      </c>
      <c r="J7" s="23" t="s">
        <v>84</v>
      </c>
      <c r="K7" s="23" t="s">
        <v>85</v>
      </c>
      <c r="L7" s="23" t="s">
        <v>86</v>
      </c>
    </row>
    <row r="8" spans="1:13" s="28" customFormat="1" ht="18" customHeight="1" x14ac:dyDescent="0.25">
      <c r="B8" s="26" t="s">
        <v>178</v>
      </c>
      <c r="C8" s="26" t="s">
        <v>163</v>
      </c>
      <c r="D8" s="26" t="s">
        <v>148</v>
      </c>
      <c r="E8" s="26" t="s">
        <v>133</v>
      </c>
      <c r="F8" s="26" t="s">
        <v>118</v>
      </c>
      <c r="G8" s="48" t="s">
        <v>103</v>
      </c>
      <c r="H8" s="26" t="s">
        <v>88</v>
      </c>
      <c r="I8" s="23" t="s">
        <v>87</v>
      </c>
      <c r="J8" s="23">
        <v>2</v>
      </c>
      <c r="K8" s="23">
        <v>2</v>
      </c>
      <c r="L8" s="23">
        <f>SUM(GuestTable[[#This Row],[LAPSET]:[AIKUISET]])</f>
        <v>4</v>
      </c>
    </row>
    <row r="9" spans="1:13" s="28" customFormat="1" ht="18" customHeight="1" x14ac:dyDescent="0.25">
      <c r="B9" s="26" t="s">
        <v>179</v>
      </c>
      <c r="C9" s="26" t="s">
        <v>164</v>
      </c>
      <c r="D9" s="26" t="s">
        <v>149</v>
      </c>
      <c r="E9" s="26" t="s">
        <v>134</v>
      </c>
      <c r="F9" s="26" t="s">
        <v>119</v>
      </c>
      <c r="G9" s="48" t="s">
        <v>104</v>
      </c>
      <c r="H9" s="26" t="s">
        <v>89</v>
      </c>
      <c r="I9" s="23" t="s">
        <v>30</v>
      </c>
      <c r="J9" s="23">
        <v>1</v>
      </c>
      <c r="K9" s="23">
        <v>1</v>
      </c>
      <c r="L9" s="23">
        <f>SUM(GuestTable[[#This Row],[LAPSET]:[AIKUISET]])</f>
        <v>2</v>
      </c>
    </row>
    <row r="10" spans="1:13" s="28" customFormat="1" ht="18" customHeight="1" x14ac:dyDescent="0.25">
      <c r="B10" s="26" t="s">
        <v>180</v>
      </c>
      <c r="C10" s="26" t="s">
        <v>165</v>
      </c>
      <c r="D10" s="26" t="s">
        <v>150</v>
      </c>
      <c r="E10" s="26" t="s">
        <v>135</v>
      </c>
      <c r="F10" s="26" t="s">
        <v>120</v>
      </c>
      <c r="G10" s="48" t="s">
        <v>105</v>
      </c>
      <c r="H10" s="26" t="s">
        <v>90</v>
      </c>
      <c r="I10" s="23" t="s">
        <v>30</v>
      </c>
      <c r="J10" s="23">
        <v>3</v>
      </c>
      <c r="K10" s="23">
        <v>3</v>
      </c>
      <c r="L10" s="23">
        <f>SUM(GuestTable[[#This Row],[LAPSET]:[AIKUISET]])</f>
        <v>6</v>
      </c>
    </row>
    <row r="11" spans="1:13" s="28" customFormat="1" ht="18" customHeight="1" x14ac:dyDescent="0.25">
      <c r="B11" s="26" t="s">
        <v>181</v>
      </c>
      <c r="C11" s="26" t="s">
        <v>166</v>
      </c>
      <c r="D11" s="26" t="s">
        <v>151</v>
      </c>
      <c r="E11" s="26" t="s">
        <v>136</v>
      </c>
      <c r="F11" s="26" t="s">
        <v>121</v>
      </c>
      <c r="G11" s="48" t="s">
        <v>106</v>
      </c>
      <c r="H11" s="26" t="s">
        <v>91</v>
      </c>
      <c r="I11" s="23"/>
      <c r="J11" s="23"/>
      <c r="K11" s="23">
        <v>2</v>
      </c>
      <c r="L11" s="31">
        <f>SUM(GuestTable[[#This Row],[LAPSET]:[AIKUISET]])</f>
        <v>2</v>
      </c>
    </row>
    <row r="12" spans="1:13" s="28" customFormat="1" ht="18" customHeight="1" x14ac:dyDescent="0.25">
      <c r="B12" s="26" t="s">
        <v>182</v>
      </c>
      <c r="C12" s="26" t="s">
        <v>167</v>
      </c>
      <c r="D12" s="26" t="s">
        <v>152</v>
      </c>
      <c r="E12" s="26" t="s">
        <v>137</v>
      </c>
      <c r="F12" s="26" t="s">
        <v>122</v>
      </c>
      <c r="G12" s="48" t="s">
        <v>107</v>
      </c>
      <c r="H12" s="26" t="s">
        <v>92</v>
      </c>
      <c r="I12" s="23" t="s">
        <v>30</v>
      </c>
      <c r="J12" s="23">
        <v>4</v>
      </c>
      <c r="K12" s="23">
        <v>3</v>
      </c>
      <c r="L12" s="31">
        <f>SUM(GuestTable[[#This Row],[LAPSET]:[AIKUISET]])</f>
        <v>7</v>
      </c>
    </row>
    <row r="13" spans="1:13" s="28" customFormat="1" ht="18" customHeight="1" x14ac:dyDescent="0.25">
      <c r="B13" s="26" t="s">
        <v>183</v>
      </c>
      <c r="C13" s="26" t="s">
        <v>168</v>
      </c>
      <c r="D13" s="26" t="s">
        <v>153</v>
      </c>
      <c r="E13" s="26" t="s">
        <v>138</v>
      </c>
      <c r="F13" s="26" t="s">
        <v>123</v>
      </c>
      <c r="G13" s="48" t="s">
        <v>108</v>
      </c>
      <c r="H13" s="26" t="s">
        <v>93</v>
      </c>
      <c r="I13" s="23" t="s">
        <v>30</v>
      </c>
      <c r="J13" s="23">
        <v>2</v>
      </c>
      <c r="K13" s="23">
        <v>2</v>
      </c>
      <c r="L13" s="31">
        <f>SUM(GuestTable[[#This Row],[LAPSET]:[AIKUISET]])</f>
        <v>4</v>
      </c>
    </row>
    <row r="14" spans="1:13" s="28" customFormat="1" ht="18" customHeight="1" x14ac:dyDescent="0.25">
      <c r="B14" s="26" t="s">
        <v>184</v>
      </c>
      <c r="C14" s="26" t="s">
        <v>169</v>
      </c>
      <c r="D14" s="26" t="s">
        <v>154</v>
      </c>
      <c r="E14" s="26" t="s">
        <v>139</v>
      </c>
      <c r="F14" s="26" t="s">
        <v>124</v>
      </c>
      <c r="G14" s="48" t="s">
        <v>109</v>
      </c>
      <c r="H14" s="26" t="s">
        <v>94</v>
      </c>
      <c r="I14" s="23" t="s">
        <v>30</v>
      </c>
      <c r="J14" s="23">
        <v>1</v>
      </c>
      <c r="K14" s="23">
        <v>4</v>
      </c>
      <c r="L14" s="31">
        <f>SUM(GuestTable[[#This Row],[LAPSET]:[AIKUISET]])</f>
        <v>5</v>
      </c>
    </row>
    <row r="15" spans="1:13" s="28" customFormat="1" ht="18" customHeight="1" x14ac:dyDescent="0.25">
      <c r="B15" s="26" t="s">
        <v>185</v>
      </c>
      <c r="C15" s="26" t="s">
        <v>170</v>
      </c>
      <c r="D15" s="26" t="s">
        <v>155</v>
      </c>
      <c r="E15" s="26" t="s">
        <v>140</v>
      </c>
      <c r="F15" s="26" t="s">
        <v>125</v>
      </c>
      <c r="G15" s="48" t="s">
        <v>110</v>
      </c>
      <c r="H15" s="26" t="s">
        <v>95</v>
      </c>
      <c r="I15" s="23" t="s">
        <v>87</v>
      </c>
      <c r="J15" s="23">
        <v>5</v>
      </c>
      <c r="K15" s="23">
        <v>3</v>
      </c>
      <c r="L15" s="31">
        <f>SUM(GuestTable[[#This Row],[LAPSET]:[AIKUISET]])</f>
        <v>8</v>
      </c>
    </row>
    <row r="16" spans="1:13" s="28" customFormat="1" ht="18" customHeight="1" x14ac:dyDescent="0.25">
      <c r="B16" s="26" t="s">
        <v>186</v>
      </c>
      <c r="C16" s="26" t="s">
        <v>171</v>
      </c>
      <c r="D16" s="26" t="s">
        <v>156</v>
      </c>
      <c r="E16" s="26" t="s">
        <v>141</v>
      </c>
      <c r="F16" s="26" t="s">
        <v>126</v>
      </c>
      <c r="G16" s="48" t="s">
        <v>111</v>
      </c>
      <c r="H16" s="26" t="s">
        <v>96</v>
      </c>
      <c r="I16" s="23" t="s">
        <v>30</v>
      </c>
      <c r="J16" s="23">
        <v>3</v>
      </c>
      <c r="K16" s="23">
        <v>2</v>
      </c>
      <c r="L16" s="31">
        <f>SUM(GuestTable[[#This Row],[LAPSET]:[AIKUISET]])</f>
        <v>5</v>
      </c>
    </row>
    <row r="17" spans="2:12" s="28" customFormat="1" ht="18" customHeight="1" x14ac:dyDescent="0.25">
      <c r="B17" s="26" t="s">
        <v>187</v>
      </c>
      <c r="C17" s="26" t="s">
        <v>172</v>
      </c>
      <c r="D17" s="26" t="s">
        <v>157</v>
      </c>
      <c r="E17" s="26" t="s">
        <v>142</v>
      </c>
      <c r="F17" s="26" t="s">
        <v>127</v>
      </c>
      <c r="G17" s="48" t="s">
        <v>112</v>
      </c>
      <c r="H17" s="26" t="s">
        <v>97</v>
      </c>
      <c r="I17" s="23" t="s">
        <v>30</v>
      </c>
      <c r="J17" s="23"/>
      <c r="K17" s="23">
        <v>4</v>
      </c>
      <c r="L17" s="31">
        <f>SUM(GuestTable[[#This Row],[LAPSET]:[AIKUISET]])</f>
        <v>4</v>
      </c>
    </row>
    <row r="18" spans="2:12" s="28" customFormat="1" ht="18" customHeight="1" x14ac:dyDescent="0.25">
      <c r="B18" s="26" t="s">
        <v>188</v>
      </c>
      <c r="C18" s="26" t="s">
        <v>173</v>
      </c>
      <c r="D18" s="26" t="s">
        <v>158</v>
      </c>
      <c r="E18" s="26" t="s">
        <v>143</v>
      </c>
      <c r="F18" s="26" t="s">
        <v>128</v>
      </c>
      <c r="G18" s="48" t="s">
        <v>113</v>
      </c>
      <c r="H18" s="26" t="s">
        <v>98</v>
      </c>
      <c r="I18" s="23" t="s">
        <v>30</v>
      </c>
      <c r="J18" s="23">
        <v>3</v>
      </c>
      <c r="K18" s="23">
        <v>5</v>
      </c>
      <c r="L18" s="31">
        <f>SUM(GuestTable[[#This Row],[LAPSET]:[AIKUISET]])</f>
        <v>8</v>
      </c>
    </row>
    <row r="19" spans="2:12" s="28" customFormat="1" ht="18" customHeight="1" x14ac:dyDescent="0.25">
      <c r="B19" s="26" t="s">
        <v>189</v>
      </c>
      <c r="C19" s="26" t="s">
        <v>174</v>
      </c>
      <c r="D19" s="26" t="s">
        <v>159</v>
      </c>
      <c r="E19" s="26" t="s">
        <v>144</v>
      </c>
      <c r="F19" s="26" t="s">
        <v>129</v>
      </c>
      <c r="G19" s="48" t="s">
        <v>114</v>
      </c>
      <c r="H19" s="26" t="s">
        <v>99</v>
      </c>
      <c r="I19" s="23" t="s">
        <v>87</v>
      </c>
      <c r="J19" s="23">
        <v>2</v>
      </c>
      <c r="K19" s="23">
        <v>3</v>
      </c>
      <c r="L19" s="31">
        <f>SUM(GuestTable[[#This Row],[LAPSET]:[AIKUISET]])</f>
        <v>5</v>
      </c>
    </row>
    <row r="20" spans="2:12" s="28" customFormat="1" ht="18" customHeight="1" x14ac:dyDescent="0.25">
      <c r="B20" s="26" t="s">
        <v>190</v>
      </c>
      <c r="C20" s="26" t="s">
        <v>175</v>
      </c>
      <c r="D20" s="26" t="s">
        <v>160</v>
      </c>
      <c r="E20" s="26" t="s">
        <v>145</v>
      </c>
      <c r="F20" s="26" t="s">
        <v>130</v>
      </c>
      <c r="G20" s="48" t="s">
        <v>115</v>
      </c>
      <c r="H20" s="26" t="s">
        <v>100</v>
      </c>
      <c r="I20" s="23" t="s">
        <v>30</v>
      </c>
      <c r="J20" s="23">
        <v>3</v>
      </c>
      <c r="K20" s="23">
        <v>2</v>
      </c>
      <c r="L20" s="31">
        <f>SUM(GuestTable[[#This Row],[LAPSET]:[AIKUISET]])</f>
        <v>5</v>
      </c>
    </row>
    <row r="21" spans="2:12" s="28" customFormat="1" ht="18" customHeight="1" x14ac:dyDescent="0.25">
      <c r="B21" s="26" t="s">
        <v>191</v>
      </c>
      <c r="C21" s="26" t="s">
        <v>176</v>
      </c>
      <c r="D21" s="26" t="s">
        <v>161</v>
      </c>
      <c r="E21" s="26" t="s">
        <v>146</v>
      </c>
      <c r="F21" s="26" t="s">
        <v>131</v>
      </c>
      <c r="G21" s="48" t="s">
        <v>116</v>
      </c>
      <c r="H21" s="26" t="s">
        <v>101</v>
      </c>
      <c r="I21" s="23" t="s">
        <v>87</v>
      </c>
      <c r="J21" s="23"/>
      <c r="K21" s="23">
        <v>1</v>
      </c>
      <c r="L21" s="31">
        <f>SUM(GuestTable[[#This Row],[LAPSET]:[AIKUISET]])</f>
        <v>1</v>
      </c>
    </row>
    <row r="22" spans="2:12" s="28" customFormat="1" ht="18" customHeight="1" x14ac:dyDescent="0.25">
      <c r="B22" s="26" t="s">
        <v>192</v>
      </c>
      <c r="C22" s="26" t="s">
        <v>177</v>
      </c>
      <c r="D22" s="26" t="s">
        <v>162</v>
      </c>
      <c r="E22" s="26" t="s">
        <v>147</v>
      </c>
      <c r="F22" s="26" t="s">
        <v>132</v>
      </c>
      <c r="G22" s="48" t="s">
        <v>117</v>
      </c>
      <c r="H22" s="26" t="s">
        <v>102</v>
      </c>
      <c r="I22" s="23"/>
      <c r="J22" s="23"/>
      <c r="K22" s="23">
        <v>2</v>
      </c>
      <c r="L22" s="31">
        <f>SUM(GuestTable[[#This Row],[LAPSET]:[AIKUISET]])</f>
        <v>2</v>
      </c>
    </row>
  </sheetData>
  <dataValidations count="1">
    <dataValidation type="list" allowBlank="1" sqref="I8:I22">
      <formula1>"Kyllä,Ei"</formula1>
    </dataValidation>
  </dataValidations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topLeftCell="D1" zoomScaleNormal="100" workbookViewId="0"/>
  </sheetViews>
  <sheetFormatPr defaultRowHeight="18" customHeight="1" x14ac:dyDescent="0.25"/>
  <cols>
    <col min="1" max="1" width="3.75" customWidth="1"/>
    <col min="2" max="2" width="27.875" customWidth="1"/>
    <col min="3" max="3" width="16.25" customWidth="1"/>
    <col min="4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53.25" customHeight="1" x14ac:dyDescent="0.25">
      <c r="A3" s="53"/>
      <c r="B3" s="56" t="s">
        <v>31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33" customHeight="1" x14ac:dyDescent="0.2">
      <c r="B5" s="29" t="s">
        <v>32</v>
      </c>
    </row>
    <row r="6" spans="1:11" s="9" customFormat="1" ht="53.25" customHeight="1" x14ac:dyDescent="0.25">
      <c r="B6" s="22" t="s">
        <v>33</v>
      </c>
      <c r="C6" s="20" t="s">
        <v>34</v>
      </c>
      <c r="D6" s="20" t="s">
        <v>35</v>
      </c>
      <c r="E6" s="20" t="s">
        <v>36</v>
      </c>
      <c r="F6" s="20" t="s">
        <v>37</v>
      </c>
      <c r="G6" s="20" t="s">
        <v>38</v>
      </c>
      <c r="H6" s="20" t="s">
        <v>39</v>
      </c>
      <c r="I6" s="20" t="s">
        <v>40</v>
      </c>
      <c r="J6" s="22" t="s">
        <v>41</v>
      </c>
    </row>
    <row r="7" spans="1:11" ht="18" customHeight="1" x14ac:dyDescent="0.25">
      <c r="B7" s="26" t="s">
        <v>56</v>
      </c>
      <c r="C7" s="74">
        <v>15</v>
      </c>
      <c r="D7" s="23">
        <v>0.5</v>
      </c>
      <c r="E7" s="23">
        <v>2</v>
      </c>
      <c r="F7" s="31">
        <f>(FoodTable[[#This Row],[LASTEN ANNOKSET]]*ChildrenTotal)+(FoodTable[[#This Row],[AIKUISTEN ANNOKSET]]*AdultTotal)</f>
        <v>62</v>
      </c>
      <c r="G7" s="74">
        <f>IFERROR(FoodTable[[#This Row],[KOKONAISKULUT]]/FoodTable[[#This Row],[ANNOKSET YHTEENSÄ]],"")</f>
        <v>0.24193548387096775</v>
      </c>
      <c r="H7" s="74">
        <f>IFERROR(FoodTable[[#This Row],[KUSTANNUS ANNOSTA KOHDEN]]*FoodTable[[#This Row],[LASTEN ANNOKSET]],"")</f>
        <v>0.12096774193548387</v>
      </c>
      <c r="I7" s="74">
        <f>IFERROR(FoodTable[[#This Row],[KUSTANNUS ANNOSTA KOHDEN]]*FoodTable[[#This Row],[AIKUISTEN ANNOKSET]],"")</f>
        <v>0.4838709677419355</v>
      </c>
      <c r="J7" s="22" t="s">
        <v>42</v>
      </c>
    </row>
    <row r="8" spans="1:11" ht="18" customHeight="1" x14ac:dyDescent="0.25">
      <c r="B8" s="26" t="s">
        <v>57</v>
      </c>
      <c r="C8" s="74">
        <v>15</v>
      </c>
      <c r="D8" s="23">
        <v>2</v>
      </c>
      <c r="E8" s="23">
        <v>0</v>
      </c>
      <c r="F8" s="31">
        <f>(FoodTable[[#This Row],[LASTEN ANNOKSET]]*ChildrenTotal)+(FoodTable[[#This Row],[AIKUISTEN ANNOKSET]]*AdultTotal)</f>
        <v>40</v>
      </c>
      <c r="G8" s="74">
        <f>IFERROR(FoodTable[[#This Row],[KOKONAISKULUT]]/FoodTable[[#This Row],[ANNOKSET YHTEENSÄ]],"")</f>
        <v>0.375</v>
      </c>
      <c r="H8" s="74">
        <f>IFERROR(FoodTable[[#This Row],[KUSTANNUS ANNOSTA KOHDEN]]*FoodTable[[#This Row],[LASTEN ANNOKSET]],"")</f>
        <v>0.75</v>
      </c>
      <c r="I8" s="74">
        <f>IFERROR(FoodTable[[#This Row],[KUSTANNUS ANNOSTA KOHDEN]]*FoodTable[[#This Row],[AIKUISTEN ANNOKSET]],"")</f>
        <v>0</v>
      </c>
      <c r="J8" s="22" t="s">
        <v>43</v>
      </c>
    </row>
    <row r="9" spans="1:11" ht="18" customHeight="1" x14ac:dyDescent="0.25">
      <c r="B9" s="26" t="s">
        <v>58</v>
      </c>
      <c r="C9" s="74">
        <v>50</v>
      </c>
      <c r="D9" s="23">
        <v>0</v>
      </c>
      <c r="E9" s="23">
        <v>2</v>
      </c>
      <c r="F9" s="31">
        <f>(FoodTable[[#This Row],[LASTEN ANNOKSET]]*ChildrenTotal)+(FoodTable[[#This Row],[AIKUISTEN ANNOKSET]]*AdultTotal)</f>
        <v>52</v>
      </c>
      <c r="G9" s="74">
        <f>IFERROR(FoodTable[[#This Row],[KOKONAISKULUT]]/FoodTable[[#This Row],[ANNOKSET YHTEENSÄ]],"")</f>
        <v>0.96153846153846156</v>
      </c>
      <c r="H9" s="74">
        <f>IFERROR(FoodTable[[#This Row],[KUSTANNUS ANNOSTA KOHDEN]]*FoodTable[[#This Row],[LASTEN ANNOKSET]],"")</f>
        <v>0</v>
      </c>
      <c r="I9" s="74">
        <f>IFERROR(FoodTable[[#This Row],[KUSTANNUS ANNOSTA KOHDEN]]*FoodTable[[#This Row],[AIKUISTEN ANNOKSET]],"")</f>
        <v>1.9230769230769231</v>
      </c>
      <c r="J9" s="22"/>
    </row>
    <row r="10" spans="1:11" ht="18" customHeight="1" x14ac:dyDescent="0.25">
      <c r="B10" s="26" t="s">
        <v>59</v>
      </c>
      <c r="C10" s="74">
        <v>75</v>
      </c>
      <c r="D10" s="23">
        <v>1</v>
      </c>
      <c r="E10" s="23">
        <v>1</v>
      </c>
      <c r="F10" s="31">
        <f>(FoodTable[[#This Row],[LASTEN ANNOKSET]]*ChildrenTotal)+(FoodTable[[#This Row],[AIKUISTEN ANNOKSET]]*AdultTotal)</f>
        <v>46</v>
      </c>
      <c r="G10" s="74">
        <f>IFERROR(FoodTable[[#This Row],[KOKONAISKULUT]]/FoodTable[[#This Row],[ANNOKSET YHTEENSÄ]],"")</f>
        <v>1.6304347826086956</v>
      </c>
      <c r="H10" s="74">
        <f>IFERROR(FoodTable[[#This Row],[KUSTANNUS ANNOSTA KOHDEN]]*FoodTable[[#This Row],[LASTEN ANNOKSET]],"")</f>
        <v>1.6304347826086956</v>
      </c>
      <c r="I10" s="74">
        <f>IFERROR(FoodTable[[#This Row],[KUSTANNUS ANNOSTA KOHDEN]]*FoodTable[[#This Row],[AIKUISTEN ANNOKSET]],"")</f>
        <v>1.6304347826086956</v>
      </c>
      <c r="J10" s="22" t="s">
        <v>44</v>
      </c>
    </row>
    <row r="11" spans="1:11" ht="18" customHeight="1" x14ac:dyDescent="0.25">
      <c r="B11" s="26" t="s">
        <v>60</v>
      </c>
      <c r="C11" s="74">
        <v>20</v>
      </c>
      <c r="D11" s="23">
        <v>1</v>
      </c>
      <c r="E11" s="23">
        <v>1.5</v>
      </c>
      <c r="F11" s="31">
        <f>(FoodTable[[#This Row],[LASTEN ANNOKSET]]*ChildrenTotal)+(FoodTable[[#This Row],[AIKUISTEN ANNOKSET]]*AdultTotal)</f>
        <v>59</v>
      </c>
      <c r="G11" s="74">
        <f>IFERROR(FoodTable[[#This Row],[KOKONAISKULUT]]/FoodTable[[#This Row],[ANNOKSET YHTEENSÄ]],"")</f>
        <v>0.33898305084745761</v>
      </c>
      <c r="H11" s="74">
        <f>IFERROR(FoodTable[[#This Row],[KUSTANNUS ANNOSTA KOHDEN]]*FoodTable[[#This Row],[LASTEN ANNOKSET]],"")</f>
        <v>0.33898305084745761</v>
      </c>
      <c r="I11" s="74">
        <f>IFERROR(FoodTable[[#This Row],[KUSTANNUS ANNOSTA KOHDEN]]*FoodTable[[#This Row],[AIKUISTEN ANNOKSET]],"")</f>
        <v>0.50847457627118642</v>
      </c>
      <c r="J11" s="22"/>
    </row>
    <row r="12" spans="1:11" ht="18" customHeight="1" x14ac:dyDescent="0.25">
      <c r="B12" s="26" t="s">
        <v>61</v>
      </c>
      <c r="C12" s="74">
        <v>15</v>
      </c>
      <c r="D12" s="23">
        <v>1</v>
      </c>
      <c r="E12" s="23">
        <v>0</v>
      </c>
      <c r="F12" s="31">
        <f>(FoodTable[[#This Row],[LASTEN ANNOKSET]]*ChildrenTotal)+(FoodTable[[#This Row],[AIKUISTEN ANNOKSET]]*AdultTotal)</f>
        <v>20</v>
      </c>
      <c r="G12" s="74">
        <f>IFERROR(FoodTable[[#This Row],[KOKONAISKULUT]]/FoodTable[[#This Row],[ANNOKSET YHTEENSÄ]],"")</f>
        <v>0.75</v>
      </c>
      <c r="H12" s="74">
        <f>IFERROR(FoodTable[[#This Row],[KUSTANNUS ANNOSTA KOHDEN]]*FoodTable[[#This Row],[LASTEN ANNOKSET]],"")</f>
        <v>0.75</v>
      </c>
      <c r="I12" s="74">
        <f>IFERROR(FoodTable[[#This Row],[KUSTANNUS ANNOSTA KOHDEN]]*FoodTable[[#This Row],[AIKUISTEN ANNOKSET]],"")</f>
        <v>0</v>
      </c>
      <c r="J12" s="22" t="s">
        <v>45</v>
      </c>
    </row>
    <row r="13" spans="1:11" ht="18" customHeight="1" x14ac:dyDescent="0.25">
      <c r="B13" s="26" t="s">
        <v>62</v>
      </c>
      <c r="C13" s="74">
        <v>32</v>
      </c>
      <c r="D13" s="23">
        <v>1</v>
      </c>
      <c r="E13" s="23">
        <v>2</v>
      </c>
      <c r="F13" s="31">
        <f>(FoodTable[[#This Row],[LASTEN ANNOKSET]]*ChildrenTotal)+(FoodTable[[#This Row],[AIKUISTEN ANNOKSET]]*AdultTotal)</f>
        <v>72</v>
      </c>
      <c r="G13" s="74">
        <f>IFERROR(FoodTable[[#This Row],[KOKONAISKULUT]]/FoodTable[[#This Row],[ANNOKSET YHTEENSÄ]],"")</f>
        <v>0.44444444444444442</v>
      </c>
      <c r="H13" s="74">
        <f>IFERROR(FoodTable[[#This Row],[KUSTANNUS ANNOSTA KOHDEN]]*FoodTable[[#This Row],[LASTEN ANNOKSET]],"")</f>
        <v>0.44444444444444442</v>
      </c>
      <c r="I13" s="74">
        <f>IFERROR(FoodTable[[#This Row],[KUSTANNUS ANNOSTA KOHDEN]]*FoodTable[[#This Row],[AIKUISTEN ANNOKSET]],"")</f>
        <v>0.88888888888888884</v>
      </c>
      <c r="J13" s="22" t="s">
        <v>46</v>
      </c>
    </row>
    <row r="14" spans="1:11" ht="18" customHeight="1" x14ac:dyDescent="0.25">
      <c r="B14" s="26" t="s">
        <v>63</v>
      </c>
      <c r="C14" s="74">
        <v>22</v>
      </c>
      <c r="D14" s="23">
        <v>0</v>
      </c>
      <c r="E14" s="23">
        <v>3</v>
      </c>
      <c r="F14" s="31">
        <f>(FoodTable[[#This Row],[LASTEN ANNOKSET]]*ChildrenTotal)+(FoodTable[[#This Row],[AIKUISTEN ANNOKSET]]*AdultTotal)</f>
        <v>78</v>
      </c>
      <c r="G14" s="74">
        <f>IFERROR(FoodTable[[#This Row],[KOKONAISKULUT]]/FoodTable[[#This Row],[ANNOKSET YHTEENSÄ]],"")</f>
        <v>0.28205128205128205</v>
      </c>
      <c r="H14" s="74">
        <f>IFERROR(FoodTable[[#This Row],[KUSTANNUS ANNOSTA KOHDEN]]*FoodTable[[#This Row],[LASTEN ANNOKSET]],"")</f>
        <v>0</v>
      </c>
      <c r="I14" s="74">
        <f>IFERROR(FoodTable[[#This Row],[KUSTANNUS ANNOSTA KOHDEN]]*FoodTable[[#This Row],[AIKUISTEN ANNOKSET]],"")</f>
        <v>0.84615384615384615</v>
      </c>
      <c r="J14" s="22" t="s">
        <v>47</v>
      </c>
    </row>
    <row r="15" spans="1:11" ht="18" customHeight="1" x14ac:dyDescent="0.25">
      <c r="B15" s="26" t="s">
        <v>64</v>
      </c>
      <c r="C15" s="74">
        <v>50</v>
      </c>
      <c r="D15" s="23">
        <v>1</v>
      </c>
      <c r="E15" s="23">
        <v>2</v>
      </c>
      <c r="F15" s="31">
        <f>(FoodTable[[#This Row],[LASTEN ANNOKSET]]*ChildrenTotal)+(FoodTable[[#This Row],[AIKUISTEN ANNOKSET]]*AdultTotal)</f>
        <v>72</v>
      </c>
      <c r="G15" s="74">
        <f>IFERROR(FoodTable[[#This Row],[KOKONAISKULUT]]/FoodTable[[#This Row],[ANNOKSET YHTEENSÄ]],"")</f>
        <v>0.69444444444444442</v>
      </c>
      <c r="H15" s="74">
        <f>IFERROR(FoodTable[[#This Row],[KUSTANNUS ANNOSTA KOHDEN]]*FoodTable[[#This Row],[LASTEN ANNOKSET]],"")</f>
        <v>0.69444444444444442</v>
      </c>
      <c r="I15" s="74">
        <f>IFERROR(FoodTable[[#This Row],[KUSTANNUS ANNOSTA KOHDEN]]*FoodTable[[#This Row],[AIKUISTEN ANNOKSET]],"")</f>
        <v>1.3888888888888888</v>
      </c>
      <c r="J15" s="22"/>
    </row>
    <row r="16" spans="1:11" ht="18" customHeight="1" x14ac:dyDescent="0.25">
      <c r="B16" s="26" t="s">
        <v>65</v>
      </c>
      <c r="C16" s="74">
        <v>20</v>
      </c>
      <c r="D16" s="23">
        <v>1</v>
      </c>
      <c r="E16" s="23">
        <v>2</v>
      </c>
      <c r="F16" s="31">
        <f>(FoodTable[[#This Row],[LASTEN ANNOKSET]]*ChildrenTotal)+(FoodTable[[#This Row],[AIKUISTEN ANNOKSET]]*AdultTotal)</f>
        <v>72</v>
      </c>
      <c r="G16" s="74">
        <f>IFERROR(FoodTable[[#This Row],[KOKONAISKULUT]]/FoodTable[[#This Row],[ANNOKSET YHTEENSÄ]],"")</f>
        <v>0.27777777777777779</v>
      </c>
      <c r="H16" s="74">
        <f>IFERROR(FoodTable[[#This Row],[KUSTANNUS ANNOSTA KOHDEN]]*FoodTable[[#This Row],[LASTEN ANNOKSET]],"")</f>
        <v>0.27777777777777779</v>
      </c>
      <c r="I16" s="74">
        <f>IFERROR(FoodTable[[#This Row],[KUSTANNUS ANNOSTA KOHDEN]]*FoodTable[[#This Row],[AIKUISTEN ANNOKSET]],"")</f>
        <v>0.55555555555555558</v>
      </c>
      <c r="J16" s="22" t="s">
        <v>48</v>
      </c>
    </row>
    <row r="17" spans="2:10" ht="18" customHeight="1" x14ac:dyDescent="0.25">
      <c r="B17" s="26" t="s">
        <v>66</v>
      </c>
      <c r="C17" s="74">
        <v>10</v>
      </c>
      <c r="D17" s="23">
        <v>1</v>
      </c>
      <c r="E17" s="23">
        <v>2</v>
      </c>
      <c r="F17" s="31">
        <f>(FoodTable[[#This Row],[LASTEN ANNOKSET]]*ChildrenTotal)+(FoodTable[[#This Row],[AIKUISTEN ANNOKSET]]*AdultTotal)</f>
        <v>72</v>
      </c>
      <c r="G17" s="74">
        <f>IFERROR(FoodTable[[#This Row],[KOKONAISKULUT]]/FoodTable[[#This Row],[ANNOKSET YHTEENSÄ]],"")</f>
        <v>0.1388888888888889</v>
      </c>
      <c r="H17" s="74">
        <f>IFERROR(FoodTable[[#This Row],[KUSTANNUS ANNOSTA KOHDEN]]*FoodTable[[#This Row],[LASTEN ANNOKSET]],"")</f>
        <v>0.1388888888888889</v>
      </c>
      <c r="I17" s="74">
        <f>IFERROR(FoodTable[[#This Row],[KUSTANNUS ANNOSTA KOHDEN]]*FoodTable[[#This Row],[AIKUISTEN ANNOKSET]],"")</f>
        <v>0.27777777777777779</v>
      </c>
      <c r="J17" s="22" t="s">
        <v>49</v>
      </c>
    </row>
    <row r="18" spans="2:10" ht="18" customHeight="1" x14ac:dyDescent="0.25">
      <c r="B18" s="26" t="s">
        <v>67</v>
      </c>
      <c r="C18" s="74">
        <v>12</v>
      </c>
      <c r="D18" s="23">
        <v>1</v>
      </c>
      <c r="E18" s="23">
        <v>2</v>
      </c>
      <c r="F18" s="31">
        <f>(FoodTable[[#This Row],[LASTEN ANNOKSET]]*ChildrenTotal)+(FoodTable[[#This Row],[AIKUISTEN ANNOKSET]]*AdultTotal)</f>
        <v>72</v>
      </c>
      <c r="G18" s="74">
        <f>IFERROR(FoodTable[[#This Row],[KOKONAISKULUT]]/FoodTable[[#This Row],[ANNOKSET YHTEENSÄ]],"")</f>
        <v>0.16666666666666666</v>
      </c>
      <c r="H18" s="74">
        <f>IFERROR(FoodTable[[#This Row],[KUSTANNUS ANNOSTA KOHDEN]]*FoodTable[[#This Row],[LASTEN ANNOKSET]],"")</f>
        <v>0.16666666666666666</v>
      </c>
      <c r="I18" s="74">
        <f>IFERROR(FoodTable[[#This Row],[KUSTANNUS ANNOSTA KOHDEN]]*FoodTable[[#This Row],[AIKUISTEN ANNOKSET]],"")</f>
        <v>0.33333333333333331</v>
      </c>
      <c r="J18" s="22" t="s">
        <v>50</v>
      </c>
    </row>
    <row r="19" spans="2:10" ht="18" customHeight="1" x14ac:dyDescent="0.25">
      <c r="B19" s="26" t="s">
        <v>68</v>
      </c>
      <c r="C19" s="74">
        <v>45</v>
      </c>
      <c r="D19" s="23">
        <v>2</v>
      </c>
      <c r="E19" s="23">
        <v>4</v>
      </c>
      <c r="F19" s="31">
        <f>(FoodTable[[#This Row],[LASTEN ANNOKSET]]*ChildrenTotal)+(FoodTable[[#This Row],[AIKUISTEN ANNOKSET]]*AdultTotal)</f>
        <v>144</v>
      </c>
      <c r="G19" s="74">
        <f>IFERROR(FoodTable[[#This Row],[KOKONAISKULUT]]/FoodTable[[#This Row],[ANNOKSET YHTEENSÄ]],"")</f>
        <v>0.3125</v>
      </c>
      <c r="H19" s="74">
        <f>IFERROR(FoodTable[[#This Row],[KUSTANNUS ANNOSTA KOHDEN]]*FoodTable[[#This Row],[LASTEN ANNOKSET]],"")</f>
        <v>0.625</v>
      </c>
      <c r="I19" s="74">
        <f>IFERROR(FoodTable[[#This Row],[KUSTANNUS ANNOSTA KOHDEN]]*FoodTable[[#This Row],[AIKUISTEN ANNOKSET]],"")</f>
        <v>1.25</v>
      </c>
      <c r="J19" s="22" t="s">
        <v>51</v>
      </c>
    </row>
    <row r="20" spans="2:10" ht="18" customHeight="1" x14ac:dyDescent="0.25">
      <c r="B20" s="26" t="s">
        <v>0</v>
      </c>
      <c r="C20" s="74">
        <v>10</v>
      </c>
      <c r="D20" s="23">
        <v>4</v>
      </c>
      <c r="E20" s="23">
        <v>6</v>
      </c>
      <c r="F20" s="31">
        <f>(FoodTable[[#This Row],[LASTEN ANNOKSET]]*ChildrenTotal)+(FoodTable[[#This Row],[AIKUISTEN ANNOKSET]]*AdultTotal)</f>
        <v>236</v>
      </c>
      <c r="G20" s="74">
        <f>IFERROR(FoodTable[[#This Row],[KOKONAISKULUT]]/FoodTable[[#This Row],[ANNOKSET YHTEENSÄ]],"")</f>
        <v>4.2372881355932202E-2</v>
      </c>
      <c r="H20" s="74">
        <f>IFERROR(FoodTable[[#This Row],[KUSTANNUS ANNOSTA KOHDEN]]*FoodTable[[#This Row],[LASTEN ANNOKSET]],"")</f>
        <v>0.16949152542372881</v>
      </c>
      <c r="I20" s="74">
        <f>IFERROR(FoodTable[[#This Row],[KUSTANNUS ANNOSTA KOHDEN]]*FoodTable[[#This Row],[AIKUISTEN ANNOKSET]],"")</f>
        <v>0.25423728813559321</v>
      </c>
      <c r="J20" s="22" t="s">
        <v>52</v>
      </c>
    </row>
    <row r="21" spans="2:10" ht="18" customHeight="1" x14ac:dyDescent="0.25">
      <c r="B21" s="26" t="s">
        <v>69</v>
      </c>
      <c r="C21" s="74">
        <v>14</v>
      </c>
      <c r="D21" s="23">
        <v>4</v>
      </c>
      <c r="E21" s="23">
        <v>6</v>
      </c>
      <c r="F21" s="31">
        <f>(FoodTable[[#This Row],[LASTEN ANNOKSET]]*ChildrenTotal)+(FoodTable[[#This Row],[AIKUISTEN ANNOKSET]]*AdultTotal)</f>
        <v>236</v>
      </c>
      <c r="G21" s="74">
        <f>IFERROR(FoodTable[[#This Row],[KOKONAISKULUT]]/FoodTable[[#This Row],[ANNOKSET YHTEENSÄ]],"")</f>
        <v>5.9322033898305086E-2</v>
      </c>
      <c r="H21" s="74">
        <f>IFERROR(FoodTable[[#This Row],[KUSTANNUS ANNOSTA KOHDEN]]*FoodTable[[#This Row],[LASTEN ANNOKSET]],"")</f>
        <v>0.23728813559322035</v>
      </c>
      <c r="I21" s="74">
        <f>IFERROR(FoodTable[[#This Row],[KUSTANNUS ANNOSTA KOHDEN]]*FoodTable[[#This Row],[AIKUISTEN ANNOKSET]],"")</f>
        <v>0.3559322033898305</v>
      </c>
      <c r="J21" s="22" t="s">
        <v>52</v>
      </c>
    </row>
    <row r="22" spans="2:10" ht="41.25" customHeight="1" x14ac:dyDescent="0.25">
      <c r="B22" s="26" t="s">
        <v>70</v>
      </c>
      <c r="C22" s="74">
        <v>30</v>
      </c>
      <c r="D22" s="23">
        <v>4</v>
      </c>
      <c r="E22" s="23">
        <v>10</v>
      </c>
      <c r="F22" s="31">
        <f>(FoodTable[[#This Row],[LASTEN ANNOKSET]]*ChildrenTotal)+(FoodTable[[#This Row],[AIKUISTEN ANNOKSET]]*AdultTotal)</f>
        <v>340</v>
      </c>
      <c r="G22" s="74">
        <f>IFERROR(FoodTable[[#This Row],[KOKONAISKULUT]]/FoodTable[[#This Row],[ANNOKSET YHTEENSÄ]],"")</f>
        <v>8.8235294117647065E-2</v>
      </c>
      <c r="H22" s="74">
        <f>IFERROR(FoodTable[[#This Row],[KUSTANNUS ANNOSTA KOHDEN]]*FoodTable[[#This Row],[LASTEN ANNOKSET]],"")</f>
        <v>0.35294117647058826</v>
      </c>
      <c r="I22" s="74">
        <f>IFERROR(FoodTable[[#This Row],[KUSTANNUS ANNOSTA KOHDEN]]*FoodTable[[#This Row],[AIKUISTEN ANNOKSET]],"")</f>
        <v>0.88235294117647067</v>
      </c>
      <c r="J22" s="22" t="s">
        <v>53</v>
      </c>
    </row>
    <row r="23" spans="2:10" ht="18" customHeight="1" x14ac:dyDescent="0.25">
      <c r="B23" s="26" t="s">
        <v>71</v>
      </c>
      <c r="C23" s="74">
        <v>15</v>
      </c>
      <c r="D23" s="23">
        <v>5</v>
      </c>
      <c r="E23" s="23">
        <v>10</v>
      </c>
      <c r="F23" s="31">
        <f>(FoodTable[[#This Row],[LASTEN ANNOKSET]]*ChildrenTotal)+(FoodTable[[#This Row],[AIKUISTEN ANNOKSET]]*AdultTotal)</f>
        <v>360</v>
      </c>
      <c r="G23" s="74">
        <f>IFERROR(FoodTable[[#This Row],[KOKONAISKULUT]]/FoodTable[[#This Row],[ANNOKSET YHTEENSÄ]],"")</f>
        <v>4.1666666666666664E-2</v>
      </c>
      <c r="H23" s="74">
        <f>IFERROR(FoodTable[[#This Row],[KUSTANNUS ANNOSTA KOHDEN]]*FoodTable[[#This Row],[LASTEN ANNOKSET]],"")</f>
        <v>0.20833333333333331</v>
      </c>
      <c r="I23" s="74">
        <f>IFERROR(FoodTable[[#This Row],[KUSTANNUS ANNOSTA KOHDEN]]*FoodTable[[#This Row],[AIKUISTEN ANNOKSET]],"")</f>
        <v>0.41666666666666663</v>
      </c>
      <c r="J23" s="22" t="s">
        <v>54</v>
      </c>
    </row>
    <row r="24" spans="2:10" ht="18" customHeight="1" x14ac:dyDescent="0.25">
      <c r="B24" s="26" t="s">
        <v>72</v>
      </c>
      <c r="C24" s="74">
        <v>25</v>
      </c>
      <c r="D24" s="23">
        <v>5</v>
      </c>
      <c r="E24" s="23">
        <v>10</v>
      </c>
      <c r="F24" s="31">
        <f>(FoodTable[[#This Row],[LASTEN ANNOKSET]]*ChildrenTotal)+(FoodTable[[#This Row],[AIKUISTEN ANNOKSET]]*AdultTotal)</f>
        <v>360</v>
      </c>
      <c r="G24" s="74">
        <f>IFERROR(FoodTable[[#This Row],[KOKONAISKULUT]]/FoodTable[[#This Row],[ANNOKSET YHTEENSÄ]],"")</f>
        <v>6.9444444444444448E-2</v>
      </c>
      <c r="H24" s="74">
        <f>IFERROR(FoodTable[[#This Row],[KUSTANNUS ANNOSTA KOHDEN]]*FoodTable[[#This Row],[LASTEN ANNOKSET]],"")</f>
        <v>0.34722222222222221</v>
      </c>
      <c r="I24" s="74">
        <f>IFERROR(FoodTable[[#This Row],[KUSTANNUS ANNOSTA KOHDEN]]*FoodTable[[#This Row],[AIKUISTEN ANNOKSET]],"")</f>
        <v>0.69444444444444442</v>
      </c>
      <c r="J24" s="22" t="s">
        <v>55</v>
      </c>
    </row>
    <row r="25" spans="2:10" ht="18" customHeight="1" x14ac:dyDescent="0.25">
      <c r="B25" s="26" t="s">
        <v>15</v>
      </c>
      <c r="C25" s="75">
        <f>SUBTOTAL(109,FoodTable[KOKONAISKULUT])</f>
        <v>475</v>
      </c>
      <c r="D25" s="23">
        <f>SUBTOTAL(109,FoodTable[LASTEN ANNOKSET])</f>
        <v>34.5</v>
      </c>
      <c r="E25" s="23">
        <f>SUBTOTAL(109,FoodTable[AIKUISTEN ANNOKSET])</f>
        <v>65.5</v>
      </c>
      <c r="F25" s="23">
        <f>SUBTOTAL(109,FoodTable[ANNOKSET YHTEENSÄ])</f>
        <v>2393</v>
      </c>
      <c r="G25" s="75">
        <f>SUBTOTAL(109,FoodTable[KUSTANNUS ANNOSTA KOHDEN])</f>
        <v>6.915706603622084</v>
      </c>
      <c r="H25" s="75">
        <f>SUBTOTAL(109,FoodTable[KUSTANNUS LASTA KOHDEN])</f>
        <v>7.2528841906569532</v>
      </c>
      <c r="I25" s="75">
        <f>SUBTOTAL(109,FoodTable[KUSTANNUS AIKUISTA KOHDEN])</f>
        <v>12.690089084110037</v>
      </c>
      <c r="J25" s="26"/>
    </row>
  </sheetData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7"/>
      <c r="B2" s="57"/>
      <c r="C2" s="57"/>
      <c r="D2" s="57"/>
      <c r="E2" s="57"/>
      <c r="F2" s="57"/>
    </row>
    <row r="3" spans="1:6" ht="53.25" customHeight="1" x14ac:dyDescent="0.25">
      <c r="A3" s="53"/>
      <c r="B3" s="56" t="s">
        <v>4</v>
      </c>
      <c r="C3" s="53"/>
      <c r="D3" s="53"/>
      <c r="E3" s="53"/>
      <c r="F3" s="53"/>
    </row>
    <row r="4" spans="1:6" ht="14.25" customHeight="1" x14ac:dyDescent="0.7">
      <c r="A4" s="57"/>
      <c r="B4" s="66"/>
      <c r="C4" s="57"/>
      <c r="D4" s="57"/>
      <c r="E4" s="57"/>
      <c r="F4" s="57"/>
    </row>
    <row r="5" spans="1:6" ht="33" customHeight="1" x14ac:dyDescent="0.25"/>
    <row r="6" spans="1:6" ht="18" customHeight="1" x14ac:dyDescent="0.25">
      <c r="B6" s="26" t="s">
        <v>5</v>
      </c>
      <c r="C6" s="23" t="s">
        <v>6</v>
      </c>
      <c r="D6" s="23" t="s">
        <v>7</v>
      </c>
      <c r="E6" s="30" t="s">
        <v>3</v>
      </c>
    </row>
    <row r="7" spans="1:6" ht="18" customHeight="1" x14ac:dyDescent="0.25">
      <c r="B7" s="26" t="s">
        <v>8</v>
      </c>
      <c r="C7" s="73">
        <v>250</v>
      </c>
      <c r="D7" s="23" t="s">
        <v>30</v>
      </c>
      <c r="E7" s="26"/>
    </row>
    <row r="8" spans="1:6" ht="18" customHeight="1" x14ac:dyDescent="0.25">
      <c r="B8" s="26" t="s">
        <v>9</v>
      </c>
      <c r="C8" s="73">
        <v>30</v>
      </c>
      <c r="D8" s="23" t="s">
        <v>30</v>
      </c>
      <c r="E8" s="26" t="s">
        <v>16</v>
      </c>
    </row>
    <row r="9" spans="1:6" ht="18" customHeight="1" x14ac:dyDescent="0.25">
      <c r="B9" s="26" t="s">
        <v>10</v>
      </c>
      <c r="C9" s="73">
        <v>0</v>
      </c>
      <c r="D9" s="23"/>
      <c r="E9" s="26" t="s">
        <v>17</v>
      </c>
    </row>
    <row r="10" spans="1:6" ht="18" customHeight="1" x14ac:dyDescent="0.25">
      <c r="B10" s="26" t="s">
        <v>11</v>
      </c>
      <c r="C10" s="73">
        <v>25</v>
      </c>
      <c r="D10" s="23"/>
      <c r="E10" s="26"/>
    </row>
    <row r="11" spans="1:6" ht="18" customHeight="1" x14ac:dyDescent="0.25">
      <c r="B11" s="26" t="s">
        <v>12</v>
      </c>
      <c r="C11" s="73">
        <v>20</v>
      </c>
      <c r="D11" s="23"/>
      <c r="E11" s="26" t="s">
        <v>16</v>
      </c>
    </row>
    <row r="12" spans="1:6" ht="18" customHeight="1" x14ac:dyDescent="0.25">
      <c r="B12" s="26" t="s">
        <v>13</v>
      </c>
      <c r="C12" s="73">
        <v>50</v>
      </c>
      <c r="D12" s="23"/>
      <c r="E12" s="26" t="s">
        <v>16</v>
      </c>
    </row>
    <row r="13" spans="1:6" ht="18" customHeight="1" x14ac:dyDescent="0.25">
      <c r="B13" s="26" t="s">
        <v>14</v>
      </c>
      <c r="C13" s="73">
        <v>25</v>
      </c>
      <c r="D13" s="23"/>
      <c r="E13" s="26" t="s">
        <v>16</v>
      </c>
    </row>
    <row r="14" spans="1:6" ht="18" customHeight="1" x14ac:dyDescent="0.25">
      <c r="B14" s="26" t="s">
        <v>15</v>
      </c>
      <c r="C14" s="73">
        <f>SUBTOTAL(109,Table1Budget[Kustannus])</f>
        <v>400</v>
      </c>
      <c r="D14" s="23"/>
      <c r="E14" s="26"/>
    </row>
    <row r="15" spans="1:6" ht="18" customHeight="1" x14ac:dyDescent="0.25">
      <c r="B15" s="84"/>
      <c r="C15" s="84"/>
      <c r="D15" s="84"/>
      <c r="E15" s="84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18</v>
      </c>
      <c r="C17" s="23" t="s">
        <v>6</v>
      </c>
      <c r="D17" s="23" t="s">
        <v>7</v>
      </c>
      <c r="E17" s="26" t="s">
        <v>3</v>
      </c>
    </row>
    <row r="18" spans="2:5" ht="18" customHeight="1" x14ac:dyDescent="0.25">
      <c r="B18" s="26" t="s">
        <v>19</v>
      </c>
      <c r="C18" s="73">
        <v>25</v>
      </c>
      <c r="D18" s="23"/>
      <c r="E18" s="26"/>
    </row>
    <row r="19" spans="2:5" ht="18" customHeight="1" x14ac:dyDescent="0.25">
      <c r="B19" s="26" t="s">
        <v>20</v>
      </c>
      <c r="C19" s="73">
        <v>50</v>
      </c>
      <c r="D19" s="23"/>
      <c r="E19" s="26" t="s">
        <v>16</v>
      </c>
    </row>
    <row r="20" spans="2:5" ht="18" customHeight="1" x14ac:dyDescent="0.25">
      <c r="B20" s="26" t="s">
        <v>21</v>
      </c>
      <c r="C20" s="73">
        <v>100</v>
      </c>
      <c r="D20" s="23" t="s">
        <v>30</v>
      </c>
      <c r="E20" s="26" t="s">
        <v>23</v>
      </c>
    </row>
    <row r="21" spans="2:5" ht="18" customHeight="1" x14ac:dyDescent="0.25">
      <c r="B21" s="26" t="s">
        <v>22</v>
      </c>
      <c r="C21" s="73">
        <v>0</v>
      </c>
      <c r="D21" s="23"/>
      <c r="E21" s="26" t="s">
        <v>24</v>
      </c>
    </row>
    <row r="22" spans="2:5" ht="18" customHeight="1" x14ac:dyDescent="0.25">
      <c r="B22" s="26" t="s">
        <v>15</v>
      </c>
      <c r="C22" s="73">
        <f>SUBTOTAL(109,Table2Budget[Kustannus])</f>
        <v>175</v>
      </c>
      <c r="D22" s="23"/>
      <c r="E22" s="26"/>
    </row>
    <row r="23" spans="2:5" ht="18" customHeight="1" x14ac:dyDescent="0.25">
      <c r="B23" s="84"/>
      <c r="C23" s="84"/>
      <c r="D23" s="84"/>
      <c r="E23" s="84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208</v>
      </c>
      <c r="C25" s="23" t="s">
        <v>6</v>
      </c>
      <c r="D25" s="23" t="s">
        <v>7</v>
      </c>
      <c r="E25" s="26" t="s">
        <v>3</v>
      </c>
    </row>
    <row r="26" spans="2:5" ht="18" customHeight="1" x14ac:dyDescent="0.25">
      <c r="B26" s="26" t="s">
        <v>25</v>
      </c>
      <c r="C26" s="73">
        <v>50</v>
      </c>
      <c r="D26" s="23" t="s">
        <v>30</v>
      </c>
      <c r="E26" s="26"/>
    </row>
    <row r="27" spans="2:5" ht="18" customHeight="1" x14ac:dyDescent="0.25">
      <c r="B27" s="26" t="s">
        <v>26</v>
      </c>
      <c r="C27" s="73">
        <v>60</v>
      </c>
      <c r="D27" s="23" t="s">
        <v>30</v>
      </c>
      <c r="E27" s="26"/>
    </row>
    <row r="28" spans="2:5" ht="18" customHeight="1" x14ac:dyDescent="0.25">
      <c r="B28" s="26" t="s">
        <v>27</v>
      </c>
      <c r="C28" s="73">
        <v>125</v>
      </c>
      <c r="D28" s="23"/>
      <c r="E28" s="26" t="s">
        <v>29</v>
      </c>
    </row>
    <row r="29" spans="2:5" ht="18" customHeight="1" x14ac:dyDescent="0.25">
      <c r="B29" s="26" t="s">
        <v>28</v>
      </c>
      <c r="C29" s="73">
        <v>50</v>
      </c>
      <c r="D29" s="23"/>
      <c r="E29" s="26"/>
    </row>
    <row r="30" spans="2:5" ht="18" customHeight="1" x14ac:dyDescent="0.25">
      <c r="B30" s="26" t="s">
        <v>15</v>
      </c>
      <c r="C30" s="73">
        <f>SUBTOTAL(109,Table3Budget[Kustannus])</f>
        <v>285</v>
      </c>
      <c r="D30" s="32"/>
      <c r="E30" s="26"/>
    </row>
  </sheetData>
  <mergeCells count="2">
    <mergeCell ref="B23:E23"/>
    <mergeCell ref="B15:E15"/>
  </mergeCells>
  <dataValidations count="1">
    <dataValidation type="list" allowBlank="1" sqref="D7:D13 D18:D21 D26:D29">
      <formula1>"Kyllä,Ei"</formula1>
    </dataValidation>
  </dataValidations>
  <printOptions horizontalCentered="1"/>
  <pageMargins left="0.25" right="0.25" top="0.75" bottom="0.75" header="0.3" footer="0.3"/>
  <pageSetup scale="93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19" width="2.75" style="4" customWidth="1"/>
    <col min="20" max="32" width="3.125" style="4" customWidth="1"/>
    <col min="33" max="33" width="3.125" style="5" customWidth="1"/>
    <col min="34" max="34" width="3.125" style="4" customWidth="1"/>
    <col min="35" max="35" width="9.25" style="4" customWidth="1"/>
    <col min="36" max="16384" width="9.25" style="4"/>
  </cols>
  <sheetData>
    <row r="1" spans="1:35" ht="57" customHeight="1" x14ac:dyDescent="0.2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5"/>
      <c r="B2" s="45"/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5" ht="15" customHeight="1" x14ac:dyDescent="0.2">
      <c r="A3" s="45"/>
      <c r="B3" s="45"/>
      <c r="C3" s="45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5" ht="15" customHeight="1" x14ac:dyDescent="0.2">
      <c r="A4" s="45"/>
      <c r="B4" s="45"/>
      <c r="C4" s="45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35" ht="15" customHeight="1" x14ac:dyDescent="0.2">
      <c r="A5" s="45"/>
      <c r="B5" s="45"/>
      <c r="C5" s="45"/>
      <c r="D5" s="4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35" ht="15" customHeight="1" x14ac:dyDescent="0.2">
      <c r="A6" s="45"/>
      <c r="B6" s="45"/>
      <c r="C6" s="45"/>
      <c r="D6" s="4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5" ht="15" customHeight="1" x14ac:dyDescent="0.2">
      <c r="A7" s="45"/>
      <c r="B7" s="45"/>
      <c r="C7" s="45"/>
      <c r="D7" s="4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5" ht="15" customHeight="1" x14ac:dyDescent="0.2">
      <c r="A8" s="45"/>
      <c r="B8" s="45"/>
      <c r="C8" s="45"/>
      <c r="D8" s="46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5" ht="15" customHeight="1" x14ac:dyDescent="0.2">
      <c r="A9" s="45"/>
      <c r="B9" s="45"/>
      <c r="C9" s="45"/>
      <c r="D9" s="46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5" ht="15" customHeight="1" x14ac:dyDescent="0.2">
      <c r="A10" s="45"/>
      <c r="B10" s="45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5" ht="15" customHeight="1" x14ac:dyDescent="0.2">
      <c r="A11" s="45"/>
      <c r="B11" s="45"/>
      <c r="C11" s="45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/>
    </row>
    <row r="12" spans="1:35" ht="15" customHeight="1" x14ac:dyDescent="0.2">
      <c r="A12" s="45"/>
      <c r="B12" s="45"/>
      <c r="C12" s="45"/>
      <c r="D12" s="4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5" ht="15" customHeight="1" x14ac:dyDescent="0.2">
      <c r="A13" s="45"/>
      <c r="B13" s="45"/>
      <c r="C13" s="45"/>
      <c r="D13" s="4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5" ht="15" customHeight="1" x14ac:dyDescent="0.2">
      <c r="A14" s="45"/>
      <c r="B14" s="45"/>
      <c r="C14" s="45"/>
      <c r="D14" s="4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5" ht="15" customHeight="1" x14ac:dyDescent="0.2">
      <c r="A15" s="45"/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5" ht="15" customHeight="1" x14ac:dyDescent="0.2">
      <c r="A16" s="45"/>
      <c r="B16" s="45"/>
      <c r="C16" s="45"/>
      <c r="D16" s="4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5" customHeight="1" x14ac:dyDescent="0.2">
      <c r="A17" s="45"/>
      <c r="B17" s="45"/>
      <c r="C17" s="45"/>
      <c r="D17" s="4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5" customHeight="1" x14ac:dyDescent="0.2">
      <c r="A18" s="45"/>
      <c r="B18" s="45"/>
      <c r="C18" s="45"/>
      <c r="D18" s="4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5" customHeight="1" x14ac:dyDescent="0.2">
      <c r="A19" s="45"/>
      <c r="B19" s="45"/>
      <c r="C19" s="45"/>
      <c r="D19" s="46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5" customHeight="1" x14ac:dyDescent="0.2">
      <c r="A20" s="45"/>
      <c r="B20" s="45"/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5" customHeight="1" x14ac:dyDescent="0.2">
      <c r="A21" s="45"/>
      <c r="B21" s="45"/>
      <c r="C21" s="45"/>
      <c r="D21" s="4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5" customHeight="1" x14ac:dyDescent="0.2">
      <c r="A22" s="45"/>
      <c r="B22" s="45"/>
      <c r="C22" s="45"/>
      <c r="D22" s="4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5" customHeight="1" x14ac:dyDescent="0.2">
      <c r="A23" s="45"/>
      <c r="B23" s="45"/>
      <c r="C23" s="45"/>
      <c r="D23" s="4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5" customHeight="1" x14ac:dyDescent="0.2">
      <c r="A24" s="45"/>
      <c r="B24" s="45"/>
      <c r="C24" s="45"/>
      <c r="D24" s="4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5" customHeight="1" x14ac:dyDescent="0.2">
      <c r="A25" s="45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5" customHeight="1" x14ac:dyDescent="0.2">
      <c r="A26" s="45"/>
      <c r="B26" s="45"/>
      <c r="C26" s="45"/>
      <c r="D26" s="4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5" customHeight="1" x14ac:dyDescent="0.2">
      <c r="A27" s="45"/>
      <c r="B27" s="45"/>
      <c r="C27" s="45"/>
      <c r="D27" s="4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5" customHeight="1" x14ac:dyDescent="0.2">
      <c r="A28" s="45"/>
      <c r="B28" s="45"/>
      <c r="C28" s="45"/>
      <c r="D28" s="4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5" customHeight="1" x14ac:dyDescent="0.2">
      <c r="A29" s="45"/>
      <c r="B29" s="45"/>
      <c r="C29" s="45"/>
      <c r="D29" s="4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5" customHeight="1" x14ac:dyDescent="0.2">
      <c r="A30" s="45"/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5" customHeight="1" x14ac:dyDescent="0.2">
      <c r="A31" s="45"/>
      <c r="B31" s="45"/>
      <c r="C31" s="45"/>
      <c r="D31" s="4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5" customHeight="1" x14ac:dyDescent="0.2">
      <c r="A32" s="45"/>
      <c r="B32" s="45"/>
      <c r="C32" s="45"/>
      <c r="D32" s="4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5" customHeight="1" x14ac:dyDescent="0.2">
      <c r="A33" s="45"/>
      <c r="B33" s="45"/>
      <c r="C33" s="45"/>
      <c r="D33" s="4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5" customHeight="1" x14ac:dyDescent="0.2">
      <c r="A34" s="45"/>
      <c r="B34" s="45"/>
      <c r="C34" s="45"/>
      <c r="D34" s="4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customFormat="1" ht="24" customHeight="1" x14ac:dyDescent="0.25">
      <c r="AH35" s="47" t="s">
        <v>2</v>
      </c>
    </row>
    <row r="36" spans="1:34" ht="18.75" customHeight="1" x14ac:dyDescent="0.2">
      <c r="A36" s="85" t="s">
        <v>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0"/>
      <c r="T36" s="86" t="str">
        <f>"Vieraita vahvistettu yhteensä:  "&amp;ConfirmedGuests</f>
        <v>Vieraita vahvistettu yhteensä:  46</v>
      </c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8"/>
    </row>
    <row r="37" spans="1:34" ht="18" customHeight="1" x14ac:dyDescent="0.2">
      <c r="A37" s="33"/>
      <c r="B37" s="33"/>
      <c r="C37" s="34"/>
      <c r="D37" s="34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"/>
      <c r="T37" s="37" t="s">
        <v>73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8"/>
    </row>
    <row r="38" spans="1:34" ht="18" customHeight="1" x14ac:dyDescent="0.2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"/>
      <c r="T38" s="39"/>
      <c r="U38" s="8" t="str">
        <f>ROUNDUP(ConfirmedGuests/6,0)&amp;" pyöreää 1,4 metrin pöytää (6 paikkaa)"</f>
        <v>8 pyöreää 1,4 metrin pöytää (6 paikkaa)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8"/>
    </row>
    <row r="39" spans="1:34" customFormat="1" ht="18" customHeight="1" x14ac:dyDescent="0.2">
      <c r="A39" s="35"/>
      <c r="B39" s="35"/>
      <c r="C39" s="36"/>
      <c r="D39" s="36"/>
      <c r="E39" s="36"/>
      <c r="F39" s="36"/>
      <c r="G39" s="36"/>
      <c r="H39" s="36"/>
      <c r="I39" s="36"/>
      <c r="J39" s="35"/>
      <c r="K39" s="36"/>
      <c r="L39" s="36"/>
      <c r="M39" s="35"/>
      <c r="N39" s="36"/>
      <c r="O39" s="36"/>
      <c r="P39" s="36"/>
      <c r="Q39" s="36"/>
      <c r="R39" s="36"/>
      <c r="S39" s="1"/>
      <c r="T39" s="39"/>
      <c r="U39" s="8" t="str">
        <f>ROUNDUP(ConfirmedGuests/8,0) &amp;" pyöreää 1,6 metrin pöytää (8 paikkaa)"</f>
        <v>6 pyöreää 1,6 metrin pöytää (8 paikkaa)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40"/>
    </row>
    <row r="40" spans="1:34" customFormat="1" ht="18" customHeight="1" x14ac:dyDescent="0.2">
      <c r="A40" s="35"/>
      <c r="B40" s="35"/>
      <c r="C40" s="36"/>
      <c r="D40" s="36"/>
      <c r="E40" s="36"/>
      <c r="F40" s="36"/>
      <c r="G40" s="36"/>
      <c r="H40" s="36"/>
      <c r="I40" s="36"/>
      <c r="J40" s="35"/>
      <c r="K40" s="36"/>
      <c r="L40" s="36"/>
      <c r="M40" s="35"/>
      <c r="N40" s="36"/>
      <c r="O40" s="36"/>
      <c r="P40" s="36"/>
      <c r="Q40" s="36"/>
      <c r="R40" s="36"/>
      <c r="S40" s="1"/>
      <c r="T40" s="39"/>
      <c r="U40" s="8" t="str">
        <f>ROUNDUP(ConfirmedGuests/10,0)&amp;"pyöreää 1,8 metrin pöytää (10 paikkaa)"</f>
        <v>5pyöreää 1,8 metrin pöytää (10 paikkaa)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40"/>
    </row>
    <row r="41" spans="1:34" ht="18" customHeight="1" x14ac:dyDescent="0.2">
      <c r="A41" s="35"/>
      <c r="B41" s="35"/>
      <c r="C41" s="35"/>
      <c r="D41" s="36"/>
      <c r="E41" s="36"/>
      <c r="F41" s="36"/>
      <c r="G41" s="36"/>
      <c r="H41" s="36"/>
      <c r="I41" s="36"/>
      <c r="J41" s="35"/>
      <c r="K41" s="36"/>
      <c r="L41" s="36"/>
      <c r="M41" s="35"/>
      <c r="N41" s="36"/>
      <c r="O41" s="36"/>
      <c r="P41" s="36"/>
      <c r="Q41" s="36"/>
      <c r="R41" s="36"/>
      <c r="S41" s="1"/>
      <c r="T41" s="39"/>
      <c r="U41" s="8" t="str">
        <f>ROUNDUP(ConfirmedGuests/6,0)&amp; " suorakaiteen muotoista 80 x 180 cm:n pöytää (6 paikkaa)"</f>
        <v>8 suorakaiteen muotoista 80 x 180 cm:n pöytää (6 paikkaa)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8"/>
    </row>
    <row r="42" spans="1:34" ht="18" customHeight="1" x14ac:dyDescent="0.2">
      <c r="A42" s="35"/>
      <c r="B42" s="35"/>
      <c r="C42" s="35"/>
      <c r="D42" s="36"/>
      <c r="E42" s="36"/>
      <c r="F42" s="36"/>
      <c r="G42" s="36"/>
      <c r="H42" s="36"/>
      <c r="I42" s="36"/>
      <c r="J42" s="35"/>
      <c r="K42" s="36"/>
      <c r="L42" s="36"/>
      <c r="M42" s="35"/>
      <c r="N42" s="36"/>
      <c r="O42" s="36"/>
      <c r="P42" s="36"/>
      <c r="Q42" s="36"/>
      <c r="R42" s="36"/>
      <c r="S42" s="6"/>
      <c r="T42" s="41"/>
      <c r="U42" s="8" t="str">
        <f>ROUNDUP(ConfirmedGuests/8,0)&amp;" suorakaiteen muotoista 80 x 250 cm:n pöytää (8 paikkaa)"</f>
        <v>6 suorakaiteen muotoista 80 x 250 cm:n pöytää (8 paikkaa)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8"/>
    </row>
    <row r="43" spans="1:34" ht="18" customHeight="1" x14ac:dyDescent="0.2">
      <c r="A43" s="35"/>
      <c r="B43" s="35"/>
      <c r="C43" s="35"/>
      <c r="D43" s="36"/>
      <c r="E43" s="36"/>
      <c r="F43" s="36"/>
      <c r="G43" s="36"/>
      <c r="H43" s="36"/>
      <c r="I43" s="36"/>
      <c r="J43" s="35"/>
      <c r="K43" s="36"/>
      <c r="L43" s="36"/>
      <c r="M43" s="35"/>
      <c r="N43" s="36"/>
      <c r="O43" s="36"/>
      <c r="P43" s="36"/>
      <c r="Q43" s="36"/>
      <c r="R43" s="36"/>
      <c r="S43" s="6"/>
      <c r="T43" s="72" t="s">
        <v>74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44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854868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2012-08-30T21:29:00+00:00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406984</Value>
    </PublishStatusLookup>
    <APAuthor xmlns="fed321ae-6156-42a7-960a-52334cae8eeb">
      <UserInfo>
        <DisplayName>REDMOND\matthos</DisplayName>
        <AccountId>59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TP103427563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DC1C059-6ABC-4AF2-809D-6AF53E5B35E0}"/>
</file>

<file path=customXml/itemProps2.xml><?xml version="1.0" encoding="utf-8"?>
<ds:datastoreItem xmlns:ds="http://schemas.openxmlformats.org/officeDocument/2006/customXml" ds:itemID="{FA3FDFCB-68B2-443B-B74D-45995B5AB487}"/>
</file>

<file path=customXml/itemProps3.xml><?xml version="1.0" encoding="utf-8"?>
<ds:datastoreItem xmlns:ds="http://schemas.openxmlformats.org/officeDocument/2006/customXml" ds:itemID="{94C9E900-E951-4E67-A753-F1A8AD2CD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7</vt:i4>
      </vt:variant>
    </vt:vector>
  </HeadingPairs>
  <TitlesOfParts>
    <vt:vector size="12" baseType="lpstr">
      <vt:lpstr>Juhlien yleiskatsaus</vt:lpstr>
      <vt:lpstr>Vierasluettelo</vt:lpstr>
      <vt:lpstr>Ruoka ja juoma</vt:lpstr>
      <vt:lpstr>Muut ostokset</vt:lpstr>
      <vt:lpstr>Istumajärjestys-ruudukko</vt:lpstr>
      <vt:lpstr>AdultTotal</vt:lpstr>
      <vt:lpstr>ChildrenTotal</vt:lpstr>
      <vt:lpstr>ConfirmedGuests</vt:lpstr>
      <vt:lpstr>Table1Header</vt:lpstr>
      <vt:lpstr>Table2Header</vt:lpstr>
      <vt:lpstr>Table3Header</vt:lpstr>
      <vt:lpstr>'Istumajärjestys-ruudukko'!Tulostusalue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Kanokwan Ngasuwan</cp:lastModifiedBy>
  <dcterms:created xsi:type="dcterms:W3CDTF">2012-08-28T21:36:07Z</dcterms:created>
  <dcterms:modified xsi:type="dcterms:W3CDTF">2012-12-20T10:57:02Z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