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16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C2A2A9B4-096B-49DE-9EB7-27614E2E7A16}" xr6:coauthVersionLast="43" xr6:coauthVersionMax="43" xr10:uidLastSave="{00000000-0000-0000-0000-000000000000}"/>
  <bookViews>
    <workbookView xWindow="-120" yWindow="-120" windowWidth="28950" windowHeight="14415" tabRatio="686" xr2:uid="{00000000-000D-0000-FFFF-FFFF00000000}"/>
  </bookViews>
  <sheets>
    <sheet name="Януари" sheetId="4" r:id="rId1"/>
    <sheet name="Февруари" sheetId="5" r:id="rId2"/>
    <sheet name="Март" sheetId="17" r:id="rId3"/>
    <sheet name="Април" sheetId="18" r:id="rId4"/>
    <sheet name="Май" sheetId="19" r:id="rId5"/>
    <sheet name="Юни" sheetId="20" r:id="rId6"/>
    <sheet name="Юли" sheetId="21" r:id="rId7"/>
    <sheet name="Август" sheetId="22" r:id="rId8"/>
    <sheet name="Септември" sheetId="23" r:id="rId9"/>
    <sheet name="Октомври" sheetId="24" r:id="rId10"/>
    <sheet name="Ноември" sheetId="25" r:id="rId11"/>
    <sheet name="Декември" sheetId="15" r:id="rId12"/>
    <sheet name="Имена на служителите" sheetId="16" r:id="rId13"/>
  </sheets>
  <definedNames>
    <definedName name="ЕтикетКлючБолест">Януари!$L$2</definedName>
    <definedName name="ЕтикетКлючЛични">Януари!$H$2</definedName>
    <definedName name="ЕтикетКлючОтпуск">Януари!$D$2</definedName>
    <definedName name="ЕтикетНаКлючПоИзбор1">Януари!$O$2</definedName>
    <definedName name="ЕтикетНаКлючПоИзбор2">Януари!$S$2</definedName>
    <definedName name="Заглавие_отсъствия_служители">Януари!$B$1</definedName>
    <definedName name="Заглавие1">Януари[[#Headers],[Име на служител]]</definedName>
    <definedName name="Заглавие10">Октомври[[#Headers],[Име на служител]]</definedName>
    <definedName name="Заглавие11">Ноември[[#Headers],[Име на служител]]</definedName>
    <definedName name="Заглавие12">Декември[[#Headers],[Име на служител]]</definedName>
    <definedName name="Заглавие2">Февруари[[#Headers],[Име на служител]]</definedName>
    <definedName name="Заглавие3">Март[[#Headers],[Име на служител]]</definedName>
    <definedName name="Заглавие4">Април[[#Headers],[Име на служител]]</definedName>
    <definedName name="Заглавие5">Май[[#Headers],[Име на служител]]</definedName>
    <definedName name="Заглавие6">Юни[[#Headers],[Име на служител]]</definedName>
    <definedName name="Заглавие7">Юли[[#Headers],[Име на служител]]</definedName>
    <definedName name="Заглавие8">Август[[#Headers],[Име на служител]]</definedName>
    <definedName name="Заглавие9">Септември[[#Headers],[Име на служител]]</definedName>
    <definedName name="ЗаглавиеКолона13">ИмеНаСлужителя[[#Headers],[Имена на служителите]]</definedName>
    <definedName name="Име_ключ">Януари!$B$2</definedName>
    <definedName name="ИмеМесец" localSheetId="7">Август!$B$4</definedName>
    <definedName name="ИмеМесец" localSheetId="3">Април!$B$4</definedName>
    <definedName name="ИмеМесец" localSheetId="11">Декември!$B$4</definedName>
    <definedName name="ИмеМесец" localSheetId="4">Май!$B$4</definedName>
    <definedName name="ИмеМесец" localSheetId="2">Март!$B$4</definedName>
    <definedName name="ИмеМесец" localSheetId="10">Ноември!$B$4</definedName>
    <definedName name="ИмеМесец" localSheetId="9">Октомври!$B$4</definedName>
    <definedName name="ИмеМесец" localSheetId="8">Септември!$B$4</definedName>
    <definedName name="ИмеМесец" localSheetId="1">Февруари!$B$4</definedName>
    <definedName name="ИмеМесец" localSheetId="6">Юли!$B$4</definedName>
    <definedName name="ИмеМесец" localSheetId="5">Юни!$B$4</definedName>
    <definedName name="ИмеМесец" localSheetId="0">Януари!$B$4</definedName>
    <definedName name="КалендарнаГодина">Януари!$AH$4</definedName>
    <definedName name="КлючБолест">Януари!$K$2</definedName>
    <definedName name="КлючЛични">Януари!$G$2</definedName>
    <definedName name="КлючОтпуск">Януари!$C$2</definedName>
    <definedName name="КлючПоИзбор1">Януари!$N$2</definedName>
    <definedName name="КлючПоИзбор2">Януари!$R$2</definedName>
    <definedName name="_xlnm.Print_Titles" localSheetId="7">Август!$4:$6</definedName>
    <definedName name="_xlnm.Print_Titles" localSheetId="3">Април!$4:$6</definedName>
    <definedName name="_xlnm.Print_Titles" localSheetId="11">Декември!$4:$6</definedName>
    <definedName name="_xlnm.Print_Titles" localSheetId="4">Май!$4:$6</definedName>
    <definedName name="_xlnm.Print_Titles" localSheetId="2">Март!$4:$6</definedName>
    <definedName name="_xlnm.Print_Titles" localSheetId="10">Ноември!$4:$6</definedName>
    <definedName name="_xlnm.Print_Titles" localSheetId="9">Октомври!$4:$6</definedName>
    <definedName name="_xlnm.Print_Titles" localSheetId="8">Септември!$4:$6</definedName>
    <definedName name="_xlnm.Print_Titles" localSheetId="1">Февруари!$4:$6</definedName>
    <definedName name="_xlnm.Print_Titles" localSheetId="6">Юли!$4:$6</definedName>
    <definedName name="_xlnm.Print_Titles" localSheetId="5">Юни!$4:$6</definedName>
    <definedName name="_xlnm.Print_Titles" localSheetId="0">Януари!$4:$6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5" l="1"/>
  <c r="B12" i="25"/>
  <c r="B12" i="24"/>
  <c r="B12" i="23"/>
  <c r="B12" i="22"/>
  <c r="B12" i="21"/>
  <c r="B12" i="20"/>
  <c r="B12" i="19"/>
  <c r="B12" i="18"/>
  <c r="B12" i="17"/>
  <c r="B12" i="5"/>
  <c r="B12" i="4"/>
  <c r="AH7" i="25" l="1"/>
  <c r="AH8" i="25"/>
  <c r="AH9" i="25"/>
  <c r="AH10" i="25"/>
  <c r="AH11" i="25"/>
  <c r="AH7" i="23"/>
  <c r="AH8" i="23"/>
  <c r="AH9" i="23"/>
  <c r="AH10" i="23"/>
  <c r="AH11" i="23"/>
  <c r="AH7" i="20"/>
  <c r="AH8" i="20"/>
  <c r="AH9" i="20"/>
  <c r="AH10" i="20"/>
  <c r="AH11" i="20"/>
  <c r="AH7" i="18"/>
  <c r="AH8" i="18"/>
  <c r="AH9" i="18"/>
  <c r="AH10" i="18"/>
  <c r="AH11" i="18"/>
  <c r="AD12" i="15"/>
  <c r="AE12" i="15"/>
  <c r="AF12" i="15"/>
  <c r="AG12" i="15"/>
  <c r="AE12" i="25"/>
  <c r="AF12" i="25"/>
  <c r="AG12" i="25"/>
  <c r="AE12" i="24"/>
  <c r="AF12" i="24"/>
  <c r="AG12" i="24"/>
  <c r="AE12" i="23"/>
  <c r="AF12" i="23"/>
  <c r="AG12" i="23"/>
  <c r="AF12" i="22"/>
  <c r="AG12" i="22"/>
  <c r="AF12" i="21"/>
  <c r="AG12" i="21"/>
  <c r="AF12" i="20"/>
  <c r="AG12" i="20"/>
  <c r="AF12" i="19"/>
  <c r="AG12" i="19"/>
  <c r="AG12" i="18"/>
  <c r="AF12" i="18"/>
  <c r="AF12" i="17"/>
  <c r="AG12" i="17"/>
  <c r="AH9" i="4" l="1"/>
  <c r="AH10" i="4"/>
  <c r="AF5" i="25" l="1"/>
  <c r="AE5" i="25"/>
  <c r="AD5" i="25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AD12" i="25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AH4" i="25"/>
  <c r="B1" i="25"/>
  <c r="AG5" i="24"/>
  <c r="AF5" i="24"/>
  <c r="AE5" i="24"/>
  <c r="AD5" i="24"/>
  <c r="AC5" i="24"/>
  <c r="AB5" i="24"/>
  <c r="AA5" i="24"/>
  <c r="Z5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AD12" i="24"/>
  <c r="AC12" i="24"/>
  <c r="AB12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AH11" i="24"/>
  <c r="AH10" i="24"/>
  <c r="AH9" i="24"/>
  <c r="AH8" i="24"/>
  <c r="AH7" i="24"/>
  <c r="AH4" i="24"/>
  <c r="B1" i="24"/>
  <c r="AF5" i="23"/>
  <c r="AE5" i="23"/>
  <c r="AD5" i="23"/>
  <c r="AC5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AH12" i="23"/>
  <c r="AH4" i="23"/>
  <c r="B1" i="23"/>
  <c r="AG5" i="22"/>
  <c r="AF5" i="22"/>
  <c r="AE5" i="22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AH11" i="22"/>
  <c r="AH10" i="22"/>
  <c r="AH9" i="22"/>
  <c r="AH8" i="22"/>
  <c r="AH7" i="22"/>
  <c r="AH4" i="22"/>
  <c r="B1" i="22"/>
  <c r="AG5" i="21"/>
  <c r="AF5" i="21"/>
  <c r="AE5" i="21"/>
  <c r="AD5" i="21"/>
  <c r="AC5" i="21"/>
  <c r="AB5" i="2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AH11" i="21"/>
  <c r="AH10" i="21"/>
  <c r="AH9" i="21"/>
  <c r="AH8" i="21"/>
  <c r="AH7" i="21"/>
  <c r="AH4" i="21"/>
  <c r="B1" i="21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AH4" i="20"/>
  <c r="B1" i="20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AH11" i="19"/>
  <c r="AH10" i="19"/>
  <c r="AH9" i="19"/>
  <c r="AH8" i="19"/>
  <c r="AH7" i="19"/>
  <c r="AH4" i="19"/>
  <c r="B1" i="19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AH12" i="18"/>
  <c r="AH4" i="18"/>
  <c r="B1" i="18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AH11" i="17"/>
  <c r="AH10" i="17"/>
  <c r="AH9" i="17"/>
  <c r="AH8" i="17"/>
  <c r="AH7" i="17"/>
  <c r="AH4" i="17"/>
  <c r="B1" i="17"/>
  <c r="B1" i="15"/>
  <c r="B1" i="5"/>
  <c r="AH12" i="21" l="1"/>
  <c r="AH12" i="17"/>
  <c r="AH12" i="22"/>
  <c r="AH12" i="25"/>
  <c r="AH12" i="20"/>
  <c r="AH12" i="19"/>
  <c r="AH12" i="24"/>
  <c r="AB5" i="5"/>
  <c r="AH4" i="5" l="1"/>
  <c r="AH4" i="15" l="1"/>
  <c r="C12" i="4" l="1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7" i="15" l="1"/>
  <c r="AH8" i="15"/>
  <c r="AH9" i="15"/>
  <c r="AH10" i="15"/>
  <c r="AH11" i="15"/>
  <c r="AH12" i="15" l="1"/>
  <c r="C12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A12" i="15"/>
  <c r="AB12" i="15"/>
  <c r="AC12" i="15"/>
  <c r="AG5" i="15" l="1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AH11" i="5" l="1"/>
  <c r="AH10" i="5"/>
  <c r="AH9" i="5"/>
  <c r="AH11" i="4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AH8" i="5"/>
  <c r="AH7" i="5"/>
  <c r="AE5" i="5"/>
  <c r="AD5" i="5"/>
  <c r="AC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AH12" i="5" l="1"/>
  <c r="AH7" i="4"/>
  <c r="AH8" i="4"/>
  <c r="AH12" i="4" l="1"/>
  <c r="AE5" i="4"/>
  <c r="AA5" i="4"/>
  <c r="W5" i="4"/>
  <c r="O5" i="4"/>
  <c r="G5" i="4"/>
  <c r="AD5" i="4"/>
  <c r="Z5" i="4"/>
  <c r="R5" i="4"/>
  <c r="N5" i="4"/>
  <c r="F5" i="4"/>
  <c r="M5" i="4"/>
  <c r="AG5" i="4"/>
  <c r="AC5" i="4"/>
  <c r="Y5" i="4"/>
  <c r="S5" i="4"/>
  <c r="K5" i="4"/>
  <c r="E5" i="4"/>
  <c r="AF5" i="4"/>
  <c r="AB5" i="4"/>
  <c r="X5" i="4"/>
  <c r="T5" i="4"/>
  <c r="P5" i="4"/>
  <c r="L5" i="4"/>
  <c r="H5" i="4"/>
  <c r="D5" i="4"/>
  <c r="Q5" i="4"/>
  <c r="I5" i="4"/>
  <c r="C5" i="4"/>
  <c r="V5" i="4"/>
  <c r="J5" i="4"/>
  <c r="U5" i="4"/>
</calcChain>
</file>

<file path=xl/sharedStrings.xml><?xml version="1.0" encoding="utf-8"?>
<sst xmlns="http://schemas.openxmlformats.org/spreadsheetml/2006/main" count="643" uniqueCount="65">
  <si>
    <t>График на отсъствията на служителите</t>
  </si>
  <si>
    <t>Ключ на типа отсъствие</t>
  </si>
  <si>
    <t>Януари</t>
  </si>
  <si>
    <t>Име на служител</t>
  </si>
  <si>
    <t>Служител 1</t>
  </si>
  <si>
    <t>Служител 2</t>
  </si>
  <si>
    <t>Служител 3</t>
  </si>
  <si>
    <t>Служител 4</t>
  </si>
  <si>
    <t>Служител 5</t>
  </si>
  <si>
    <t>О</t>
  </si>
  <si>
    <t>Дати на отсъствие</t>
  </si>
  <si>
    <t>1</t>
  </si>
  <si>
    <t>Отпуск</t>
  </si>
  <si>
    <t>2</t>
  </si>
  <si>
    <t>3</t>
  </si>
  <si>
    <t>Л</t>
  </si>
  <si>
    <t>4</t>
  </si>
  <si>
    <t>Б</t>
  </si>
  <si>
    <t>5</t>
  </si>
  <si>
    <t>Лични</t>
  </si>
  <si>
    <t>6</t>
  </si>
  <si>
    <t>7</t>
  </si>
  <si>
    <t>8</t>
  </si>
  <si>
    <t>9</t>
  </si>
  <si>
    <t>Болест</t>
  </si>
  <si>
    <t>10</t>
  </si>
  <si>
    <t>11</t>
  </si>
  <si>
    <t>12</t>
  </si>
  <si>
    <t>По избор 1</t>
  </si>
  <si>
    <t>13</t>
  </si>
  <si>
    <t>14</t>
  </si>
  <si>
    <t>15</t>
  </si>
  <si>
    <t>16</t>
  </si>
  <si>
    <t>По избор 2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</si>
  <si>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</si>
  <si>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</si>
  <si>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</si>
  <si>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</si>
  <si>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</si>
  <si>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</si>
  <si>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</si>
  <si>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</si>
  <si>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</si>
  <si>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</si>
  <si>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</si>
  <si>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</si>
  <si>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</si>
  <si>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</si>
  <si>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</si>
  <si>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Въведете година:</t>
  </si>
  <si>
    <t>Общо дни</t>
  </si>
  <si>
    <t>Февруари</t>
  </si>
  <si>
    <t xml:space="preserve"> </t>
  </si>
  <si>
    <t xml:space="preserve">  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</si>
  <si>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</si>
  <si>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</si>
  <si>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</si>
  <si>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</si>
  <si>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</si>
  <si>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</si>
  <si>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</si>
  <si>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</si>
  <si>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</si>
  <si>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</si>
  <si>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Имена на служителите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</si>
</sst>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лв.&quot;_-;\-* #,##0\ &quot;лв.&quot;_-;_-* &quot;-&quot;\ &quot;лв.&quot;_-;_-@_-"/>
    <numFmt numFmtId="44" formatCode="_-* #,##0.00\ &quot;лв.&quot;_-;\-* #,##0.00\ &quot;лв.&quot;_-;_-* &quot;-&quot;??\ &quot;лв.&quot;_-;_-@_-"/>
    <numFmt numFmtId="164" formatCode="_(* #,##0_);_(* \(#,##0\);_(* &quot;-&quot;_);_(@_)"/>
    <numFmt numFmtId="165" formatCode="_(* #,##0.00_);_(* \(#,##0.00\);_(* &quot;-&quot;??_);_(@_)"/>
    <numFmt numFmtId="166" formatCode="0;0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3" tint="-0.24994659260841701"/>
      <name val="Calibri"/>
      <family val="2"/>
      <scheme val="major"/>
    </font>
    <font>
      <b/>
      <sz val="18"/>
      <color theme="4" tint="-0.24994659260841701"/>
      <name val="Calibri"/>
      <family val="2"/>
      <scheme val="minor"/>
    </font>
    <font>
      <b/>
      <sz val="26"/>
      <color theme="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8E3E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left" vertical="center"/>
    </xf>
    <xf numFmtId="0" fontId="6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vertical="top"/>
    </xf>
    <xf numFmtId="0" fontId="5" fillId="2" borderId="0" applyNumberFormat="0" applyBorder="0" applyProtection="0">
      <alignment horizontal="center" vertical="center"/>
    </xf>
    <xf numFmtId="0" fontId="2" fillId="20" borderId="0" applyNumberFormat="0" applyProtection="0">
      <alignment horizontal="right" vertical="center" indent="1"/>
    </xf>
    <xf numFmtId="0" fontId="1" fillId="0" borderId="0" applyNumberFormat="0" applyFill="0" applyBorder="0" applyProtection="0">
      <alignment horizontal="left" vertical="center" indent="2"/>
    </xf>
    <xf numFmtId="0" fontId="3" fillId="3" borderId="0" applyNumberFormat="0" applyBorder="0" applyAlignment="0" applyProtection="0"/>
    <xf numFmtId="0" fontId="1" fillId="4" borderId="0" applyNumberFormat="0" applyBorder="0" applyProtection="0">
      <alignment horizontal="center" vertical="center"/>
    </xf>
    <xf numFmtId="0" fontId="2" fillId="9" borderId="0" applyNumberFormat="0" applyBorder="0" applyAlignment="0" applyProtection="0"/>
    <xf numFmtId="0" fontId="1" fillId="5" borderId="0" applyNumberFormat="0" applyBorder="0" applyAlignment="0" applyProtection="0"/>
    <xf numFmtId="0" fontId="3" fillId="7" borderId="0" applyNumberFormat="0" applyBorder="0" applyAlignment="0" applyProtection="0"/>
    <xf numFmtId="0" fontId="1" fillId="6" borderId="0" applyNumberFormat="0" applyBorder="0" applyAlignment="0" applyProtection="0"/>
    <xf numFmtId="0" fontId="2" fillId="15" borderId="0" applyNumberFormat="0" applyBorder="0" applyAlignment="0" applyProtection="0"/>
    <xf numFmtId="0" fontId="1" fillId="8" borderId="0" applyNumberFormat="0" applyBorder="0" applyAlignment="0" applyProtection="0"/>
    <xf numFmtId="0" fontId="3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  <xf numFmtId="0" fontId="1" fillId="2" borderId="0" applyNumberFormat="0" applyBorder="0" applyAlignment="0" applyProtection="0"/>
    <xf numFmtId="0" fontId="2" fillId="12" borderId="0" applyNumberFormat="0" applyBorder="0" applyProtection="0">
      <alignment horizontal="left" vertical="center" indent="1"/>
    </xf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1" fontId="1" fillId="0" borderId="0" applyFill="0" applyBorder="0" applyProtection="0">
      <alignment horizontal="center" vertical="center"/>
    </xf>
    <xf numFmtId="0" fontId="1" fillId="0" borderId="0" applyNumberFormat="0" applyFill="0" applyBorder="0">
      <alignment horizontal="left" vertical="center" wrapText="1" indent="2"/>
    </xf>
    <xf numFmtId="0" fontId="7" fillId="0" borderId="0">
      <alignment horizont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1" applyNumberFormat="0" applyAlignment="0" applyProtection="0"/>
    <xf numFmtId="0" fontId="13" fillId="25" borderId="2" applyNumberFormat="0" applyAlignment="0" applyProtection="0"/>
    <xf numFmtId="0" fontId="14" fillId="25" borderId="1" applyNumberFormat="0" applyAlignment="0" applyProtection="0"/>
    <xf numFmtId="0" fontId="15" fillId="0" borderId="3" applyNumberFormat="0" applyFill="0" applyAlignment="0" applyProtection="0"/>
    <xf numFmtId="0" fontId="16" fillId="26" borderId="4" applyNumberFormat="0" applyAlignment="0" applyProtection="0"/>
    <xf numFmtId="0" fontId="17" fillId="0" borderId="0" applyNumberFormat="0" applyFill="0" applyBorder="0" applyAlignment="0" applyProtection="0"/>
    <xf numFmtId="0" fontId="1" fillId="27" borderId="5" applyNumberFormat="0" applyFont="0" applyAlignment="0" applyProtection="0"/>
    <xf numFmtId="0" fontId="18" fillId="0" borderId="0" applyNumberFormat="0" applyFill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>
      <alignment horizontal="left" vertical="center"/>
    </xf>
    <xf numFmtId="0" fontId="1" fillId="0" borderId="0" xfId="26">
      <alignment horizontal="left" vertical="center" wrapText="1" indent="2"/>
    </xf>
    <xf numFmtId="0" fontId="0" fillId="0" borderId="0" xfId="0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2" fillId="15" borderId="0" xfId="12" applyAlignment="1" applyProtection="1">
      <alignment horizontal="center" vertical="center"/>
    </xf>
    <xf numFmtId="0" fontId="2" fillId="10" borderId="0" xfId="19" applyAlignment="1" applyProtection="1">
      <alignment horizontal="center" vertical="center"/>
    </xf>
    <xf numFmtId="0" fontId="2" fillId="13" borderId="0" xfId="23" applyFont="1" applyAlignment="1" applyProtection="1">
      <alignment horizontal="center" vertical="center"/>
    </xf>
    <xf numFmtId="166" fontId="2" fillId="9" borderId="0" xfId="8" applyNumberFormat="1" applyFont="1" applyAlignment="1" applyProtection="1">
      <alignment horizontal="center" vertical="center"/>
    </xf>
    <xf numFmtId="166" fontId="2" fillId="14" borderId="0" xfId="24" applyNumberFormat="1" applyFont="1" applyAlignment="1" applyProtection="1">
      <alignment horizontal="center" vertical="center"/>
    </xf>
    <xf numFmtId="0" fontId="1" fillId="0" borderId="0" xfId="26" applyFill="1" applyBorder="1">
      <alignment horizontal="left" vertical="center" wrapText="1" indent="2"/>
    </xf>
    <xf numFmtId="1" fontId="1" fillId="0" borderId="0" xfId="25" applyFill="1" applyBorder="1" applyProtection="1">
      <alignment horizontal="center" vertical="center"/>
    </xf>
    <xf numFmtId="0" fontId="0" fillId="0" borderId="0" xfId="0" applyProtection="1">
      <alignment horizontal="left" vertical="center"/>
    </xf>
    <xf numFmtId="0" fontId="5" fillId="2" borderId="0" xfId="3" applyProtection="1">
      <alignment horizontal="center" vertical="center"/>
    </xf>
    <xf numFmtId="166" fontId="0" fillId="0" borderId="0" xfId="0" applyNumberFormat="1" applyFont="1" applyFill="1" applyBorder="1" applyAlignment="1" applyProtection="1">
      <alignment horizontal="center" vertical="center"/>
    </xf>
    <xf numFmtId="0" fontId="6" fillId="0" borderId="0" xfId="1" applyAlignment="1" applyProtection="1">
      <alignment vertical="top"/>
    </xf>
    <xf numFmtId="0" fontId="1" fillId="2" borderId="0" xfId="21" applyBorder="1" applyAlignment="1" applyProtection="1">
      <alignment horizontal="left" vertical="center" indent="1"/>
    </xf>
    <xf numFmtId="0" fontId="0" fillId="0" borderId="0" xfId="21" applyFont="1" applyFill="1" applyBorder="1" applyAlignment="1" applyProtection="1">
      <alignment horizontal="center" vertical="center"/>
    </xf>
    <xf numFmtId="0" fontId="1" fillId="0" borderId="0" xfId="26" applyFill="1" applyBorder="1" applyProtection="1">
      <alignment horizontal="left" vertical="center" wrapText="1" indent="2"/>
    </xf>
    <xf numFmtId="0" fontId="0" fillId="0" borderId="0" xfId="0" applyAlignment="1" applyProtection="1">
      <alignment horizontal="left" vertical="center" wrapText="1"/>
    </xf>
    <xf numFmtId="0" fontId="2" fillId="20" borderId="0" xfId="4" applyProtection="1">
      <alignment horizontal="right" vertical="center" indent="1"/>
    </xf>
    <xf numFmtId="0" fontId="7" fillId="0" borderId="0" xfId="27" applyProtection="1">
      <alignment horizontal="center"/>
    </xf>
    <xf numFmtId="0" fontId="0" fillId="0" borderId="0" xfId="0" applyFont="1" applyFill="1" applyBorder="1" applyAlignment="1" applyProtection="1">
      <alignment horizontal="left" vertical="center" indent="1"/>
    </xf>
    <xf numFmtId="0" fontId="6" fillId="0" borderId="0" xfId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5" fillId="2" borderId="0" xfId="3" applyProtection="1">
      <alignment horizontal="center" vertical="center"/>
    </xf>
    <xf numFmtId="0" fontId="1" fillId="2" borderId="0" xfId="21" applyAlignment="1" applyProtection="1">
      <alignment horizontal="left" vertical="center"/>
    </xf>
  </cellXfs>
  <cellStyles count="49">
    <cellStyle name="20% - Акцент1" xfId="15" builtinId="30" customBuiltin="1"/>
    <cellStyle name="20% - Акцент2" xfId="44" builtinId="34" customBuiltin="1"/>
    <cellStyle name="20% - Акцент3" xfId="21" builtinId="38" customBuiltin="1"/>
    <cellStyle name="20% - Акцент4" xfId="7" builtinId="42" customBuiltin="1"/>
    <cellStyle name="20% - Акцент5" xfId="47" builtinId="46" customBuiltin="1"/>
    <cellStyle name="20% - Акцент6" xfId="11" builtinId="50" customBuiltin="1"/>
    <cellStyle name="40% - Акцент1" xfId="16" builtinId="31" customBuiltin="1"/>
    <cellStyle name="40% - Акцент2" xfId="19" builtinId="35" customBuiltin="1"/>
    <cellStyle name="40% - Акцент3" xfId="22" builtinId="39" customBuiltin="1"/>
    <cellStyle name="40% - Акцент4" xfId="8" builtinId="43" customBuiltin="1"/>
    <cellStyle name="40% - Акцент5" xfId="24" builtinId="47" customBuiltin="1"/>
    <cellStyle name="40% - Акцент6" xfId="12" builtinId="51" customBuiltin="1"/>
    <cellStyle name="60% - Акцент1" xfId="17" builtinId="32" customBuiltin="1"/>
    <cellStyle name="60% - Акцент2" xfId="45" builtinId="36" customBuiltin="1"/>
    <cellStyle name="60% - Акцент3" xfId="23" builtinId="40" customBuiltin="1"/>
    <cellStyle name="60% - Акцент4" xfId="9" builtinId="44" customBuiltin="1"/>
    <cellStyle name="60% - Акцент5" xfId="48" builtinId="48" customBuiltin="1"/>
    <cellStyle name="60% - Акцент6" xfId="13" builtinId="52" customBuiltin="1"/>
    <cellStyle name="Акцент1" xfId="14" builtinId="29" customBuiltin="1"/>
    <cellStyle name="Акцент2" xfId="18" builtinId="33" customBuiltin="1"/>
    <cellStyle name="Акцент3" xfId="20" builtinId="37" customBuiltin="1"/>
    <cellStyle name="Акцент4" xfId="6" builtinId="41" customBuiltin="1"/>
    <cellStyle name="Акцент5" xfId="46" builtinId="45" customBuiltin="1"/>
    <cellStyle name="Акцент6" xfId="10" builtinId="49" customBuiltin="1"/>
    <cellStyle name="Бележка" xfId="42" builtinId="10" customBuiltin="1"/>
    <cellStyle name="Валута" xfId="30" builtinId="4" customBuiltin="1"/>
    <cellStyle name="Валута [0]" xfId="31" builtinId="7" customBuiltin="1"/>
    <cellStyle name="Вход" xfId="36" builtinId="20" customBuiltin="1"/>
    <cellStyle name="Добър" xfId="33" builtinId="26" customBuiltin="1"/>
    <cellStyle name="Етикет" xfId="27" xr:uid="{00000000-0005-0000-0000-000018000000}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5" builtinId="19" customBuiltin="1"/>
    <cellStyle name="Запетая" xfId="28" builtinId="3" customBuiltin="1"/>
    <cellStyle name="Запетая [0]" xfId="29" builtinId="6" customBuiltin="1"/>
    <cellStyle name="Изход" xfId="37" builtinId="21" customBuiltin="1"/>
    <cellStyle name="Изчисление" xfId="38" builtinId="22" customBuiltin="1"/>
    <cellStyle name="Контролна клетка" xfId="40" builtinId="23" customBuiltin="1"/>
    <cellStyle name="Лош" xfId="34" builtinId="27" customBuiltin="1"/>
    <cellStyle name="Неутрален" xfId="35" builtinId="28" customBuiltin="1"/>
    <cellStyle name="Нормален" xfId="0" builtinId="0" customBuiltin="1"/>
    <cellStyle name="Обяснителен текст" xfId="43" builtinId="53" customBuiltin="1"/>
    <cellStyle name="Предупредителен текст" xfId="41" builtinId="11" customBuiltin="1"/>
    <cellStyle name="Процент" xfId="32" builtinId="5" customBuiltin="1"/>
    <cellStyle name="Свързана клетка" xfId="39" builtinId="24" customBuiltin="1"/>
    <cellStyle name="Служител" xfId="26" xr:uid="{00000000-0005-0000-0000-000013000000}"/>
    <cellStyle name="Сума" xfId="25" builtinId="25" customBuiltin="1"/>
  </cellStyles>
  <dxfs count="903"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0"/>
      </font>
      <border>
        <vertical/>
        <horizontal/>
      </border>
    </dxf>
    <dxf>
      <font>
        <b val="0"/>
        <i val="0"/>
        <color theme="3"/>
      </font>
      <border>
        <vertical/>
        <horizontal/>
      </border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2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numFmt numFmtId="1" formatCode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numFmt numFmtId="1" formatCode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numFmt numFmtId="1" formatCode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numFmt numFmtId="1" formatCode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ill>
        <patternFill patternType="none">
          <fgColor indexed="64"/>
          <bgColor indexed="65"/>
        </patternFill>
      </fill>
    </dxf>
    <dxf>
      <protection locked="1" hidden="0"/>
    </dxf>
    <dxf>
      <protection locked="1" hidden="0"/>
    </dxf>
    <dxf>
      <protection locked="1" hidden="0"/>
    </dxf>
    <dxf>
      <fill>
        <patternFill patternType="solid">
          <bgColor theme="6" tint="0.79998168889431442"/>
        </patternFill>
      </fill>
      <border diagonalUp="0" diagonalDown="0">
        <left/>
        <right/>
        <top style="thin">
          <color theme="0" tint="-0.14996795556505021"/>
        </top>
        <bottom style="medium">
          <color theme="2" tint="-0.499984740745262"/>
        </bottom>
        <vertical/>
        <horizontal/>
      </border>
    </dxf>
    <dxf>
      <font>
        <color theme="1"/>
      </font>
      <fill>
        <patternFill patternType="solid">
          <bgColor theme="6" tint="0.79998168889431442"/>
        </patternFill>
      </fill>
      <border diagonalUp="0" diagonalDown="0">
        <left/>
        <right/>
        <top style="thin">
          <color theme="0" tint="-0.14993743705557422"/>
        </top>
        <bottom style="medium">
          <color theme="2" tint="-0.499984740745262"/>
        </bottom>
        <vertical/>
        <horizontal style="thin">
          <color theme="0" tint="-0.14993743705557422"/>
        </horizontal>
      </border>
    </dxf>
    <dxf>
      <font>
        <color theme="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3743705557422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4.9989318521683403E-2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0.14996795556505021"/>
        </patternFill>
      </fill>
    </dxf>
    <dxf>
      <fill>
        <patternFill patternType="solid">
          <fgColor theme="4" tint="0.79992065187536243"/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color theme="1"/>
      </font>
      <fill>
        <patternFill patternType="none">
          <bgColor auto="1"/>
        </patternFill>
      </fill>
      <border>
        <left/>
        <right/>
        <top style="thin">
          <color theme="2" tint="-9.9917600024414813E-2"/>
        </top>
        <bottom style="thin">
          <color theme="2" tint="-9.9948118533890809E-2"/>
        </bottom>
        <vertical/>
        <horizontal style="thin">
          <color theme="2" tint="-9.9917600024414813E-2"/>
        </horizontal>
      </border>
    </dxf>
    <dxf>
      <font>
        <color theme="1"/>
      </font>
      <fill>
        <patternFill>
          <bgColor theme="6" tint="0.79998168889431442"/>
        </patternFill>
      </fill>
      <border diagonalUp="0" diagonalDown="0">
        <left style="thin">
          <color theme="0"/>
        </left>
        <right style="thin">
          <color theme="0"/>
        </right>
        <top/>
        <bottom style="medium">
          <color theme="2" tint="-0.499984740745262"/>
        </bottom>
        <vertical style="thin">
          <color theme="0"/>
        </vertical>
        <horizontal/>
      </border>
    </dxf>
    <dxf>
      <font>
        <color theme="0"/>
      </font>
      <fill>
        <patternFill>
          <bgColor theme="3"/>
        </patternFill>
      </fill>
    </dxf>
    <dxf>
      <font>
        <color theme="1"/>
      </font>
      <border diagonalUp="0" diagonalDown="0">
        <left/>
        <right/>
        <top/>
        <bottom/>
        <vertical style="thin">
          <color theme="0"/>
        </vertical>
        <horizontal/>
      </border>
    </dxf>
  </dxfs>
  <tableStyles count="1" defaultPivotStyle="PivotStyleLight16">
    <tableStyle name="Таблица за отсъствия на служителите" pivot="0" count="13" xr9:uid="{00000000-0011-0000-FFFF-FFFF00000000}">
      <tableStyleElement type="wholeTable" dxfId="902"/>
      <tableStyleElement type="headerRow" dxfId="901"/>
      <tableStyleElement type="totalRow" dxfId="900"/>
      <tableStyleElement type="firstColumn" dxfId="899"/>
      <tableStyleElement type="lastColumn" dxfId="898"/>
      <tableStyleElement type="firstRowStripe" dxfId="897"/>
      <tableStyleElement type="secondRowStripe" dxfId="896"/>
      <tableStyleElement type="firstColumnStripe" dxfId="895"/>
      <tableStyleElement type="secondColumnStripe" dxfId="894"/>
      <tableStyleElement type="firstHeaderCell" dxfId="893"/>
      <tableStyleElement type="lastHeaderCell" dxfId="892"/>
      <tableStyleElement type="firstTotalCell" dxfId="891"/>
      <tableStyleElement type="lastTotalCell" dxfId="89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Януари" displayName="Януари" ref="B6:AH12" totalsRowCount="1" headerRowDxfId="889" dataDxfId="888" totalsRowDxfId="887">
  <autoFilter ref="B6:AH1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</autoFilter>
  <tableColumns count="33">
    <tableColumn id="1" xr3:uid="{00000000-0010-0000-0000-000001000000}" name="Име на служител" totalsRowFunction="custom" dataDxfId="886" totalsRowDxfId="458" dataCellStyle="Служител">
      <totalsRowFormula>ИмеМесец&amp;" Общо"</totalsRowFormula>
    </tableColumn>
    <tableColumn id="2" xr3:uid="{00000000-0010-0000-0000-000002000000}" name="1" totalsRowFunction="custom" dataDxfId="885" totalsRowDxfId="457">
      <totalsRowFormula>SUBTOTAL(103,Януари!$C$7:$C$11)</totalsRowFormula>
    </tableColumn>
    <tableColumn id="3" xr3:uid="{00000000-0010-0000-0000-000003000000}" name="2" totalsRowFunction="custom" dataDxfId="884" totalsRowDxfId="456">
      <totalsRowFormula>SUBTOTAL(103,Януари!$D$7:$D$11)</totalsRowFormula>
    </tableColumn>
    <tableColumn id="4" xr3:uid="{00000000-0010-0000-0000-000004000000}" name="3" totalsRowFunction="custom" dataDxfId="883" totalsRowDxfId="455">
      <totalsRowFormula>SUBTOTAL(103,Януари!$E$7:$E$11)</totalsRowFormula>
    </tableColumn>
    <tableColumn id="5" xr3:uid="{00000000-0010-0000-0000-000005000000}" name="4" totalsRowFunction="custom" dataDxfId="882" totalsRowDxfId="454">
      <totalsRowFormula>SUBTOTAL(103,Януари!$F$7:$F$11)</totalsRowFormula>
    </tableColumn>
    <tableColumn id="6" xr3:uid="{00000000-0010-0000-0000-000006000000}" name="5" totalsRowFunction="custom" totalsRowDxfId="453">
      <totalsRowFormula>SUBTOTAL(103,Януари!$G$7:$G$11)</totalsRowFormula>
    </tableColumn>
    <tableColumn id="7" xr3:uid="{00000000-0010-0000-0000-000007000000}" name="6" totalsRowFunction="custom" dataDxfId="881" totalsRowDxfId="452">
      <totalsRowFormula>SUBTOTAL(103,Януари!$H$7:$H$11)</totalsRowFormula>
    </tableColumn>
    <tableColumn id="8" xr3:uid="{00000000-0010-0000-0000-000008000000}" name="7" totalsRowFunction="custom" dataDxfId="880" totalsRowDxfId="451">
      <totalsRowFormula>SUBTOTAL(103,Януари!$I$7:$I$11)</totalsRowFormula>
    </tableColumn>
    <tableColumn id="9" xr3:uid="{00000000-0010-0000-0000-000009000000}" name="8" totalsRowFunction="custom" dataDxfId="879" totalsRowDxfId="450">
      <totalsRowFormula>SUBTOTAL(103,Януари!$J$7:$J$11)</totalsRowFormula>
    </tableColumn>
    <tableColumn id="10" xr3:uid="{00000000-0010-0000-0000-00000A000000}" name="9" totalsRowFunction="custom" dataDxfId="878" totalsRowDxfId="449">
      <totalsRowFormula>SUBTOTAL(103,Януари!$K$7:$K$11)</totalsRowFormula>
    </tableColumn>
    <tableColumn id="11" xr3:uid="{00000000-0010-0000-0000-00000B000000}" name="10" totalsRowFunction="custom" dataDxfId="877" totalsRowDxfId="448">
      <totalsRowFormula>SUBTOTAL(103,Януари!$L$7:$L$11)</totalsRowFormula>
    </tableColumn>
    <tableColumn id="12" xr3:uid="{00000000-0010-0000-0000-00000C000000}" name="11" totalsRowFunction="custom" dataDxfId="876" totalsRowDxfId="447">
      <totalsRowFormula>SUBTOTAL(103,Януари!$M$7:$M$11)</totalsRowFormula>
    </tableColumn>
    <tableColumn id="13" xr3:uid="{00000000-0010-0000-0000-00000D000000}" name="12" totalsRowFunction="custom" dataDxfId="875" totalsRowDxfId="446">
      <totalsRowFormula>SUBTOTAL(103,Януари!$N$7:$N$11)</totalsRowFormula>
    </tableColumn>
    <tableColumn id="14" xr3:uid="{00000000-0010-0000-0000-00000E000000}" name="13" totalsRowFunction="custom" dataDxfId="874" totalsRowDxfId="445">
      <totalsRowFormula>SUBTOTAL(103,Януари!$O$7:$O$11)</totalsRowFormula>
    </tableColumn>
    <tableColumn id="15" xr3:uid="{00000000-0010-0000-0000-00000F000000}" name="14" totalsRowFunction="custom" dataDxfId="873" totalsRowDxfId="444">
      <totalsRowFormula>SUBTOTAL(103,Януари!$P$7:$P$11)</totalsRowFormula>
    </tableColumn>
    <tableColumn id="16" xr3:uid="{00000000-0010-0000-0000-000010000000}" name="15" totalsRowFunction="custom" dataDxfId="872" totalsRowDxfId="443">
      <totalsRowFormula>SUBTOTAL(103,Януари!$Q$7:$Q$11)</totalsRowFormula>
    </tableColumn>
    <tableColumn id="17" xr3:uid="{00000000-0010-0000-0000-000011000000}" name="16" totalsRowFunction="custom" dataDxfId="871" totalsRowDxfId="442">
      <totalsRowFormula>SUBTOTAL(103,Януари!$R$7:$R$11)</totalsRowFormula>
    </tableColumn>
    <tableColumn id="18" xr3:uid="{00000000-0010-0000-0000-000012000000}" name="17" totalsRowFunction="custom" dataDxfId="870" totalsRowDxfId="441">
      <totalsRowFormula>SUBTOTAL(103,Януари!$S$7:$S$11)</totalsRowFormula>
    </tableColumn>
    <tableColumn id="19" xr3:uid="{00000000-0010-0000-0000-000013000000}" name="18" totalsRowFunction="custom" dataDxfId="869" totalsRowDxfId="440">
      <totalsRowFormula>SUBTOTAL(103,Януари!$T$7:$T$11)</totalsRowFormula>
    </tableColumn>
    <tableColumn id="20" xr3:uid="{00000000-0010-0000-0000-000014000000}" name="19" totalsRowFunction="custom" dataDxfId="868" totalsRowDxfId="439">
      <totalsRowFormula>SUBTOTAL(103,Януари!$U$7:$U$11)</totalsRowFormula>
    </tableColumn>
    <tableColumn id="21" xr3:uid="{00000000-0010-0000-0000-000015000000}" name="20" totalsRowFunction="custom" dataDxfId="867" totalsRowDxfId="438">
      <totalsRowFormula>SUBTOTAL(103,Януари!$V$7:$V$11)</totalsRowFormula>
    </tableColumn>
    <tableColumn id="22" xr3:uid="{00000000-0010-0000-0000-000016000000}" name="21" totalsRowFunction="custom" dataDxfId="866" totalsRowDxfId="437">
      <totalsRowFormula>SUBTOTAL(103,Януари!$W$7:$W$11)</totalsRowFormula>
    </tableColumn>
    <tableColumn id="23" xr3:uid="{00000000-0010-0000-0000-000017000000}" name="22" totalsRowFunction="custom" dataDxfId="865" totalsRowDxfId="436">
      <totalsRowFormula>SUBTOTAL(103,Януари!$X$7:$X$11)</totalsRowFormula>
    </tableColumn>
    <tableColumn id="24" xr3:uid="{00000000-0010-0000-0000-000018000000}" name="23" totalsRowFunction="custom" dataDxfId="864" totalsRowDxfId="435">
      <totalsRowFormula>SUBTOTAL(103,Януари!$Y$7:$Y$11)</totalsRowFormula>
    </tableColumn>
    <tableColumn id="25" xr3:uid="{00000000-0010-0000-0000-000019000000}" name="24" totalsRowFunction="custom" dataDxfId="863" totalsRowDxfId="434">
      <totalsRowFormula>SUBTOTAL(103,Януари!$Z$7:$Z$11)</totalsRowFormula>
    </tableColumn>
    <tableColumn id="26" xr3:uid="{00000000-0010-0000-0000-00001A000000}" name="25" totalsRowFunction="custom" dataDxfId="862" totalsRowDxfId="433">
      <totalsRowFormula>SUBTOTAL(103,Януари!$AA$7:$AA$11)</totalsRowFormula>
    </tableColumn>
    <tableColumn id="27" xr3:uid="{00000000-0010-0000-0000-00001B000000}" name="26" totalsRowFunction="custom" dataDxfId="861" totalsRowDxfId="432">
      <totalsRowFormula>SUBTOTAL(103,Януари!$AB$7:$AB$11)</totalsRowFormula>
    </tableColumn>
    <tableColumn id="28" xr3:uid="{00000000-0010-0000-0000-00001C000000}" name="27" totalsRowFunction="custom" dataDxfId="860" totalsRowDxfId="431">
      <totalsRowFormula>SUBTOTAL(103,Януари!$AC$7:$AC$11)</totalsRowFormula>
    </tableColumn>
    <tableColumn id="29" xr3:uid="{00000000-0010-0000-0000-00001D000000}" name="28" totalsRowFunction="custom" dataDxfId="859" totalsRowDxfId="430">
      <totalsRowFormula>SUBTOTAL(103,Януари!$AD$7:$AD$11)</totalsRowFormula>
    </tableColumn>
    <tableColumn id="30" xr3:uid="{00000000-0010-0000-0000-00001E000000}" name="29" totalsRowFunction="custom" dataDxfId="858" totalsRowDxfId="429">
      <totalsRowFormula>SUBTOTAL(103,Януари!$AE$7:$AE$11)</totalsRowFormula>
    </tableColumn>
    <tableColumn id="31" xr3:uid="{00000000-0010-0000-0000-00001F000000}" name="30" totalsRowFunction="custom" dataDxfId="857" totalsRowDxfId="428">
      <totalsRowFormula>SUBTOTAL(103,Януари!$AF$7:$AF$11)</totalsRowFormula>
    </tableColumn>
    <tableColumn id="32" xr3:uid="{00000000-0010-0000-0000-000020000000}" name="31" totalsRowFunction="custom" dataDxfId="856" totalsRowDxfId="427">
      <totalsRowFormula>SUBTOTAL(103,Януари!$AG$7:$AG$11)</totalsRowFormula>
    </tableColumn>
    <tableColumn id="33" xr3:uid="{00000000-0010-0000-0000-000021000000}" name="Общо дни" totalsRowFunction="sum" dataDxfId="855" totalsRowDxfId="426">
      <calculatedColumnFormula>COUNTA(Януари!$C7:$AG7)</calculatedColumnFormula>
    </tableColumn>
  </tableColumns>
  <tableStyleInfo name="Таблица за отсъствия на служителите" showFirstColumn="1" showLastColumn="1" showRowStripes="1" showColumnStripes="0"/>
  <extLst>
    <ext xmlns:x14="http://schemas.microsoft.com/office/spreadsheetml/2009/9/main" uri="{504A1905-F514-4f6f-8877-14C23A59335A}">
      <x14:table altTextSummary="Въведете имената на служителите и датите на отсъствие. Запишете типа отсъствие според ключа в ред 12: О=Отпуск; Б=Болест, Л=лични, плюс два контейнера за записи по избор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9000000}" name="Октомври" displayName="Октомври" ref="B6:AH12" totalsRowCount="1" headerRowDxfId="566" dataDxfId="565" totalsRowDxfId="564">
  <tableColumns count="33">
    <tableColumn id="1" xr3:uid="{00000000-0010-0000-0900-000001000000}" name="Име на служител" totalsRowFunction="custom" dataDxfId="563" totalsRowDxfId="161" dataCellStyle="Служител">
      <totalsRowFormula>ИмеМесец&amp;" Общо"</totalsRowFormula>
    </tableColumn>
    <tableColumn id="2" xr3:uid="{00000000-0010-0000-0900-000002000000}" name="1" totalsRowFunction="count" dataDxfId="562" totalsRowDxfId="160"/>
    <tableColumn id="3" xr3:uid="{00000000-0010-0000-0900-000003000000}" name="2" totalsRowFunction="count" dataDxfId="561" totalsRowDxfId="159"/>
    <tableColumn id="4" xr3:uid="{00000000-0010-0000-0900-000004000000}" name="3" totalsRowFunction="count" dataDxfId="560" totalsRowDxfId="158"/>
    <tableColumn id="5" xr3:uid="{00000000-0010-0000-0900-000005000000}" name="4" totalsRowFunction="count" dataDxfId="559" totalsRowDxfId="157"/>
    <tableColumn id="6" xr3:uid="{00000000-0010-0000-0900-000006000000}" name="5" totalsRowFunction="count" dataDxfId="558" totalsRowDxfId="156"/>
    <tableColumn id="7" xr3:uid="{00000000-0010-0000-0900-000007000000}" name="6" totalsRowFunction="count" dataDxfId="557" totalsRowDxfId="155"/>
    <tableColumn id="8" xr3:uid="{00000000-0010-0000-0900-000008000000}" name="7" totalsRowFunction="count" dataDxfId="556" totalsRowDxfId="154"/>
    <tableColumn id="9" xr3:uid="{00000000-0010-0000-0900-000009000000}" name="8" totalsRowFunction="count" dataDxfId="555" totalsRowDxfId="153"/>
    <tableColumn id="10" xr3:uid="{00000000-0010-0000-0900-00000A000000}" name="9" totalsRowFunction="count" dataDxfId="554" totalsRowDxfId="152"/>
    <tableColumn id="11" xr3:uid="{00000000-0010-0000-0900-00000B000000}" name="10" totalsRowFunction="count" dataDxfId="553" totalsRowDxfId="151"/>
    <tableColumn id="12" xr3:uid="{00000000-0010-0000-0900-00000C000000}" name="11" totalsRowFunction="count" dataDxfId="552" totalsRowDxfId="150"/>
    <tableColumn id="13" xr3:uid="{00000000-0010-0000-0900-00000D000000}" name="12" totalsRowFunction="count" dataDxfId="551" totalsRowDxfId="149"/>
    <tableColumn id="14" xr3:uid="{00000000-0010-0000-0900-00000E000000}" name="13" totalsRowFunction="count" dataDxfId="550" totalsRowDxfId="148"/>
    <tableColumn id="15" xr3:uid="{00000000-0010-0000-0900-00000F000000}" name="14" totalsRowFunction="count" dataDxfId="549" totalsRowDxfId="147"/>
    <tableColumn id="16" xr3:uid="{00000000-0010-0000-0900-000010000000}" name="15" totalsRowFunction="count" dataDxfId="548" totalsRowDxfId="146"/>
    <tableColumn id="17" xr3:uid="{00000000-0010-0000-0900-000011000000}" name="16" totalsRowFunction="count" dataDxfId="547" totalsRowDxfId="145"/>
    <tableColumn id="18" xr3:uid="{00000000-0010-0000-0900-000012000000}" name="17" totalsRowFunction="count" dataDxfId="546" totalsRowDxfId="144"/>
    <tableColumn id="19" xr3:uid="{00000000-0010-0000-0900-000013000000}" name="18" totalsRowFunction="count" dataDxfId="545" totalsRowDxfId="143"/>
    <tableColumn id="20" xr3:uid="{00000000-0010-0000-0900-000014000000}" name="19" totalsRowFunction="count" dataDxfId="544" totalsRowDxfId="142"/>
    <tableColumn id="21" xr3:uid="{00000000-0010-0000-0900-000015000000}" name="20" totalsRowFunction="count" dataDxfId="543" totalsRowDxfId="141"/>
    <tableColumn id="22" xr3:uid="{00000000-0010-0000-0900-000016000000}" name="21" totalsRowFunction="count" dataDxfId="542" totalsRowDxfId="140"/>
    <tableColumn id="23" xr3:uid="{00000000-0010-0000-0900-000017000000}" name="22" totalsRowFunction="count" dataDxfId="541" totalsRowDxfId="139"/>
    <tableColumn id="24" xr3:uid="{00000000-0010-0000-0900-000018000000}" name="23" totalsRowFunction="count" dataDxfId="540" totalsRowDxfId="138"/>
    <tableColumn id="25" xr3:uid="{00000000-0010-0000-0900-000019000000}" name="24" totalsRowFunction="count" dataDxfId="539" totalsRowDxfId="137"/>
    <tableColumn id="26" xr3:uid="{00000000-0010-0000-0900-00001A000000}" name="25" totalsRowFunction="count" dataDxfId="538" totalsRowDxfId="136"/>
    <tableColumn id="27" xr3:uid="{00000000-0010-0000-0900-00001B000000}" name="26" totalsRowFunction="count" dataDxfId="537" totalsRowDxfId="135"/>
    <tableColumn id="28" xr3:uid="{00000000-0010-0000-0900-00001C000000}" name="27" totalsRowFunction="count" dataDxfId="536" totalsRowDxfId="134"/>
    <tableColumn id="29" xr3:uid="{00000000-0010-0000-0900-00001D000000}" name="28" totalsRowFunction="count" dataDxfId="535" totalsRowDxfId="133"/>
    <tableColumn id="30" xr3:uid="{00000000-0010-0000-0900-00001E000000}" name="29" totalsRowFunction="count" dataDxfId="534" totalsRowDxfId="132"/>
    <tableColumn id="31" xr3:uid="{00000000-0010-0000-0900-00001F000000}" name="30" totalsRowFunction="count" dataDxfId="533" totalsRowDxfId="131"/>
    <tableColumn id="32" xr3:uid="{00000000-0010-0000-0900-000020000000}" name="31" totalsRowFunction="count" dataDxfId="532" totalsRowDxfId="130"/>
    <tableColumn id="33" xr3:uid="{00000000-0010-0000-0900-000021000000}" name="Общо дни" totalsRowFunction="sum" dataDxfId="531" totalsRowDxfId="129">
      <calculatedColumnFormula>COUNTA(Октомври[[#This Row],[1]:[31]])</calculatedColumnFormula>
    </tableColumn>
  </tableColumns>
  <tableStyleInfo name="Таблица за отсъствия на служителите" showFirstColumn="1" showLastColumn="1" showRowStripes="1" showColumnStripes="0"/>
  <extLst>
    <ext xmlns:x14="http://schemas.microsoft.com/office/spreadsheetml/2009/9/main" uri="{504A1905-F514-4f6f-8877-14C23A59335A}">
      <x14:table altTextSummary="Въведете имената на служителите и датите на отсъствие. Запишете типа отсъствие според ключа в ред 12: О=Отпуск; Б=Болест, Л=лични, плюс два контейнера за записи по избор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Ноември" displayName="Ноември" ref="B6:AH12" totalsRowCount="1" headerRowDxfId="530" dataDxfId="529" totalsRowDxfId="528">
  <tableColumns count="33">
    <tableColumn id="1" xr3:uid="{00000000-0010-0000-0A00-000001000000}" name="Име на служител" totalsRowFunction="custom" dataDxfId="527" totalsRowDxfId="128" dataCellStyle="Служител">
      <totalsRowFormula>ИмеМесец&amp;" Общо"</totalsRowFormula>
    </tableColumn>
    <tableColumn id="2" xr3:uid="{00000000-0010-0000-0A00-000002000000}" name="1" totalsRowFunction="count" dataDxfId="526" totalsRowDxfId="127"/>
    <tableColumn id="3" xr3:uid="{00000000-0010-0000-0A00-000003000000}" name="2" totalsRowFunction="count" dataDxfId="525" totalsRowDxfId="126"/>
    <tableColumn id="4" xr3:uid="{00000000-0010-0000-0A00-000004000000}" name="3" totalsRowFunction="count" dataDxfId="524" totalsRowDxfId="125"/>
    <tableColumn id="5" xr3:uid="{00000000-0010-0000-0A00-000005000000}" name="4" totalsRowFunction="count" dataDxfId="523" totalsRowDxfId="124"/>
    <tableColumn id="6" xr3:uid="{00000000-0010-0000-0A00-000006000000}" name="5" totalsRowFunction="count" dataDxfId="522" totalsRowDxfId="123"/>
    <tableColumn id="7" xr3:uid="{00000000-0010-0000-0A00-000007000000}" name="6" totalsRowFunction="count" dataDxfId="521" totalsRowDxfId="122"/>
    <tableColumn id="8" xr3:uid="{00000000-0010-0000-0A00-000008000000}" name="7" totalsRowFunction="count" dataDxfId="520" totalsRowDxfId="121"/>
    <tableColumn id="9" xr3:uid="{00000000-0010-0000-0A00-000009000000}" name="8" totalsRowFunction="count" dataDxfId="519" totalsRowDxfId="120"/>
    <tableColumn id="10" xr3:uid="{00000000-0010-0000-0A00-00000A000000}" name="9" totalsRowFunction="count" dataDxfId="518" totalsRowDxfId="119"/>
    <tableColumn id="11" xr3:uid="{00000000-0010-0000-0A00-00000B000000}" name="10" totalsRowFunction="count" dataDxfId="517" totalsRowDxfId="118"/>
    <tableColumn id="12" xr3:uid="{00000000-0010-0000-0A00-00000C000000}" name="11" totalsRowFunction="count" dataDxfId="516" totalsRowDxfId="117"/>
    <tableColumn id="13" xr3:uid="{00000000-0010-0000-0A00-00000D000000}" name="12" totalsRowFunction="count" dataDxfId="515" totalsRowDxfId="116"/>
    <tableColumn id="14" xr3:uid="{00000000-0010-0000-0A00-00000E000000}" name="13" totalsRowFunction="count" dataDxfId="514" totalsRowDxfId="115"/>
    <tableColumn id="15" xr3:uid="{00000000-0010-0000-0A00-00000F000000}" name="14" totalsRowFunction="count" dataDxfId="513" totalsRowDxfId="114"/>
    <tableColumn id="16" xr3:uid="{00000000-0010-0000-0A00-000010000000}" name="15" totalsRowFunction="count" dataDxfId="512" totalsRowDxfId="113"/>
    <tableColumn id="17" xr3:uid="{00000000-0010-0000-0A00-000011000000}" name="16" totalsRowFunction="count" dataDxfId="511" totalsRowDxfId="112"/>
    <tableColumn id="18" xr3:uid="{00000000-0010-0000-0A00-000012000000}" name="17" totalsRowFunction="count" dataDxfId="510" totalsRowDxfId="111"/>
    <tableColumn id="19" xr3:uid="{00000000-0010-0000-0A00-000013000000}" name="18" totalsRowFunction="count" dataDxfId="509" totalsRowDxfId="110"/>
    <tableColumn id="20" xr3:uid="{00000000-0010-0000-0A00-000014000000}" name="19" totalsRowFunction="count" dataDxfId="508" totalsRowDxfId="109"/>
    <tableColumn id="21" xr3:uid="{00000000-0010-0000-0A00-000015000000}" name="20" totalsRowFunction="count" dataDxfId="507" totalsRowDxfId="108"/>
    <tableColumn id="22" xr3:uid="{00000000-0010-0000-0A00-000016000000}" name="21" totalsRowFunction="count" dataDxfId="506" totalsRowDxfId="107"/>
    <tableColumn id="23" xr3:uid="{00000000-0010-0000-0A00-000017000000}" name="22" totalsRowFunction="count" dataDxfId="505" totalsRowDxfId="106"/>
    <tableColumn id="24" xr3:uid="{00000000-0010-0000-0A00-000018000000}" name="23" totalsRowFunction="count" dataDxfId="504" totalsRowDxfId="105"/>
    <tableColumn id="25" xr3:uid="{00000000-0010-0000-0A00-000019000000}" name="24" totalsRowFunction="count" dataDxfId="503" totalsRowDxfId="104"/>
    <tableColumn id="26" xr3:uid="{00000000-0010-0000-0A00-00001A000000}" name="25" totalsRowFunction="count" dataDxfId="502" totalsRowDxfId="103"/>
    <tableColumn id="27" xr3:uid="{00000000-0010-0000-0A00-00001B000000}" name="26" totalsRowFunction="count" dataDxfId="501" totalsRowDxfId="102"/>
    <tableColumn id="28" xr3:uid="{00000000-0010-0000-0A00-00001C000000}" name="27" totalsRowFunction="count" dataDxfId="500" totalsRowDxfId="101"/>
    <tableColumn id="29" xr3:uid="{00000000-0010-0000-0A00-00001D000000}" name="28" totalsRowFunction="count" dataDxfId="499" totalsRowDxfId="100"/>
    <tableColumn id="30" xr3:uid="{00000000-0010-0000-0A00-00001E000000}" name="29" totalsRowFunction="count" dataDxfId="498" totalsRowDxfId="99"/>
    <tableColumn id="31" xr3:uid="{00000000-0010-0000-0A00-00001F000000}" name="30" totalsRowFunction="count" dataDxfId="497" totalsRowDxfId="98"/>
    <tableColumn id="32" xr3:uid="{00000000-0010-0000-0A00-000020000000}" name=" " totalsRowFunction="count" dataDxfId="496" totalsRowDxfId="97"/>
    <tableColumn id="33" xr3:uid="{00000000-0010-0000-0A00-000021000000}" name="Общо дни" totalsRowFunction="sum" dataDxfId="495" totalsRowDxfId="96">
      <calculatedColumnFormula>COUNTA(Ноември[[#This Row],[1]:[30]])</calculatedColumnFormula>
    </tableColumn>
  </tableColumns>
  <tableStyleInfo name="Таблица за отсъствия на служителите" showFirstColumn="1" showLastColumn="1" showRowStripes="1" showColumnStripes="0"/>
  <extLst>
    <ext xmlns:x14="http://schemas.microsoft.com/office/spreadsheetml/2009/9/main" uri="{504A1905-F514-4f6f-8877-14C23A59335A}">
      <x14:table altTextSummary="Въведете имената на служителите и датите на отсъствие. Запишете типа отсъствие според ключа в ред 12: О=Отпуск; Б=Болест, Л=лични, плюс два контейнера за записи по избор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Декември" displayName="Декември" ref="B6:AH12" totalsRowCount="1" headerRowDxfId="494" dataDxfId="493" totalsRowDxfId="492">
  <tableColumns count="33">
    <tableColumn id="1" xr3:uid="{00000000-0010-0000-0B00-000001000000}" name="Име на служител" totalsRowFunction="custom" dataDxfId="491" totalsRowDxfId="95" dataCellStyle="Служител">
      <totalsRowFormula>ИмеМесец&amp;" Общо"</totalsRowFormula>
    </tableColumn>
    <tableColumn id="2" xr3:uid="{00000000-0010-0000-0B00-000002000000}" name="1" totalsRowFunction="count" dataDxfId="490" totalsRowDxfId="94"/>
    <tableColumn id="3" xr3:uid="{00000000-0010-0000-0B00-000003000000}" name="2" totalsRowFunction="count" dataDxfId="489" totalsRowDxfId="93"/>
    <tableColumn id="4" xr3:uid="{00000000-0010-0000-0B00-000004000000}" name="3" totalsRowFunction="count" dataDxfId="488" totalsRowDxfId="92"/>
    <tableColumn id="5" xr3:uid="{00000000-0010-0000-0B00-000005000000}" name="4" totalsRowFunction="count" dataDxfId="487" totalsRowDxfId="91"/>
    <tableColumn id="6" xr3:uid="{00000000-0010-0000-0B00-000006000000}" name="5" totalsRowFunction="count" dataDxfId="486" totalsRowDxfId="90"/>
    <tableColumn id="7" xr3:uid="{00000000-0010-0000-0B00-000007000000}" name="6" totalsRowFunction="count" dataDxfId="485" totalsRowDxfId="89"/>
    <tableColumn id="8" xr3:uid="{00000000-0010-0000-0B00-000008000000}" name="7" totalsRowFunction="count" dataDxfId="484" totalsRowDxfId="88"/>
    <tableColumn id="9" xr3:uid="{00000000-0010-0000-0B00-000009000000}" name="8" totalsRowFunction="count" dataDxfId="483" totalsRowDxfId="87"/>
    <tableColumn id="10" xr3:uid="{00000000-0010-0000-0B00-00000A000000}" name="9" totalsRowFunction="count" dataDxfId="482" totalsRowDxfId="86"/>
    <tableColumn id="11" xr3:uid="{00000000-0010-0000-0B00-00000B000000}" name="10" totalsRowFunction="count" dataDxfId="481" totalsRowDxfId="85"/>
    <tableColumn id="12" xr3:uid="{00000000-0010-0000-0B00-00000C000000}" name="11" totalsRowFunction="count" dataDxfId="480" totalsRowDxfId="84"/>
    <tableColumn id="13" xr3:uid="{00000000-0010-0000-0B00-00000D000000}" name="12" totalsRowFunction="count" dataDxfId="479" totalsRowDxfId="83"/>
    <tableColumn id="14" xr3:uid="{00000000-0010-0000-0B00-00000E000000}" name="13" totalsRowFunction="count" dataDxfId="478" totalsRowDxfId="82"/>
    <tableColumn id="15" xr3:uid="{00000000-0010-0000-0B00-00000F000000}" name="14" totalsRowFunction="count" dataDxfId="477" totalsRowDxfId="81"/>
    <tableColumn id="16" xr3:uid="{00000000-0010-0000-0B00-000010000000}" name="15" totalsRowFunction="count" dataDxfId="476" totalsRowDxfId="80"/>
    <tableColumn id="17" xr3:uid="{00000000-0010-0000-0B00-000011000000}" name="16" totalsRowFunction="count" dataDxfId="475" totalsRowDxfId="79"/>
    <tableColumn id="18" xr3:uid="{00000000-0010-0000-0B00-000012000000}" name="17" totalsRowFunction="count" dataDxfId="474" totalsRowDxfId="78"/>
    <tableColumn id="19" xr3:uid="{00000000-0010-0000-0B00-000013000000}" name="18" totalsRowFunction="count" dataDxfId="473" totalsRowDxfId="77"/>
    <tableColumn id="20" xr3:uid="{00000000-0010-0000-0B00-000014000000}" name="19" totalsRowFunction="count" dataDxfId="472" totalsRowDxfId="76"/>
    <tableColumn id="21" xr3:uid="{00000000-0010-0000-0B00-000015000000}" name="20" totalsRowFunction="count" dataDxfId="471" totalsRowDxfId="75"/>
    <tableColumn id="22" xr3:uid="{00000000-0010-0000-0B00-000016000000}" name="21" totalsRowFunction="count" dataDxfId="470" totalsRowDxfId="74"/>
    <tableColumn id="23" xr3:uid="{00000000-0010-0000-0B00-000017000000}" name="22" totalsRowFunction="count" dataDxfId="469" totalsRowDxfId="73"/>
    <tableColumn id="24" xr3:uid="{00000000-0010-0000-0B00-000018000000}" name="23" totalsRowFunction="count" dataDxfId="468" totalsRowDxfId="72"/>
    <tableColumn id="25" xr3:uid="{00000000-0010-0000-0B00-000019000000}" name="24" totalsRowFunction="count" dataDxfId="467" totalsRowDxfId="71"/>
    <tableColumn id="26" xr3:uid="{00000000-0010-0000-0B00-00001A000000}" name="25" totalsRowFunction="count" dataDxfId="466" totalsRowDxfId="70"/>
    <tableColumn id="27" xr3:uid="{00000000-0010-0000-0B00-00001B000000}" name="26" totalsRowFunction="count" dataDxfId="465" totalsRowDxfId="69"/>
    <tableColumn id="28" xr3:uid="{00000000-0010-0000-0B00-00001C000000}" name="27" totalsRowFunction="count" dataDxfId="464" totalsRowDxfId="68"/>
    <tableColumn id="29" xr3:uid="{00000000-0010-0000-0B00-00001D000000}" name="28" totalsRowFunction="count" dataDxfId="463" totalsRowDxfId="67"/>
    <tableColumn id="30" xr3:uid="{00000000-0010-0000-0B00-00001E000000}" name="29" totalsRowFunction="count" dataDxfId="462" totalsRowDxfId="66"/>
    <tableColumn id="31" xr3:uid="{00000000-0010-0000-0B00-00001F000000}" name="30" totalsRowFunction="count" dataDxfId="461" totalsRowDxfId="65"/>
    <tableColumn id="32" xr3:uid="{00000000-0010-0000-0B00-000020000000}" name="31" totalsRowFunction="count" dataDxfId="460" totalsRowDxfId="64"/>
    <tableColumn id="33" xr3:uid="{00000000-0010-0000-0B00-000021000000}" name="Общо дни" totalsRowFunction="sum" dataDxfId="459" totalsRowDxfId="63">
      <calculatedColumnFormula>COUNTA(Декември[[#This Row],[1]:[31]])</calculatedColumnFormula>
    </tableColumn>
  </tableColumns>
  <tableStyleInfo name="Таблица за отсъствия на служителите" showFirstColumn="1" showLastColumn="1" showRowStripes="1" showColumnStripes="0"/>
  <extLst>
    <ext xmlns:x14="http://schemas.microsoft.com/office/spreadsheetml/2009/9/main" uri="{504A1905-F514-4f6f-8877-14C23A59335A}">
      <x14:table altTextSummary="Предоставя списък с имена и календарни дати за записване на отсъствията на служителите и конкретните типове отсъствия, като например О=Отпуск, Б=Болест, Л=Лични и два контейнера за записи по избор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ИмеНаСлужителя" displayName="ИмеНаСлужителя" ref="B3:B8">
  <autoFilter ref="B3:B8" xr:uid="{00000000-0009-0000-0100-00000D000000}"/>
  <tableColumns count="1">
    <tableColumn id="1" xr3:uid="{00000000-0010-0000-0C00-000001000000}" name="Имена на служителите" totalsRowFunction="count" totalsRowDxfId="62" dataCellStyle="Служител"/>
  </tableColumns>
  <tableStyleInfo name="Таблица за отсъствия на служителите" showFirstColumn="1" showLastColumn="1" showRowStripes="1" showColumnStripes="0"/>
  <extLst>
    <ext xmlns:x14="http://schemas.microsoft.com/office/spreadsheetml/2009/9/main" uri="{504A1905-F514-4f6f-8877-14C23A59335A}">
      <x14:table altTextSummary="Въведете имената на служителите в тази таблица. Тези имена се използват като опции в колона B на графика на отсъствията за всеки месец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Февруари" displayName="Февруари" ref="B6:AH12" totalsRowCount="1" headerRowDxfId="854" dataDxfId="853" totalsRowDxfId="852">
  <tableColumns count="33">
    <tableColumn id="1" xr3:uid="{00000000-0010-0000-0100-000001000000}" name="Име на служител" totalsRowFunction="custom" dataDxfId="851" totalsRowDxfId="425" dataCellStyle="Служител">
      <totalsRowFormula>ИмеМесец&amp;" Общо"</totalsRowFormula>
    </tableColumn>
    <tableColumn id="2" xr3:uid="{00000000-0010-0000-0100-000002000000}" name="1" totalsRowFunction="count" dataDxfId="850" totalsRowDxfId="424"/>
    <tableColumn id="3" xr3:uid="{00000000-0010-0000-0100-000003000000}" name="2" totalsRowFunction="count" dataDxfId="849" totalsRowDxfId="423"/>
    <tableColumn id="4" xr3:uid="{00000000-0010-0000-0100-000004000000}" name="3" totalsRowFunction="count" dataDxfId="848" totalsRowDxfId="422"/>
    <tableColumn id="5" xr3:uid="{00000000-0010-0000-0100-000005000000}" name="4" totalsRowFunction="count" dataDxfId="847" totalsRowDxfId="421"/>
    <tableColumn id="6" xr3:uid="{00000000-0010-0000-0100-000006000000}" name="5" totalsRowFunction="count" dataDxfId="846" totalsRowDxfId="420"/>
    <tableColumn id="7" xr3:uid="{00000000-0010-0000-0100-000007000000}" name="6" totalsRowFunction="count" dataDxfId="845" totalsRowDxfId="419"/>
    <tableColumn id="8" xr3:uid="{00000000-0010-0000-0100-000008000000}" name="7" totalsRowFunction="count" dataDxfId="844" totalsRowDxfId="418"/>
    <tableColumn id="9" xr3:uid="{00000000-0010-0000-0100-000009000000}" name="8" totalsRowFunction="count" dataDxfId="843" totalsRowDxfId="417"/>
    <tableColumn id="10" xr3:uid="{00000000-0010-0000-0100-00000A000000}" name="9" totalsRowFunction="count" dataDxfId="842" totalsRowDxfId="416"/>
    <tableColumn id="11" xr3:uid="{00000000-0010-0000-0100-00000B000000}" name="10" totalsRowFunction="count" dataDxfId="841" totalsRowDxfId="415"/>
    <tableColumn id="12" xr3:uid="{00000000-0010-0000-0100-00000C000000}" name="11" totalsRowFunction="count" dataDxfId="840" totalsRowDxfId="414"/>
    <tableColumn id="13" xr3:uid="{00000000-0010-0000-0100-00000D000000}" name="12" totalsRowFunction="count" dataDxfId="839" totalsRowDxfId="413"/>
    <tableColumn id="14" xr3:uid="{00000000-0010-0000-0100-00000E000000}" name="13" totalsRowFunction="count" dataDxfId="838" totalsRowDxfId="412"/>
    <tableColumn id="15" xr3:uid="{00000000-0010-0000-0100-00000F000000}" name="14" totalsRowFunction="count" dataDxfId="837" totalsRowDxfId="411"/>
    <tableColumn id="16" xr3:uid="{00000000-0010-0000-0100-000010000000}" name="15" totalsRowFunction="count" dataDxfId="836" totalsRowDxfId="410"/>
    <tableColumn id="17" xr3:uid="{00000000-0010-0000-0100-000011000000}" name="16" totalsRowFunction="count" dataDxfId="835" totalsRowDxfId="409"/>
    <tableColumn id="18" xr3:uid="{00000000-0010-0000-0100-000012000000}" name="17" totalsRowFunction="count" dataDxfId="834" totalsRowDxfId="408"/>
    <tableColumn id="19" xr3:uid="{00000000-0010-0000-0100-000013000000}" name="18" totalsRowFunction="count" dataDxfId="833" totalsRowDxfId="407"/>
    <tableColumn id="20" xr3:uid="{00000000-0010-0000-0100-000014000000}" name="19" totalsRowFunction="count" dataDxfId="832" totalsRowDxfId="406"/>
    <tableColumn id="21" xr3:uid="{00000000-0010-0000-0100-000015000000}" name="20" totalsRowFunction="count" dataDxfId="831" totalsRowDxfId="405"/>
    <tableColumn id="22" xr3:uid="{00000000-0010-0000-0100-000016000000}" name="21" totalsRowFunction="count" dataDxfId="830" totalsRowDxfId="404"/>
    <tableColumn id="23" xr3:uid="{00000000-0010-0000-0100-000017000000}" name="22" totalsRowFunction="count" dataDxfId="829" totalsRowDxfId="403"/>
    <tableColumn id="24" xr3:uid="{00000000-0010-0000-0100-000018000000}" name="23" totalsRowFunction="count" dataDxfId="828" totalsRowDxfId="402"/>
    <tableColumn id="25" xr3:uid="{00000000-0010-0000-0100-000019000000}" name="24" totalsRowFunction="count" dataDxfId="827" totalsRowDxfId="401"/>
    <tableColumn id="26" xr3:uid="{00000000-0010-0000-0100-00001A000000}" name="25" totalsRowFunction="count" dataDxfId="826" totalsRowDxfId="400"/>
    <tableColumn id="27" xr3:uid="{00000000-0010-0000-0100-00001B000000}" name="26" totalsRowFunction="count" dataDxfId="825" totalsRowDxfId="399"/>
    <tableColumn id="28" xr3:uid="{00000000-0010-0000-0100-00001C000000}" name="27" totalsRowFunction="count" dataDxfId="824" totalsRowDxfId="398"/>
    <tableColumn id="29" xr3:uid="{00000000-0010-0000-0100-00001D000000}" name="28" totalsRowFunction="count" dataDxfId="823" totalsRowDxfId="397"/>
    <tableColumn id="30" xr3:uid="{00000000-0010-0000-0100-00001E000000}" name="29" totalsRowFunction="count" dataDxfId="822" totalsRowDxfId="396"/>
    <tableColumn id="31" xr3:uid="{00000000-0010-0000-0100-00001F000000}" name=" " dataDxfId="821" totalsRowDxfId="395"/>
    <tableColumn id="32" xr3:uid="{00000000-0010-0000-0100-000020000000}" name="  " dataDxfId="820" totalsRowDxfId="394"/>
    <tableColumn id="33" xr3:uid="{00000000-0010-0000-0100-000021000000}" name="Общо дни" totalsRowFunction="sum" dataDxfId="819" totalsRowDxfId="393">
      <calculatedColumnFormula>COUNTA(Февруари[[#This Row],[1]:[29]])</calculatedColumnFormula>
    </tableColumn>
  </tableColumns>
  <tableStyleInfo name="Таблица за отсъствия на служителите" showFirstColumn="1" showLastColumn="1" showRowStripes="1" showColumnStripes="0"/>
  <extLst>
    <ext xmlns:x14="http://schemas.microsoft.com/office/spreadsheetml/2009/9/main" uri="{504A1905-F514-4f6f-8877-14C23A59335A}">
      <x14:table altTextSummary="Въведете имената на служителите и датите на отсъствие. Запишете типа отсъствие според ключа в ред 12: О=Отпуск; Б=Болест, Л=лични, плюс два контейнера за записи по избор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Март" displayName="Март" ref="B6:AH12" totalsRowCount="1" headerRowDxfId="818" dataDxfId="817" totalsRowDxfId="816">
  <tableColumns count="33">
    <tableColumn id="1" xr3:uid="{00000000-0010-0000-0200-000001000000}" name="Име на служител" totalsRowFunction="custom" dataDxfId="815" totalsRowDxfId="392" dataCellStyle="Служител">
      <totalsRowFormula>ИмеМесец&amp;" Общо"</totalsRowFormula>
    </tableColumn>
    <tableColumn id="2" xr3:uid="{00000000-0010-0000-0200-000002000000}" name="1" totalsRowFunction="count" dataDxfId="814" totalsRowDxfId="391"/>
    <tableColumn id="3" xr3:uid="{00000000-0010-0000-0200-000003000000}" name="2" totalsRowFunction="count" dataDxfId="813" totalsRowDxfId="390"/>
    <tableColumn id="4" xr3:uid="{00000000-0010-0000-0200-000004000000}" name="3" totalsRowFunction="count" dataDxfId="812" totalsRowDxfId="389"/>
    <tableColumn id="5" xr3:uid="{00000000-0010-0000-0200-000005000000}" name="4" totalsRowFunction="count" dataDxfId="811" totalsRowDxfId="388"/>
    <tableColumn id="6" xr3:uid="{00000000-0010-0000-0200-000006000000}" name="5" totalsRowFunction="count" dataDxfId="810" totalsRowDxfId="387"/>
    <tableColumn id="7" xr3:uid="{00000000-0010-0000-0200-000007000000}" name="6" totalsRowFunction="count" dataDxfId="809" totalsRowDxfId="386"/>
    <tableColumn id="8" xr3:uid="{00000000-0010-0000-0200-000008000000}" name="7" totalsRowFunction="count" dataDxfId="808" totalsRowDxfId="385"/>
    <tableColumn id="9" xr3:uid="{00000000-0010-0000-0200-000009000000}" name="8" totalsRowFunction="count" dataDxfId="807" totalsRowDxfId="384"/>
    <tableColumn id="10" xr3:uid="{00000000-0010-0000-0200-00000A000000}" name="9" totalsRowFunction="count" dataDxfId="806" totalsRowDxfId="383"/>
    <tableColumn id="11" xr3:uid="{00000000-0010-0000-0200-00000B000000}" name="10" totalsRowFunction="count" dataDxfId="805" totalsRowDxfId="382"/>
    <tableColumn id="12" xr3:uid="{00000000-0010-0000-0200-00000C000000}" name="11" totalsRowFunction="count" dataDxfId="804" totalsRowDxfId="381"/>
    <tableColumn id="13" xr3:uid="{00000000-0010-0000-0200-00000D000000}" name="12" totalsRowFunction="count" dataDxfId="803" totalsRowDxfId="380"/>
    <tableColumn id="14" xr3:uid="{00000000-0010-0000-0200-00000E000000}" name="13" totalsRowFunction="count" dataDxfId="802" totalsRowDxfId="379"/>
    <tableColumn id="15" xr3:uid="{00000000-0010-0000-0200-00000F000000}" name="14" totalsRowFunction="count" dataDxfId="801" totalsRowDxfId="378"/>
    <tableColumn id="16" xr3:uid="{00000000-0010-0000-0200-000010000000}" name="15" totalsRowFunction="count" dataDxfId="800" totalsRowDxfId="377"/>
    <tableColumn id="17" xr3:uid="{00000000-0010-0000-0200-000011000000}" name="16" totalsRowFunction="count" dataDxfId="799" totalsRowDxfId="376"/>
    <tableColumn id="18" xr3:uid="{00000000-0010-0000-0200-000012000000}" name="17" totalsRowFunction="count" dataDxfId="798" totalsRowDxfId="375"/>
    <tableColumn id="19" xr3:uid="{00000000-0010-0000-0200-000013000000}" name="18" totalsRowFunction="count" dataDxfId="797" totalsRowDxfId="374"/>
    <tableColumn id="20" xr3:uid="{00000000-0010-0000-0200-000014000000}" name="19" totalsRowFunction="count" dataDxfId="796" totalsRowDxfId="373"/>
    <tableColumn id="21" xr3:uid="{00000000-0010-0000-0200-000015000000}" name="20" totalsRowFunction="count" dataDxfId="795" totalsRowDxfId="372"/>
    <tableColumn id="22" xr3:uid="{00000000-0010-0000-0200-000016000000}" name="21" totalsRowFunction="count" dataDxfId="794" totalsRowDxfId="371"/>
    <tableColumn id="23" xr3:uid="{00000000-0010-0000-0200-000017000000}" name="22" totalsRowFunction="count" dataDxfId="793" totalsRowDxfId="370"/>
    <tableColumn id="24" xr3:uid="{00000000-0010-0000-0200-000018000000}" name="23" totalsRowFunction="count" dataDxfId="792" totalsRowDxfId="369"/>
    <tableColumn id="25" xr3:uid="{00000000-0010-0000-0200-000019000000}" name="24" totalsRowFunction="count" dataDxfId="791" totalsRowDxfId="368"/>
    <tableColumn id="26" xr3:uid="{00000000-0010-0000-0200-00001A000000}" name="25" totalsRowFunction="count" dataDxfId="790" totalsRowDxfId="367"/>
    <tableColumn id="27" xr3:uid="{00000000-0010-0000-0200-00001B000000}" name="26" totalsRowFunction="count" dataDxfId="789" totalsRowDxfId="366"/>
    <tableColumn id="28" xr3:uid="{00000000-0010-0000-0200-00001C000000}" name="27" totalsRowFunction="count" dataDxfId="788" totalsRowDxfId="365"/>
    <tableColumn id="29" xr3:uid="{00000000-0010-0000-0200-00001D000000}" name="28" totalsRowFunction="count" dataDxfId="787" totalsRowDxfId="364"/>
    <tableColumn id="30" xr3:uid="{00000000-0010-0000-0200-00001E000000}" name="29" totalsRowFunction="count" dataDxfId="786" totalsRowDxfId="363"/>
    <tableColumn id="31" xr3:uid="{00000000-0010-0000-0200-00001F000000}" name="30" totalsRowFunction="count" dataDxfId="785" totalsRowDxfId="362"/>
    <tableColumn id="32" xr3:uid="{00000000-0010-0000-0200-000020000000}" name="31" totalsRowFunction="count" dataDxfId="784" totalsRowDxfId="361"/>
    <tableColumn id="33" xr3:uid="{00000000-0010-0000-0200-000021000000}" name="Общо дни" totalsRowFunction="sum" dataDxfId="783" totalsRowDxfId="360">
      <calculatedColumnFormula>COUNTA(Март[[#This Row],[1]:[31]])</calculatedColumnFormula>
    </tableColumn>
  </tableColumns>
  <tableStyleInfo name="Таблица за отсъствия на служителите" showFirstColumn="1" showLastColumn="1" showRowStripes="1" showColumnStripes="0"/>
  <extLst>
    <ext xmlns:x14="http://schemas.microsoft.com/office/spreadsheetml/2009/9/main" uri="{504A1905-F514-4f6f-8877-14C23A59335A}">
      <x14:table altTextSummary="Въведете имената на служителите и датите на отсъствие. Запишете типа отсъствие според ключа в ред 12: О=Отпуск; Б=Болест, Л=лични, плюс два контейнера за записи по избор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3000000}" name="Април" displayName="Април" ref="B6:AH12" totalsRowCount="1" headerRowDxfId="782" dataDxfId="781" totalsRowDxfId="780">
  <tableColumns count="33">
    <tableColumn id="1" xr3:uid="{00000000-0010-0000-0300-000001000000}" name="Име на служител" totalsRowFunction="custom" dataDxfId="779" totalsRowDxfId="359" dataCellStyle="Служител">
      <totalsRowFormula>ИмеМесец&amp;" Общо"</totalsRowFormula>
    </tableColumn>
    <tableColumn id="2" xr3:uid="{00000000-0010-0000-0300-000002000000}" name="1" totalsRowFunction="count" dataDxfId="778" totalsRowDxfId="358"/>
    <tableColumn id="3" xr3:uid="{00000000-0010-0000-0300-000003000000}" name="2" totalsRowFunction="count" dataDxfId="777" totalsRowDxfId="357"/>
    <tableColumn id="4" xr3:uid="{00000000-0010-0000-0300-000004000000}" name="3" totalsRowFunction="count" dataDxfId="776" totalsRowDxfId="356"/>
    <tableColumn id="5" xr3:uid="{00000000-0010-0000-0300-000005000000}" name="4" totalsRowFunction="count" dataDxfId="775" totalsRowDxfId="355"/>
    <tableColumn id="6" xr3:uid="{00000000-0010-0000-0300-000006000000}" name="5" totalsRowFunction="count" dataDxfId="774" totalsRowDxfId="354"/>
    <tableColumn id="7" xr3:uid="{00000000-0010-0000-0300-000007000000}" name="6" totalsRowFunction="count" dataDxfId="773" totalsRowDxfId="353"/>
    <tableColumn id="8" xr3:uid="{00000000-0010-0000-0300-000008000000}" name="7" totalsRowFunction="count" dataDxfId="772" totalsRowDxfId="352"/>
    <tableColumn id="9" xr3:uid="{00000000-0010-0000-0300-000009000000}" name="8" totalsRowFunction="count" dataDxfId="771" totalsRowDxfId="351"/>
    <tableColumn id="10" xr3:uid="{00000000-0010-0000-0300-00000A000000}" name="9" totalsRowFunction="count" dataDxfId="770" totalsRowDxfId="350"/>
    <tableColumn id="11" xr3:uid="{00000000-0010-0000-0300-00000B000000}" name="10" totalsRowFunction="count" dataDxfId="769" totalsRowDxfId="349"/>
    <tableColumn id="12" xr3:uid="{00000000-0010-0000-0300-00000C000000}" name="11" totalsRowFunction="count" dataDxfId="768" totalsRowDxfId="348"/>
    <tableColumn id="13" xr3:uid="{00000000-0010-0000-0300-00000D000000}" name="12" totalsRowFunction="count" dataDxfId="767" totalsRowDxfId="347"/>
    <tableColumn id="14" xr3:uid="{00000000-0010-0000-0300-00000E000000}" name="13" totalsRowFunction="count" dataDxfId="766" totalsRowDxfId="346"/>
    <tableColumn id="15" xr3:uid="{00000000-0010-0000-0300-00000F000000}" name="14" totalsRowFunction="count" dataDxfId="765" totalsRowDxfId="345"/>
    <tableColumn id="16" xr3:uid="{00000000-0010-0000-0300-000010000000}" name="15" totalsRowFunction="count" dataDxfId="764" totalsRowDxfId="344"/>
    <tableColumn id="17" xr3:uid="{00000000-0010-0000-0300-000011000000}" name="16" totalsRowFunction="count" dataDxfId="763" totalsRowDxfId="343"/>
    <tableColumn id="18" xr3:uid="{00000000-0010-0000-0300-000012000000}" name="17" totalsRowFunction="count" dataDxfId="762" totalsRowDxfId="342"/>
    <tableColumn id="19" xr3:uid="{00000000-0010-0000-0300-000013000000}" name="18" totalsRowFunction="count" dataDxfId="761" totalsRowDxfId="341"/>
    <tableColumn id="20" xr3:uid="{00000000-0010-0000-0300-000014000000}" name="19" totalsRowFunction="count" dataDxfId="760" totalsRowDxfId="340"/>
    <tableColumn id="21" xr3:uid="{00000000-0010-0000-0300-000015000000}" name="20" totalsRowFunction="count" dataDxfId="759" totalsRowDxfId="339"/>
    <tableColumn id="22" xr3:uid="{00000000-0010-0000-0300-000016000000}" name="21" totalsRowFunction="count" dataDxfId="758" totalsRowDxfId="338"/>
    <tableColumn id="23" xr3:uid="{00000000-0010-0000-0300-000017000000}" name="22" totalsRowFunction="count" dataDxfId="757" totalsRowDxfId="337"/>
    <tableColumn id="24" xr3:uid="{00000000-0010-0000-0300-000018000000}" name="23" totalsRowFunction="count" dataDxfId="756" totalsRowDxfId="336"/>
    <tableColumn id="25" xr3:uid="{00000000-0010-0000-0300-000019000000}" name="24" totalsRowFunction="count" dataDxfId="755" totalsRowDxfId="335"/>
    <tableColumn id="26" xr3:uid="{00000000-0010-0000-0300-00001A000000}" name="25" totalsRowFunction="count" dataDxfId="754" totalsRowDxfId="334"/>
    <tableColumn id="27" xr3:uid="{00000000-0010-0000-0300-00001B000000}" name="26" totalsRowFunction="count" dataDxfId="753" totalsRowDxfId="333"/>
    <tableColumn id="28" xr3:uid="{00000000-0010-0000-0300-00001C000000}" name="27" totalsRowFunction="count" dataDxfId="752" totalsRowDxfId="332"/>
    <tableColumn id="29" xr3:uid="{00000000-0010-0000-0300-00001D000000}" name="28" totalsRowFunction="count" dataDxfId="751" totalsRowDxfId="331"/>
    <tableColumn id="30" xr3:uid="{00000000-0010-0000-0300-00001E000000}" name="29" totalsRowFunction="count" dataDxfId="750" totalsRowDxfId="330"/>
    <tableColumn id="31" xr3:uid="{00000000-0010-0000-0300-00001F000000}" name="30" totalsRowFunction="count" dataDxfId="749" totalsRowDxfId="329"/>
    <tableColumn id="32" xr3:uid="{00000000-0010-0000-0300-000020000000}" name=" " totalsRowFunction="custom" dataDxfId="748" totalsRowDxfId="328">
      <totalsRowFormula>SUBTOTAL(103,Април[30])</totalsRowFormula>
    </tableColumn>
    <tableColumn id="33" xr3:uid="{00000000-0010-0000-0300-000021000000}" name="Общо дни" totalsRowFunction="sum" dataDxfId="747" totalsRowDxfId="327">
      <calculatedColumnFormula>COUNTA(Април[[#This Row],[1]:[30]])</calculatedColumnFormula>
    </tableColumn>
  </tableColumns>
  <tableStyleInfo name="Таблица за отсъствия на служителите" showFirstColumn="1" showLastColumn="1" showRowStripes="1" showColumnStripes="0"/>
  <extLst>
    <ext xmlns:x14="http://schemas.microsoft.com/office/spreadsheetml/2009/9/main" uri="{504A1905-F514-4f6f-8877-14C23A59335A}">
      <x14:table altTextSummary="Въведете имената на служителите и датите на отсъствие. Запишете типа отсъствие според ключа в ред 12: О=Отпуск; Б=Болест, Л=лични, плюс два контейнера за записи по избор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4000000}" name="Май" displayName="Май" ref="B6:AH12" totalsRowCount="1" headerRowDxfId="746" dataDxfId="745" totalsRowDxfId="744">
  <tableColumns count="33">
    <tableColumn id="1" xr3:uid="{00000000-0010-0000-0400-000001000000}" name="Име на служител" totalsRowFunction="custom" dataDxfId="743" totalsRowDxfId="326" dataCellStyle="Служител">
      <totalsRowFormula>ИмеМесец&amp;" Общо"</totalsRowFormula>
    </tableColumn>
    <tableColumn id="2" xr3:uid="{00000000-0010-0000-0400-000002000000}" name="1" totalsRowFunction="count" dataDxfId="742" totalsRowDxfId="325"/>
    <tableColumn id="3" xr3:uid="{00000000-0010-0000-0400-000003000000}" name="2" totalsRowFunction="count" dataDxfId="741" totalsRowDxfId="324"/>
    <tableColumn id="4" xr3:uid="{00000000-0010-0000-0400-000004000000}" name="3" totalsRowFunction="count" dataDxfId="740" totalsRowDxfId="323"/>
    <tableColumn id="5" xr3:uid="{00000000-0010-0000-0400-000005000000}" name="4" totalsRowFunction="count" dataDxfId="739" totalsRowDxfId="322"/>
    <tableColumn id="6" xr3:uid="{00000000-0010-0000-0400-000006000000}" name="5" totalsRowFunction="count" dataDxfId="738" totalsRowDxfId="321"/>
    <tableColumn id="7" xr3:uid="{00000000-0010-0000-0400-000007000000}" name="6" totalsRowFunction="count" dataDxfId="737" totalsRowDxfId="320"/>
    <tableColumn id="8" xr3:uid="{00000000-0010-0000-0400-000008000000}" name="7" totalsRowFunction="count" dataDxfId="736" totalsRowDxfId="319"/>
    <tableColumn id="9" xr3:uid="{00000000-0010-0000-0400-000009000000}" name="8" totalsRowFunction="count" dataDxfId="735" totalsRowDxfId="318"/>
    <tableColumn id="10" xr3:uid="{00000000-0010-0000-0400-00000A000000}" name="9" totalsRowFunction="count" dataDxfId="734" totalsRowDxfId="317"/>
    <tableColumn id="11" xr3:uid="{00000000-0010-0000-0400-00000B000000}" name="10" totalsRowFunction="count" dataDxfId="733" totalsRowDxfId="316"/>
    <tableColumn id="12" xr3:uid="{00000000-0010-0000-0400-00000C000000}" name="11" totalsRowFunction="count" dataDxfId="732" totalsRowDxfId="315"/>
    <tableColumn id="13" xr3:uid="{00000000-0010-0000-0400-00000D000000}" name="12" totalsRowFunction="count" dataDxfId="731" totalsRowDxfId="314"/>
    <tableColumn id="14" xr3:uid="{00000000-0010-0000-0400-00000E000000}" name="13" totalsRowFunction="count" dataDxfId="730" totalsRowDxfId="313"/>
    <tableColumn id="15" xr3:uid="{00000000-0010-0000-0400-00000F000000}" name="14" totalsRowFunction="count" dataDxfId="729" totalsRowDxfId="312"/>
    <tableColumn id="16" xr3:uid="{00000000-0010-0000-0400-000010000000}" name="15" totalsRowFunction="count" dataDxfId="728" totalsRowDxfId="311"/>
    <tableColumn id="17" xr3:uid="{00000000-0010-0000-0400-000011000000}" name="16" totalsRowFunction="count" dataDxfId="727" totalsRowDxfId="310"/>
    <tableColumn id="18" xr3:uid="{00000000-0010-0000-0400-000012000000}" name="17" totalsRowFunction="count" dataDxfId="726" totalsRowDxfId="309"/>
    <tableColumn id="19" xr3:uid="{00000000-0010-0000-0400-000013000000}" name="18" totalsRowFunction="count" dataDxfId="725" totalsRowDxfId="308"/>
    <tableColumn id="20" xr3:uid="{00000000-0010-0000-0400-000014000000}" name="19" totalsRowFunction="count" dataDxfId="724" totalsRowDxfId="307"/>
    <tableColumn id="21" xr3:uid="{00000000-0010-0000-0400-000015000000}" name="20" totalsRowFunction="count" dataDxfId="723" totalsRowDxfId="306"/>
    <tableColumn id="22" xr3:uid="{00000000-0010-0000-0400-000016000000}" name="21" totalsRowFunction="count" dataDxfId="722" totalsRowDxfId="305"/>
    <tableColumn id="23" xr3:uid="{00000000-0010-0000-0400-000017000000}" name="22" totalsRowFunction="count" dataDxfId="721" totalsRowDxfId="304"/>
    <tableColumn id="24" xr3:uid="{00000000-0010-0000-0400-000018000000}" name="23" totalsRowFunction="count" dataDxfId="720" totalsRowDxfId="303"/>
    <tableColumn id="25" xr3:uid="{00000000-0010-0000-0400-000019000000}" name="24" totalsRowFunction="count" dataDxfId="719" totalsRowDxfId="302"/>
    <tableColumn id="26" xr3:uid="{00000000-0010-0000-0400-00001A000000}" name="25" totalsRowFunction="count" dataDxfId="718" totalsRowDxfId="301"/>
    <tableColumn id="27" xr3:uid="{00000000-0010-0000-0400-00001B000000}" name="26" totalsRowFunction="count" dataDxfId="717" totalsRowDxfId="300"/>
    <tableColumn id="28" xr3:uid="{00000000-0010-0000-0400-00001C000000}" name="27" totalsRowFunction="count" dataDxfId="716" totalsRowDxfId="299"/>
    <tableColumn id="29" xr3:uid="{00000000-0010-0000-0400-00001D000000}" name="28" totalsRowFunction="count" dataDxfId="715" totalsRowDxfId="298"/>
    <tableColumn id="30" xr3:uid="{00000000-0010-0000-0400-00001E000000}" name="29" totalsRowFunction="count" dataDxfId="714" totalsRowDxfId="297"/>
    <tableColumn id="31" xr3:uid="{00000000-0010-0000-0400-00001F000000}" name="30" totalsRowFunction="count" dataDxfId="713" totalsRowDxfId="296"/>
    <tableColumn id="32" xr3:uid="{00000000-0010-0000-0400-000020000000}" name="31" totalsRowFunction="count" dataDxfId="712" totalsRowDxfId="295"/>
    <tableColumn id="33" xr3:uid="{00000000-0010-0000-0400-000021000000}" name="Общо дни" totalsRowFunction="sum" dataDxfId="711" totalsRowDxfId="294">
      <calculatedColumnFormula>COUNTA(Май[[#This Row],[1]:[31]])</calculatedColumnFormula>
    </tableColumn>
  </tableColumns>
  <tableStyleInfo name="Таблица за отсъствия на служителите" showFirstColumn="1" showLastColumn="1" showRowStripes="1" showColumnStripes="0"/>
  <extLst>
    <ext xmlns:x14="http://schemas.microsoft.com/office/spreadsheetml/2009/9/main" uri="{504A1905-F514-4f6f-8877-14C23A59335A}">
      <x14:table altTextSummary="Въведете имената на служителите и датите на отсъствие. Запишете типа отсъствие според ключа в ред 12: О=Отпуск; Б=Болест, Л=лични, плюс два контейнера за записи по избор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5000000}" name="Юни" displayName="Юни" ref="B6:AH12" totalsRowCount="1" headerRowDxfId="710" dataDxfId="709" totalsRowDxfId="708">
  <tableColumns count="33">
    <tableColumn id="1" xr3:uid="{00000000-0010-0000-0500-000001000000}" name="Име на служител" totalsRowFunction="custom" dataDxfId="707" totalsRowDxfId="293" dataCellStyle="Служител">
      <totalsRowFormula>ИмеМесец&amp;" Общо"</totalsRowFormula>
    </tableColumn>
    <tableColumn id="2" xr3:uid="{00000000-0010-0000-0500-000002000000}" name="1" totalsRowFunction="count" dataDxfId="706" totalsRowDxfId="292"/>
    <tableColumn id="3" xr3:uid="{00000000-0010-0000-0500-000003000000}" name="2" totalsRowFunction="count" dataDxfId="705" totalsRowDxfId="291"/>
    <tableColumn id="4" xr3:uid="{00000000-0010-0000-0500-000004000000}" name="3" totalsRowFunction="count" dataDxfId="704" totalsRowDxfId="290"/>
    <tableColumn id="5" xr3:uid="{00000000-0010-0000-0500-000005000000}" name="4" totalsRowFunction="count" dataDxfId="703" totalsRowDxfId="289"/>
    <tableColumn id="6" xr3:uid="{00000000-0010-0000-0500-000006000000}" name="5" totalsRowFunction="count" dataDxfId="702" totalsRowDxfId="288"/>
    <tableColumn id="7" xr3:uid="{00000000-0010-0000-0500-000007000000}" name="6" totalsRowFunction="count" dataDxfId="701" totalsRowDxfId="287"/>
    <tableColumn id="8" xr3:uid="{00000000-0010-0000-0500-000008000000}" name="7" totalsRowFunction="count" dataDxfId="700" totalsRowDxfId="286"/>
    <tableColumn id="9" xr3:uid="{00000000-0010-0000-0500-000009000000}" name="8" totalsRowFunction="count" dataDxfId="699" totalsRowDxfId="285"/>
    <tableColumn id="10" xr3:uid="{00000000-0010-0000-0500-00000A000000}" name="9" totalsRowFunction="count" dataDxfId="698" totalsRowDxfId="284"/>
    <tableColumn id="11" xr3:uid="{00000000-0010-0000-0500-00000B000000}" name="10" totalsRowFunction="count" dataDxfId="697" totalsRowDxfId="283"/>
    <tableColumn id="12" xr3:uid="{00000000-0010-0000-0500-00000C000000}" name="11" totalsRowFunction="count" dataDxfId="696" totalsRowDxfId="282"/>
    <tableColumn id="13" xr3:uid="{00000000-0010-0000-0500-00000D000000}" name="12" totalsRowFunction="count" dataDxfId="695" totalsRowDxfId="281"/>
    <tableColumn id="14" xr3:uid="{00000000-0010-0000-0500-00000E000000}" name="13" totalsRowFunction="count" dataDxfId="694" totalsRowDxfId="280"/>
    <tableColumn id="15" xr3:uid="{00000000-0010-0000-0500-00000F000000}" name="14" totalsRowFunction="count" dataDxfId="693" totalsRowDxfId="279"/>
    <tableColumn id="16" xr3:uid="{00000000-0010-0000-0500-000010000000}" name="15" totalsRowFunction="count" dataDxfId="692" totalsRowDxfId="278"/>
    <tableColumn id="17" xr3:uid="{00000000-0010-0000-0500-000011000000}" name="16" totalsRowFunction="count" dataDxfId="691" totalsRowDxfId="277"/>
    <tableColumn id="18" xr3:uid="{00000000-0010-0000-0500-000012000000}" name="17" totalsRowFunction="count" dataDxfId="690" totalsRowDxfId="276"/>
    <tableColumn id="19" xr3:uid="{00000000-0010-0000-0500-000013000000}" name="18" totalsRowFunction="count" dataDxfId="689" totalsRowDxfId="275"/>
    <tableColumn id="20" xr3:uid="{00000000-0010-0000-0500-000014000000}" name="19" totalsRowFunction="count" dataDxfId="688" totalsRowDxfId="274"/>
    <tableColumn id="21" xr3:uid="{00000000-0010-0000-0500-000015000000}" name="20" totalsRowFunction="count" dataDxfId="687" totalsRowDxfId="273"/>
    <tableColumn id="22" xr3:uid="{00000000-0010-0000-0500-000016000000}" name="21" totalsRowFunction="count" dataDxfId="686" totalsRowDxfId="272"/>
    <tableColumn id="23" xr3:uid="{00000000-0010-0000-0500-000017000000}" name="22" totalsRowFunction="count" dataDxfId="685" totalsRowDxfId="271"/>
    <tableColumn id="24" xr3:uid="{00000000-0010-0000-0500-000018000000}" name="23" totalsRowFunction="count" dataDxfId="684" totalsRowDxfId="270"/>
    <tableColumn id="25" xr3:uid="{00000000-0010-0000-0500-000019000000}" name="24" totalsRowFunction="count" dataDxfId="683" totalsRowDxfId="269"/>
    <tableColumn id="26" xr3:uid="{00000000-0010-0000-0500-00001A000000}" name="25" totalsRowFunction="count" dataDxfId="682" totalsRowDxfId="268"/>
    <tableColumn id="27" xr3:uid="{00000000-0010-0000-0500-00001B000000}" name="26" totalsRowFunction="count" dataDxfId="681" totalsRowDxfId="267"/>
    <tableColumn id="28" xr3:uid="{00000000-0010-0000-0500-00001C000000}" name="27" totalsRowFunction="count" dataDxfId="680" totalsRowDxfId="266"/>
    <tableColumn id="29" xr3:uid="{00000000-0010-0000-0500-00001D000000}" name="28" totalsRowFunction="count" dataDxfId="679" totalsRowDxfId="265"/>
    <tableColumn id="30" xr3:uid="{00000000-0010-0000-0500-00001E000000}" name="29" totalsRowFunction="count" dataDxfId="678" totalsRowDxfId="264"/>
    <tableColumn id="31" xr3:uid="{00000000-0010-0000-0500-00001F000000}" name="30" totalsRowFunction="count" dataDxfId="677" totalsRowDxfId="263"/>
    <tableColumn id="32" xr3:uid="{00000000-0010-0000-0500-000020000000}" name=" " totalsRowFunction="count" dataDxfId="676" totalsRowDxfId="262"/>
    <tableColumn id="33" xr3:uid="{00000000-0010-0000-0500-000021000000}" name="Общо дни" totalsRowFunction="sum" dataDxfId="675" totalsRowDxfId="261">
      <calculatedColumnFormula>COUNTA(Юни[[#This Row],[1]:[30]])</calculatedColumnFormula>
    </tableColumn>
  </tableColumns>
  <tableStyleInfo name="Таблица за отсъствия на служителите" showFirstColumn="1" showLastColumn="1" showRowStripes="1" showColumnStripes="0"/>
  <extLst>
    <ext xmlns:x14="http://schemas.microsoft.com/office/spreadsheetml/2009/9/main" uri="{504A1905-F514-4f6f-8877-14C23A59335A}">
      <x14:table altTextSummary="Въведете имената на служителите и датите на отсъствие. Запишете типа отсъствие според ключа в ред 12: О=Отпуск; Б=Болест, Л=лични, плюс два контейнера за записи по избор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6000000}" name="Юли" displayName="Юли" ref="B6:AH12" totalsRowCount="1" headerRowDxfId="674" dataDxfId="673" totalsRowDxfId="672">
  <tableColumns count="33">
    <tableColumn id="1" xr3:uid="{00000000-0010-0000-0600-000001000000}" name="Име на служител" totalsRowFunction="custom" dataDxfId="671" totalsRowDxfId="260" dataCellStyle="Служител">
      <totalsRowFormula>ИмеМесец&amp;" Общо"</totalsRowFormula>
    </tableColumn>
    <tableColumn id="2" xr3:uid="{00000000-0010-0000-0600-000002000000}" name="1" totalsRowFunction="count" dataDxfId="670" totalsRowDxfId="259"/>
    <tableColumn id="3" xr3:uid="{00000000-0010-0000-0600-000003000000}" name="2" totalsRowFunction="count" dataDxfId="669" totalsRowDxfId="258"/>
    <tableColumn id="4" xr3:uid="{00000000-0010-0000-0600-000004000000}" name="3" totalsRowFunction="count" dataDxfId="668" totalsRowDxfId="257"/>
    <tableColumn id="5" xr3:uid="{00000000-0010-0000-0600-000005000000}" name="4" totalsRowFunction="count" dataDxfId="667" totalsRowDxfId="256"/>
    <tableColumn id="6" xr3:uid="{00000000-0010-0000-0600-000006000000}" name="5" totalsRowFunction="count" dataDxfId="666" totalsRowDxfId="255"/>
    <tableColumn id="7" xr3:uid="{00000000-0010-0000-0600-000007000000}" name="6" totalsRowFunction="count" dataDxfId="665" totalsRowDxfId="254"/>
    <tableColumn id="8" xr3:uid="{00000000-0010-0000-0600-000008000000}" name="7" totalsRowFunction="count" dataDxfId="664" totalsRowDxfId="253"/>
    <tableColumn id="9" xr3:uid="{00000000-0010-0000-0600-000009000000}" name="8" totalsRowFunction="count" dataDxfId="663" totalsRowDxfId="252"/>
    <tableColumn id="10" xr3:uid="{00000000-0010-0000-0600-00000A000000}" name="9" totalsRowFunction="count" dataDxfId="662" totalsRowDxfId="251"/>
    <tableColumn id="11" xr3:uid="{00000000-0010-0000-0600-00000B000000}" name="10" totalsRowFunction="count" dataDxfId="661" totalsRowDxfId="250"/>
    <tableColumn id="12" xr3:uid="{00000000-0010-0000-0600-00000C000000}" name="11" totalsRowFunction="count" dataDxfId="660" totalsRowDxfId="249"/>
    <tableColumn id="13" xr3:uid="{00000000-0010-0000-0600-00000D000000}" name="12" totalsRowFunction="count" dataDxfId="659" totalsRowDxfId="248"/>
    <tableColumn id="14" xr3:uid="{00000000-0010-0000-0600-00000E000000}" name="13" totalsRowFunction="count" dataDxfId="658" totalsRowDxfId="247"/>
    <tableColumn id="15" xr3:uid="{00000000-0010-0000-0600-00000F000000}" name="14" totalsRowFunction="count" dataDxfId="657" totalsRowDxfId="246"/>
    <tableColumn id="16" xr3:uid="{00000000-0010-0000-0600-000010000000}" name="15" totalsRowFunction="count" dataDxfId="656" totalsRowDxfId="245"/>
    <tableColumn id="17" xr3:uid="{00000000-0010-0000-0600-000011000000}" name="16" totalsRowFunction="count" dataDxfId="655" totalsRowDxfId="244"/>
    <tableColumn id="18" xr3:uid="{00000000-0010-0000-0600-000012000000}" name="17" totalsRowFunction="count" dataDxfId="654" totalsRowDxfId="243"/>
    <tableColumn id="19" xr3:uid="{00000000-0010-0000-0600-000013000000}" name="18" totalsRowFunction="count" dataDxfId="653" totalsRowDxfId="242"/>
    <tableColumn id="20" xr3:uid="{00000000-0010-0000-0600-000014000000}" name="19" totalsRowFunction="count" dataDxfId="652" totalsRowDxfId="241"/>
    <tableColumn id="21" xr3:uid="{00000000-0010-0000-0600-000015000000}" name="20" totalsRowFunction="count" dataDxfId="651" totalsRowDxfId="240"/>
    <tableColumn id="22" xr3:uid="{00000000-0010-0000-0600-000016000000}" name="21" totalsRowFunction="count" dataDxfId="650" totalsRowDxfId="239"/>
    <tableColumn id="23" xr3:uid="{00000000-0010-0000-0600-000017000000}" name="22" totalsRowFunction="count" dataDxfId="649" totalsRowDxfId="238"/>
    <tableColumn id="24" xr3:uid="{00000000-0010-0000-0600-000018000000}" name="23" totalsRowFunction="count" dataDxfId="648" totalsRowDxfId="237"/>
    <tableColumn id="25" xr3:uid="{00000000-0010-0000-0600-000019000000}" name="24" totalsRowFunction="count" dataDxfId="647" totalsRowDxfId="236"/>
    <tableColumn id="26" xr3:uid="{00000000-0010-0000-0600-00001A000000}" name="25" totalsRowFunction="count" dataDxfId="646" totalsRowDxfId="235"/>
    <tableColumn id="27" xr3:uid="{00000000-0010-0000-0600-00001B000000}" name="26" totalsRowFunction="count" dataDxfId="645" totalsRowDxfId="234"/>
    <tableColumn id="28" xr3:uid="{00000000-0010-0000-0600-00001C000000}" name="27" totalsRowFunction="count" dataDxfId="644" totalsRowDxfId="233"/>
    <tableColumn id="29" xr3:uid="{00000000-0010-0000-0600-00001D000000}" name="28" totalsRowFunction="count" dataDxfId="643" totalsRowDxfId="232"/>
    <tableColumn id="30" xr3:uid="{00000000-0010-0000-0600-00001E000000}" name="29" totalsRowFunction="count" dataDxfId="642" totalsRowDxfId="231"/>
    <tableColumn id="31" xr3:uid="{00000000-0010-0000-0600-00001F000000}" name="30" totalsRowFunction="count" dataDxfId="641" totalsRowDxfId="230"/>
    <tableColumn id="32" xr3:uid="{00000000-0010-0000-0600-000020000000}" name="31" totalsRowFunction="count" dataDxfId="640" totalsRowDxfId="229"/>
    <tableColumn id="33" xr3:uid="{00000000-0010-0000-0600-000021000000}" name="Общо дни" totalsRowFunction="sum" dataDxfId="639" totalsRowDxfId="228">
      <calculatedColumnFormula>COUNTA(Юли[[#This Row],[1]:[31]])</calculatedColumnFormula>
    </tableColumn>
  </tableColumns>
  <tableStyleInfo name="Таблица за отсъствия на служителите" showFirstColumn="1" showLastColumn="1" showRowStripes="1" showColumnStripes="0"/>
  <extLst>
    <ext xmlns:x14="http://schemas.microsoft.com/office/spreadsheetml/2009/9/main" uri="{504A1905-F514-4f6f-8877-14C23A59335A}">
      <x14:table altTextSummary="Въведете имената на служителите и датите на отсъствие. Запишете типа отсъствие според ключа в ред 12: О=Отпуск; Б=Болест, Л=лични, плюс два контейнера за записи по избор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7000000}" name="Август" displayName="Август" ref="B6:AH12" totalsRowCount="1" headerRowDxfId="638" dataDxfId="637" totalsRowDxfId="636">
  <tableColumns count="33">
    <tableColumn id="1" xr3:uid="{00000000-0010-0000-0700-000001000000}" name="Име на служител" totalsRowFunction="custom" dataDxfId="635" totalsRowDxfId="227" dataCellStyle="Служител">
      <totalsRowFormula>ИмеМесец&amp;" Общо"</totalsRowFormula>
    </tableColumn>
    <tableColumn id="2" xr3:uid="{00000000-0010-0000-0700-000002000000}" name="1" totalsRowFunction="count" dataDxfId="634" totalsRowDxfId="226"/>
    <tableColumn id="3" xr3:uid="{00000000-0010-0000-0700-000003000000}" name="2" totalsRowFunction="count" dataDxfId="633" totalsRowDxfId="225"/>
    <tableColumn id="4" xr3:uid="{00000000-0010-0000-0700-000004000000}" name="3" totalsRowFunction="count" dataDxfId="632" totalsRowDxfId="224"/>
    <tableColumn id="5" xr3:uid="{00000000-0010-0000-0700-000005000000}" name="4" totalsRowFunction="count" dataDxfId="631" totalsRowDxfId="223"/>
    <tableColumn id="6" xr3:uid="{00000000-0010-0000-0700-000006000000}" name="5" totalsRowFunction="count" dataDxfId="630" totalsRowDxfId="222"/>
    <tableColumn id="7" xr3:uid="{00000000-0010-0000-0700-000007000000}" name="6" totalsRowFunction="count" dataDxfId="629" totalsRowDxfId="221"/>
    <tableColumn id="8" xr3:uid="{00000000-0010-0000-0700-000008000000}" name="7" totalsRowFunction="count" dataDxfId="628" totalsRowDxfId="220"/>
    <tableColumn id="9" xr3:uid="{00000000-0010-0000-0700-000009000000}" name="8" totalsRowFunction="count" dataDxfId="627" totalsRowDxfId="219"/>
    <tableColumn id="10" xr3:uid="{00000000-0010-0000-0700-00000A000000}" name="9" totalsRowFunction="count" dataDxfId="626" totalsRowDxfId="218"/>
    <tableColumn id="11" xr3:uid="{00000000-0010-0000-0700-00000B000000}" name="10" totalsRowFunction="count" dataDxfId="625" totalsRowDxfId="217"/>
    <tableColumn id="12" xr3:uid="{00000000-0010-0000-0700-00000C000000}" name="11" totalsRowFunction="count" dataDxfId="624" totalsRowDxfId="216"/>
    <tableColumn id="13" xr3:uid="{00000000-0010-0000-0700-00000D000000}" name="12" totalsRowFunction="count" dataDxfId="623" totalsRowDxfId="215"/>
    <tableColumn id="14" xr3:uid="{00000000-0010-0000-0700-00000E000000}" name="13" totalsRowFunction="count" dataDxfId="622" totalsRowDxfId="214"/>
    <tableColumn id="15" xr3:uid="{00000000-0010-0000-0700-00000F000000}" name="14" totalsRowFunction="count" dataDxfId="621" totalsRowDxfId="213"/>
    <tableColumn id="16" xr3:uid="{00000000-0010-0000-0700-000010000000}" name="15" totalsRowFunction="count" dataDxfId="620" totalsRowDxfId="212"/>
    <tableColumn id="17" xr3:uid="{00000000-0010-0000-0700-000011000000}" name="16" totalsRowFunction="count" dataDxfId="619" totalsRowDxfId="211"/>
    <tableColumn id="18" xr3:uid="{00000000-0010-0000-0700-000012000000}" name="17" totalsRowFunction="count" dataDxfId="618" totalsRowDxfId="210"/>
    <tableColumn id="19" xr3:uid="{00000000-0010-0000-0700-000013000000}" name="18" totalsRowFunction="count" dataDxfId="617" totalsRowDxfId="209"/>
    <tableColumn id="20" xr3:uid="{00000000-0010-0000-0700-000014000000}" name="19" totalsRowFunction="count" dataDxfId="616" totalsRowDxfId="208"/>
    <tableColumn id="21" xr3:uid="{00000000-0010-0000-0700-000015000000}" name="20" totalsRowFunction="count" dataDxfId="615" totalsRowDxfId="207"/>
    <tableColumn id="22" xr3:uid="{00000000-0010-0000-0700-000016000000}" name="21" totalsRowFunction="count" dataDxfId="614" totalsRowDxfId="206"/>
    <tableColumn id="23" xr3:uid="{00000000-0010-0000-0700-000017000000}" name="22" totalsRowFunction="count" dataDxfId="613" totalsRowDxfId="205"/>
    <tableColumn id="24" xr3:uid="{00000000-0010-0000-0700-000018000000}" name="23" totalsRowFunction="count" dataDxfId="612" totalsRowDxfId="204"/>
    <tableColumn id="25" xr3:uid="{00000000-0010-0000-0700-000019000000}" name="24" totalsRowFunction="count" dataDxfId="611" totalsRowDxfId="203"/>
    <tableColumn id="26" xr3:uid="{00000000-0010-0000-0700-00001A000000}" name="25" totalsRowFunction="count" dataDxfId="610" totalsRowDxfId="202"/>
    <tableColumn id="27" xr3:uid="{00000000-0010-0000-0700-00001B000000}" name="26" totalsRowFunction="count" dataDxfId="609" totalsRowDxfId="201"/>
    <tableColumn id="28" xr3:uid="{00000000-0010-0000-0700-00001C000000}" name="27" totalsRowFunction="count" dataDxfId="608" totalsRowDxfId="200"/>
    <tableColumn id="29" xr3:uid="{00000000-0010-0000-0700-00001D000000}" name="28" totalsRowFunction="count" dataDxfId="607" totalsRowDxfId="199"/>
    <tableColumn id="30" xr3:uid="{00000000-0010-0000-0700-00001E000000}" name="29" totalsRowFunction="count" dataDxfId="606" totalsRowDxfId="198"/>
    <tableColumn id="31" xr3:uid="{00000000-0010-0000-0700-00001F000000}" name="30" totalsRowFunction="count" dataDxfId="605" totalsRowDxfId="197"/>
    <tableColumn id="32" xr3:uid="{00000000-0010-0000-0700-000020000000}" name="31" totalsRowFunction="count" dataDxfId="604" totalsRowDxfId="196"/>
    <tableColumn id="33" xr3:uid="{00000000-0010-0000-0700-000021000000}" name="Общо дни" totalsRowFunction="sum" dataDxfId="603" totalsRowDxfId="195">
      <calculatedColumnFormula>COUNTA(Август[[#This Row],[1]:[31]])</calculatedColumnFormula>
    </tableColumn>
  </tableColumns>
  <tableStyleInfo name="Таблица за отсъствия на служителите" showFirstColumn="1" showLastColumn="1" showRowStripes="1" showColumnStripes="0"/>
  <extLst>
    <ext xmlns:x14="http://schemas.microsoft.com/office/spreadsheetml/2009/9/main" uri="{504A1905-F514-4f6f-8877-14C23A59335A}">
      <x14:table altTextSummary="Въведете имената на служителите и датите на отсъствие. Запишете типа отсъствие според ключа в ред 12: О=Отпуск; Б=Болест, Л=лични, плюс два контейнера за записи по избор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8000000}" name="Септември" displayName="Септември" ref="B6:AH12" totalsRowCount="1" headerRowDxfId="602" dataDxfId="601" totalsRowDxfId="600">
  <tableColumns count="33">
    <tableColumn id="1" xr3:uid="{00000000-0010-0000-0800-000001000000}" name="Име на служител" totalsRowFunction="custom" dataDxfId="599" totalsRowDxfId="194" dataCellStyle="Служител">
      <totalsRowFormula>ИмеМесец&amp;" Общо"</totalsRowFormula>
    </tableColumn>
    <tableColumn id="2" xr3:uid="{00000000-0010-0000-0800-000002000000}" name="1" totalsRowFunction="count" dataDxfId="598" totalsRowDxfId="193"/>
    <tableColumn id="3" xr3:uid="{00000000-0010-0000-0800-000003000000}" name="2" totalsRowFunction="count" dataDxfId="597" totalsRowDxfId="192"/>
    <tableColumn id="4" xr3:uid="{00000000-0010-0000-0800-000004000000}" name="3" totalsRowFunction="count" dataDxfId="596" totalsRowDxfId="191"/>
    <tableColumn id="5" xr3:uid="{00000000-0010-0000-0800-000005000000}" name="4" totalsRowFunction="count" dataDxfId="595" totalsRowDxfId="190"/>
    <tableColumn id="6" xr3:uid="{00000000-0010-0000-0800-000006000000}" name="5" totalsRowFunction="count" dataDxfId="594" totalsRowDxfId="189"/>
    <tableColumn id="7" xr3:uid="{00000000-0010-0000-0800-000007000000}" name="6" totalsRowFunction="count" dataDxfId="593" totalsRowDxfId="188"/>
    <tableColumn id="8" xr3:uid="{00000000-0010-0000-0800-000008000000}" name="7" totalsRowFunction="count" dataDxfId="592" totalsRowDxfId="187"/>
    <tableColumn id="9" xr3:uid="{00000000-0010-0000-0800-000009000000}" name="8" totalsRowFunction="count" dataDxfId="591" totalsRowDxfId="186"/>
    <tableColumn id="10" xr3:uid="{00000000-0010-0000-0800-00000A000000}" name="9" totalsRowFunction="count" dataDxfId="590" totalsRowDxfId="185"/>
    <tableColumn id="11" xr3:uid="{00000000-0010-0000-0800-00000B000000}" name="10" totalsRowFunction="count" dataDxfId="589" totalsRowDxfId="184"/>
    <tableColumn id="12" xr3:uid="{00000000-0010-0000-0800-00000C000000}" name="11" totalsRowFunction="count" dataDxfId="588" totalsRowDxfId="183"/>
    <tableColumn id="13" xr3:uid="{00000000-0010-0000-0800-00000D000000}" name="12" totalsRowFunction="count" dataDxfId="587" totalsRowDxfId="182"/>
    <tableColumn id="14" xr3:uid="{00000000-0010-0000-0800-00000E000000}" name="13" totalsRowFunction="count" dataDxfId="586" totalsRowDxfId="181"/>
    <tableColumn id="15" xr3:uid="{00000000-0010-0000-0800-00000F000000}" name="14" totalsRowFunction="count" dataDxfId="585" totalsRowDxfId="180"/>
    <tableColumn id="16" xr3:uid="{00000000-0010-0000-0800-000010000000}" name="15" totalsRowFunction="count" dataDxfId="584" totalsRowDxfId="179"/>
    <tableColumn id="17" xr3:uid="{00000000-0010-0000-0800-000011000000}" name="16" totalsRowFunction="count" dataDxfId="583" totalsRowDxfId="178"/>
    <tableColumn id="18" xr3:uid="{00000000-0010-0000-0800-000012000000}" name="17" totalsRowFunction="count" dataDxfId="582" totalsRowDxfId="177"/>
    <tableColumn id="19" xr3:uid="{00000000-0010-0000-0800-000013000000}" name="18" totalsRowFunction="count" dataDxfId="581" totalsRowDxfId="176"/>
    <tableColumn id="20" xr3:uid="{00000000-0010-0000-0800-000014000000}" name="19" totalsRowFunction="count" dataDxfId="580" totalsRowDxfId="175"/>
    <tableColumn id="21" xr3:uid="{00000000-0010-0000-0800-000015000000}" name="20" totalsRowFunction="count" dataDxfId="579" totalsRowDxfId="174"/>
    <tableColumn id="22" xr3:uid="{00000000-0010-0000-0800-000016000000}" name="21" totalsRowFunction="count" dataDxfId="578" totalsRowDxfId="173"/>
    <tableColumn id="23" xr3:uid="{00000000-0010-0000-0800-000017000000}" name="22" totalsRowFunction="count" dataDxfId="577" totalsRowDxfId="172"/>
    <tableColumn id="24" xr3:uid="{00000000-0010-0000-0800-000018000000}" name="23" totalsRowFunction="count" dataDxfId="576" totalsRowDxfId="171"/>
    <tableColumn id="25" xr3:uid="{00000000-0010-0000-0800-000019000000}" name="24" totalsRowFunction="count" dataDxfId="575" totalsRowDxfId="170"/>
    <tableColumn id="26" xr3:uid="{00000000-0010-0000-0800-00001A000000}" name="25" totalsRowFunction="count" dataDxfId="574" totalsRowDxfId="169"/>
    <tableColumn id="27" xr3:uid="{00000000-0010-0000-0800-00001B000000}" name="26" totalsRowFunction="count" dataDxfId="573" totalsRowDxfId="168"/>
    <tableColumn id="28" xr3:uid="{00000000-0010-0000-0800-00001C000000}" name="27" totalsRowFunction="count" dataDxfId="572" totalsRowDxfId="167"/>
    <tableColumn id="29" xr3:uid="{00000000-0010-0000-0800-00001D000000}" name="28" totalsRowFunction="count" dataDxfId="571" totalsRowDxfId="166"/>
    <tableColumn id="30" xr3:uid="{00000000-0010-0000-0800-00001E000000}" name="29" totalsRowFunction="count" dataDxfId="570" totalsRowDxfId="165"/>
    <tableColumn id="31" xr3:uid="{00000000-0010-0000-0800-00001F000000}" name="30" totalsRowFunction="count" dataDxfId="569" totalsRowDxfId="164"/>
    <tableColumn id="32" xr3:uid="{00000000-0010-0000-0800-000020000000}" name=" " totalsRowFunction="count" dataDxfId="568" totalsRowDxfId="163"/>
    <tableColumn id="33" xr3:uid="{00000000-0010-0000-0800-000021000000}" name="Общо дни" totalsRowFunction="sum" dataDxfId="567" totalsRowDxfId="162">
      <calculatedColumnFormula>COUNTA(Септември[[#This Row],[1]:[30]])</calculatedColumnFormula>
    </tableColumn>
  </tableColumns>
  <tableStyleInfo name="Таблица за отсъствия на служителите" showFirstColumn="1" showLastColumn="1" showRowStripes="1" showColumnStripes="0"/>
  <extLst>
    <ext xmlns:x14="http://schemas.microsoft.com/office/spreadsheetml/2009/9/main" uri="{504A1905-F514-4f6f-8877-14C23A59335A}">
      <x14:table altTextSummary="Въведете имената на служителите и датите на отсъствие. Запишете типа отсъствие според ключа в ред 12: О=Отпуск; Б=Болест, Л=лични, плюс два контейнера за записи по избор"/>
    </ext>
  </extLst>
</table>
</file>

<file path=xl/theme/theme1.xml><?xml version="1.0" encoding="utf-8"?>
<a:theme xmlns:a="http://schemas.openxmlformats.org/drawingml/2006/main" name="Office Theme">
  <a:themeElements>
    <a:clrScheme name="Employee Absense Schedule">
      <a:dk1>
        <a:sysClr val="windowText" lastClr="000000"/>
      </a:dk1>
      <a:lt1>
        <a:sysClr val="window" lastClr="FFFFFF"/>
      </a:lt1>
      <a:dk2>
        <a:srgbClr val="4B180E"/>
      </a:dk2>
      <a:lt2>
        <a:srgbClr val="F1F2E8"/>
      </a:lt2>
      <a:accent1>
        <a:srgbClr val="A53423"/>
      </a:accent1>
      <a:accent2>
        <a:srgbClr val="E68130"/>
      </a:accent2>
      <a:accent3>
        <a:srgbClr val="9BB05D"/>
      </a:accent3>
      <a:accent4>
        <a:srgbClr val="CC9900"/>
      </a:accent4>
      <a:accent5>
        <a:srgbClr val="4F66AF"/>
      </a:accent5>
      <a:accent6>
        <a:srgbClr val="D0D2D3"/>
      </a:accent6>
      <a:hlink>
        <a:srgbClr val="4F66AF"/>
      </a:hlink>
      <a:folHlink>
        <a:srgbClr val="6B9AC6"/>
      </a:folHlink>
    </a:clrScheme>
    <a:fontScheme name="Employee Absenc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89999084444715716"/>
    <pageSetUpPr fitToPage="1"/>
  </sheetPr>
  <dimension ref="A1:AH12"/>
  <sheetViews>
    <sheetView showGridLines="0" tabSelected="1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8" style="11" customWidth="1"/>
    <col min="35" max="35" width="2.7109375" customWidth="1"/>
    <col min="37" max="39" width="10.85546875" customWidth="1"/>
  </cols>
  <sheetData>
    <row r="1" spans="1:34" ht="50.1" customHeight="1" x14ac:dyDescent="0.25">
      <c r="A1" s="18"/>
      <c r="B1" s="14" t="s">
        <v>0</v>
      </c>
    </row>
    <row r="2" spans="1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6" t="s">
        <v>17</v>
      </c>
      <c r="L2" s="25" t="s">
        <v>24</v>
      </c>
      <c r="M2" s="25"/>
      <c r="N2" s="7"/>
      <c r="O2" s="25" t="s">
        <v>28</v>
      </c>
      <c r="P2" s="25"/>
      <c r="Q2" s="25"/>
      <c r="R2" s="8"/>
      <c r="S2" s="25" t="s">
        <v>33</v>
      </c>
      <c r="T2" s="25"/>
      <c r="U2" s="25"/>
    </row>
    <row r="3" spans="1:34" ht="15" customHeight="1" x14ac:dyDescent="0.25">
      <c r="AH3" s="20" t="s">
        <v>49</v>
      </c>
    </row>
    <row r="4" spans="1:34" ht="30" customHeight="1" x14ac:dyDescent="0.25">
      <c r="B4" s="12" t="s">
        <v>2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v>2019</v>
      </c>
    </row>
    <row r="5" spans="1:34" ht="15" customHeight="1" x14ac:dyDescent="0.25">
      <c r="B5" s="12"/>
      <c r="C5" s="2" t="str">
        <f>TEXT(WEEKDAY(DATE(КалендарнаГодина,1,1),1),"aaa")</f>
        <v>вт</v>
      </c>
      <c r="D5" s="2" t="str">
        <f>TEXT(WEEKDAY(DATE(КалендарнаГодина,1,2),1),"aaa")</f>
        <v>ср</v>
      </c>
      <c r="E5" s="2" t="str">
        <f>TEXT(WEEKDAY(DATE(КалендарнаГодина,1,3),1),"aaa")</f>
        <v>четв</v>
      </c>
      <c r="F5" s="2" t="str">
        <f>TEXT(WEEKDAY(DATE(КалендарнаГодина,1,4),1),"aaa")</f>
        <v>пет</v>
      </c>
      <c r="G5" s="2" t="str">
        <f>TEXT(WEEKDAY(DATE(КалендарнаГодина,1,5),1),"aaa")</f>
        <v>съб</v>
      </c>
      <c r="H5" s="2" t="str">
        <f>TEXT(WEEKDAY(DATE(КалендарнаГодина,1,6),1),"aaa")</f>
        <v>нед</v>
      </c>
      <c r="I5" s="2" t="str">
        <f>TEXT(WEEKDAY(DATE(КалендарнаГодина,1,7),1),"aaa")</f>
        <v>пон</v>
      </c>
      <c r="J5" s="2" t="str">
        <f>TEXT(WEEKDAY(DATE(КалендарнаГодина,1,8),1),"aaa")</f>
        <v>вт</v>
      </c>
      <c r="K5" s="2" t="str">
        <f>TEXT(WEEKDAY(DATE(КалендарнаГодина,1,9),1),"aaa")</f>
        <v>ср</v>
      </c>
      <c r="L5" s="2" t="str">
        <f>TEXT(WEEKDAY(DATE(КалендарнаГодина,1,10),1),"aaa")</f>
        <v>четв</v>
      </c>
      <c r="M5" s="2" t="str">
        <f>TEXT(WEEKDAY(DATE(КалендарнаГодина,1,11),1),"aaa")</f>
        <v>пет</v>
      </c>
      <c r="N5" s="2" t="str">
        <f>TEXT(WEEKDAY(DATE(КалендарнаГодина,1,12),1),"aaa")</f>
        <v>съб</v>
      </c>
      <c r="O5" s="2" t="str">
        <f>TEXT(WEEKDAY(DATE(КалендарнаГодина,1,13),1),"aaa")</f>
        <v>нед</v>
      </c>
      <c r="P5" s="2" t="str">
        <f>TEXT(WEEKDAY(DATE(КалендарнаГодина,1,14),1),"aaa")</f>
        <v>пон</v>
      </c>
      <c r="Q5" s="2" t="str">
        <f>TEXT(WEEKDAY(DATE(КалендарнаГодина,1,15),1),"aaa")</f>
        <v>вт</v>
      </c>
      <c r="R5" s="2" t="str">
        <f>TEXT(WEEKDAY(DATE(КалендарнаГодина,1,16),1),"aaa")</f>
        <v>ср</v>
      </c>
      <c r="S5" s="2" t="str">
        <f>TEXT(WEEKDAY(DATE(КалендарнаГодина,1,17),1),"aaa")</f>
        <v>четв</v>
      </c>
      <c r="T5" s="2" t="str">
        <f>TEXT(WEEKDAY(DATE(КалендарнаГодина,1,18),1),"aaa")</f>
        <v>пет</v>
      </c>
      <c r="U5" s="2" t="str">
        <f>TEXT(WEEKDAY(DATE(КалендарнаГодина,1,19),1),"aaa")</f>
        <v>съб</v>
      </c>
      <c r="V5" s="2" t="str">
        <f>TEXT(WEEKDAY(DATE(КалендарнаГодина,1,20),1),"aaa")</f>
        <v>нед</v>
      </c>
      <c r="W5" s="2" t="str">
        <f>TEXT(WEEKDAY(DATE(КалендарнаГодина,1,21),1),"aaa")</f>
        <v>пон</v>
      </c>
      <c r="X5" s="2" t="str">
        <f>TEXT(WEEKDAY(DATE(КалендарнаГодина,1,22),1),"aaa")</f>
        <v>вт</v>
      </c>
      <c r="Y5" s="2" t="str">
        <f>TEXT(WEEKDAY(DATE(КалендарнаГодина,1,23),1),"aaa")</f>
        <v>ср</v>
      </c>
      <c r="Z5" s="2" t="str">
        <f>TEXT(WEEKDAY(DATE(КалендарнаГодина,1,24),1),"aaa")</f>
        <v>четв</v>
      </c>
      <c r="AA5" s="2" t="str">
        <f>TEXT(WEEKDAY(DATE(КалендарнаГодина,1,25),1),"aaa")</f>
        <v>пет</v>
      </c>
      <c r="AB5" s="2" t="str">
        <f>TEXT(WEEKDAY(DATE(КалендарнаГодина,1,26),1),"aaa")</f>
        <v>съб</v>
      </c>
      <c r="AC5" s="2" t="str">
        <f>TEXT(WEEKDAY(DATE(КалендарнаГодина,1,27),1),"aaa")</f>
        <v>нед</v>
      </c>
      <c r="AD5" s="2" t="str">
        <f>TEXT(WEEKDAY(DATE(КалендарнаГодина,1,28),1),"aaa")</f>
        <v>пон</v>
      </c>
      <c r="AE5" s="2" t="str">
        <f>TEXT(WEEKDAY(DATE(КалендарнаГодина,1,29),1),"aaa")</f>
        <v>вт</v>
      </c>
      <c r="AF5" s="2" t="str">
        <f>TEXT(WEEKDAY(DATE(КалендарнаГодина,1,30),1),"aaa")</f>
        <v>ср</v>
      </c>
      <c r="AG5" s="2" t="str">
        <f>TEXT(WEEKDAY(DATE(КалендарнаГодина,1,31),1),"aaa")</f>
        <v>четв</v>
      </c>
      <c r="AH5" s="12"/>
    </row>
    <row r="6" spans="1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48</v>
      </c>
      <c r="AH6" s="16" t="s">
        <v>50</v>
      </c>
    </row>
    <row r="7" spans="1:34" ht="30" customHeight="1" x14ac:dyDescent="0.25">
      <c r="B7" s="9" t="s">
        <v>4</v>
      </c>
      <c r="C7" s="3"/>
      <c r="D7" s="3"/>
      <c r="E7" s="3" t="s">
        <v>9</v>
      </c>
      <c r="F7" s="3" t="s">
        <v>9</v>
      </c>
      <c r="G7" s="3" t="s">
        <v>9</v>
      </c>
      <c r="H7" s="3" t="s">
        <v>9</v>
      </c>
      <c r="I7" s="3"/>
      <c r="J7" s="3"/>
      <c r="K7" s="3"/>
      <c r="L7" s="3"/>
      <c r="M7" s="3"/>
      <c r="N7" s="3"/>
      <c r="O7" s="3" t="s">
        <v>9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COUNTA(Януари!$C7:$AG7)</f>
        <v>5</v>
      </c>
    </row>
    <row r="8" spans="1:34" ht="30" customHeight="1" x14ac:dyDescent="0.25">
      <c r="B8" s="9" t="s">
        <v>5</v>
      </c>
      <c r="C8" s="3"/>
      <c r="D8" s="3"/>
      <c r="E8" s="3"/>
      <c r="F8" s="3"/>
      <c r="G8" s="3" t="s">
        <v>17</v>
      </c>
      <c r="H8" s="3" t="s">
        <v>17</v>
      </c>
      <c r="I8" s="3"/>
      <c r="J8" s="3"/>
      <c r="K8" s="3"/>
      <c r="L8" s="3"/>
      <c r="M8" s="3" t="s">
        <v>15</v>
      </c>
      <c r="N8" s="3"/>
      <c r="O8" s="3"/>
      <c r="P8" s="3"/>
      <c r="Q8" s="3"/>
      <c r="R8" s="3"/>
      <c r="S8" s="3"/>
      <c r="T8" s="3"/>
      <c r="U8" s="3"/>
      <c r="V8" s="3" t="s">
        <v>17</v>
      </c>
      <c r="W8" s="3"/>
      <c r="X8" s="3"/>
      <c r="Y8" s="3"/>
      <c r="Z8" s="3"/>
      <c r="AA8" s="3" t="s">
        <v>9</v>
      </c>
      <c r="AB8" s="3" t="s">
        <v>9</v>
      </c>
      <c r="AC8" s="3" t="s">
        <v>9</v>
      </c>
      <c r="AD8" s="3"/>
      <c r="AE8" s="3"/>
      <c r="AF8" s="3"/>
      <c r="AG8" s="3"/>
      <c r="AH8" s="10">
        <f>COUNTA(Януари!$C8:$AG8)</f>
        <v>7</v>
      </c>
    </row>
    <row r="9" spans="1:34" ht="30" customHeight="1" x14ac:dyDescent="0.25">
      <c r="B9" s="9" t="s">
        <v>6</v>
      </c>
      <c r="C9" s="3"/>
      <c r="D9" s="3"/>
      <c r="E9" s="3" t="s">
        <v>15</v>
      </c>
      <c r="F9" s="3"/>
      <c r="G9" s="3"/>
      <c r="H9" s="3"/>
      <c r="I9" s="3"/>
      <c r="J9" s="3"/>
      <c r="K9" s="3"/>
      <c r="L9" s="3"/>
      <c r="M9" s="3"/>
      <c r="N9" s="3"/>
      <c r="O9" s="3"/>
      <c r="P9" s="3" t="s">
        <v>17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 t="s">
        <v>17</v>
      </c>
      <c r="AF9" s="3"/>
      <c r="AG9" s="3"/>
      <c r="AH9" s="10">
        <f>COUNTA(Януари!$C9:$AG9)</f>
        <v>3</v>
      </c>
    </row>
    <row r="10" spans="1:34" ht="30" customHeight="1" x14ac:dyDescent="0.25">
      <c r="B10" s="9" t="s">
        <v>7</v>
      </c>
      <c r="C10" s="3"/>
      <c r="D10" s="3"/>
      <c r="E10" s="3"/>
      <c r="F10" s="3"/>
      <c r="G10" s="3"/>
      <c r="H10" s="3"/>
      <c r="I10" s="3" t="s">
        <v>15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 t="s">
        <v>9</v>
      </c>
      <c r="V10" s="3" t="s">
        <v>9</v>
      </c>
      <c r="W10" s="3" t="s">
        <v>9</v>
      </c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COUNTA(Януари!$C10:$AG10)</f>
        <v>4</v>
      </c>
    </row>
    <row r="11" spans="1:34" ht="30" customHeight="1" x14ac:dyDescent="0.25">
      <c r="B11" s="9" t="s">
        <v>8</v>
      </c>
      <c r="C11" s="3"/>
      <c r="D11" s="3"/>
      <c r="E11" s="3"/>
      <c r="F11" s="3" t="s">
        <v>17</v>
      </c>
      <c r="G11" s="3" t="s">
        <v>9</v>
      </c>
      <c r="H11" s="3" t="s">
        <v>9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 t="s">
        <v>17</v>
      </c>
      <c r="T11" s="3"/>
      <c r="U11" s="3"/>
      <c r="V11" s="3"/>
      <c r="W11" s="3"/>
      <c r="X11" s="3"/>
      <c r="Y11" s="3"/>
      <c r="Z11" s="3" t="s">
        <v>17</v>
      </c>
      <c r="AA11" s="3"/>
      <c r="AB11" s="3"/>
      <c r="AC11" s="3"/>
      <c r="AD11" s="3"/>
      <c r="AE11" s="3"/>
      <c r="AF11" s="3"/>
      <c r="AG11" s="3" t="s">
        <v>9</v>
      </c>
      <c r="AH11" s="10">
        <f>COUNTA(Януари!$C11:$AG11)</f>
        <v>6</v>
      </c>
    </row>
    <row r="12" spans="1:34" ht="30" customHeight="1" x14ac:dyDescent="0.25">
      <c r="B12" s="21" t="str">
        <f>ИмеМесец&amp;" Общо"</f>
        <v>Януари Общо</v>
      </c>
      <c r="C12" s="13">
        <f>SUBTOTAL(103,Януари!$C$7:$C$11)</f>
        <v>0</v>
      </c>
      <c r="D12" s="13">
        <f>SUBTOTAL(103,Януари!$D$7:$D$11)</f>
        <v>0</v>
      </c>
      <c r="E12" s="13">
        <f>SUBTOTAL(103,Януари!$E$7:$E$11)</f>
        <v>2</v>
      </c>
      <c r="F12" s="13">
        <f>SUBTOTAL(103,Януари!$F$7:$F$11)</f>
        <v>2</v>
      </c>
      <c r="G12" s="13">
        <f>SUBTOTAL(103,Януари!$G$7:$G$11)</f>
        <v>3</v>
      </c>
      <c r="H12" s="13">
        <f>SUBTOTAL(103,Януари!$H$7:$H$11)</f>
        <v>3</v>
      </c>
      <c r="I12" s="13">
        <f>SUBTOTAL(103,Януари!$I$7:$I$11)</f>
        <v>1</v>
      </c>
      <c r="J12" s="13">
        <f>SUBTOTAL(103,Януари!$J$7:$J$11)</f>
        <v>0</v>
      </c>
      <c r="K12" s="13">
        <f>SUBTOTAL(103,Януари!$K$7:$K$11)</f>
        <v>0</v>
      </c>
      <c r="L12" s="13">
        <f>SUBTOTAL(103,Януари!$L$7:$L$11)</f>
        <v>0</v>
      </c>
      <c r="M12" s="13">
        <f>SUBTOTAL(103,Януари!$M$7:$M$11)</f>
        <v>1</v>
      </c>
      <c r="N12" s="13">
        <f>SUBTOTAL(103,Януари!$N$7:$N$11)</f>
        <v>0</v>
      </c>
      <c r="O12" s="13">
        <f>SUBTOTAL(103,Януари!$O$7:$O$11)</f>
        <v>1</v>
      </c>
      <c r="P12" s="13">
        <f>SUBTOTAL(103,Януари!$P$7:$P$11)</f>
        <v>1</v>
      </c>
      <c r="Q12" s="13">
        <f>SUBTOTAL(103,Януари!$Q$7:$Q$11)</f>
        <v>0</v>
      </c>
      <c r="R12" s="13">
        <f>SUBTOTAL(103,Януари!$R$7:$R$11)</f>
        <v>0</v>
      </c>
      <c r="S12" s="13">
        <f>SUBTOTAL(103,Януари!$S$7:$S$11)</f>
        <v>1</v>
      </c>
      <c r="T12" s="13">
        <f>SUBTOTAL(103,Януари!$T$7:$T$11)</f>
        <v>0</v>
      </c>
      <c r="U12" s="13">
        <f>SUBTOTAL(103,Януари!$U$7:$U$11)</f>
        <v>1</v>
      </c>
      <c r="V12" s="13">
        <f>SUBTOTAL(103,Януари!$V$7:$V$11)</f>
        <v>2</v>
      </c>
      <c r="W12" s="13">
        <f>SUBTOTAL(103,Януари!$W$7:$W$11)</f>
        <v>1</v>
      </c>
      <c r="X12" s="13">
        <f>SUBTOTAL(103,Януари!$X$7:$X$11)</f>
        <v>0</v>
      </c>
      <c r="Y12" s="13">
        <f>SUBTOTAL(103,Януари!$Y$7:$Y$11)</f>
        <v>0</v>
      </c>
      <c r="Z12" s="13">
        <f>SUBTOTAL(103,Януари!$Z$7:$Z$11)</f>
        <v>1</v>
      </c>
      <c r="AA12" s="13">
        <f>SUBTOTAL(103,Януари!$AA$7:$AA$11)</f>
        <v>1</v>
      </c>
      <c r="AB12" s="13">
        <f>SUBTOTAL(103,Януари!$AB$7:$AB$11)</f>
        <v>1</v>
      </c>
      <c r="AC12" s="13">
        <f>SUBTOTAL(103,Януари!$AC$7:$AC$11)</f>
        <v>1</v>
      </c>
      <c r="AD12" s="13">
        <f>SUBTOTAL(103,Януари!$AD$7:$AD$11)</f>
        <v>0</v>
      </c>
      <c r="AE12" s="13">
        <f>SUBTOTAL(103,Януари!$AE$7:$AE$11)</f>
        <v>1</v>
      </c>
      <c r="AF12" s="13">
        <f>SUBTOTAL(103,Януари!$AF$7:$AF$11)</f>
        <v>0</v>
      </c>
      <c r="AG12" s="13">
        <f>SUBTOTAL(103,Януари!$AG$7:$AG$11)</f>
        <v>1</v>
      </c>
      <c r="AH12" s="13">
        <f>SUBTOTAL(109,Януари[Общо дни])</f>
        <v>25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  <cfRule type="expression" dxfId="61" priority="6" stopIfTrue="1">
      <formula>C7=КлючПоИзбор2</formula>
    </cfRule>
    <cfRule type="expression" dxfId="60" priority="7" stopIfTrue="1">
      <formula>C7=КлючПоИзбор1</formula>
    </cfRule>
    <cfRule type="expression" dxfId="59" priority="8" stopIfTrue="1">
      <formula>C7=КлючБолест</formula>
    </cfRule>
    <cfRule type="expression" dxfId="58" priority="9" stopIfTrue="1">
      <formula>C7=КлючЛични</formula>
    </cfRule>
    <cfRule type="expression" dxfId="57" priority="10" stopIfTrue="1">
      <formula>C7=КлючОтпуск</formula>
    </cfRule>
  </conditionalFormatting>
  <conditionalFormatting sqref="AH7:AH11">
    <cfRule type="dataBar" priority="168">
      <dataBar>
        <cfvo type="num" val="0"/>
        <cfvo type="num" val="31"/>
        <color theme="2" tint="-0.249977111117893"/>
      </dataBar>
      <extLst>
        <ext xmlns:x14="http://schemas.microsoft.com/office/spreadsheetml/2009/9/main" uri="{B025F937-C7B1-47D3-B67F-A62EFF666E3E}">
          <x14:id>{ECCE2C3C-1B01-4700-B60E-DAAAB19A9C1A}</x14:id>
        </ext>
      </extLst>
    </cfRule>
  </conditionalFormatting>
  <dataValidations count="15">
    <dataValidation allowBlank="1" showInputMessage="1" showErrorMessage="1" prompt="Въведете годината в тази клетка" sqref="AH4" xr:uid="{00000000-0002-0000-0000-000000000000}"/>
    <dataValidation errorStyle="warning" allowBlank="1" showInputMessage="1" showErrorMessage="1" error="Изберете име от списъка. Изберете &quot;ОТКАЗ&quot;, след което натиснете ALT+СТРЕЛКА НАДОЛУ и ENTER, за да изберете име" prompt="Въведете имената на служителите в работния лист &quot;Имена на служителите&quot; и след това изберете едно от тези имена от списъка в тази колона. Натиснете ALT+СТРЕЛКА НАДОЛУ и ENTER, за да изберете име" sqref="B6" xr:uid="{00000000-0002-0000-0000-000001000000}"/>
    <dataValidation allowBlank="1" showInputMessage="1" showErrorMessage="1" prompt="Дните от месеца в този ред се генерират автоматично. Въведете отсъствията на служителя и типа отсъствие във всяка колона за всеки ден от месеца. Празно означава без отсъствия" sqref="C6" xr:uid="{00000000-0002-0000-0000-000002000000}"/>
    <dataValidation allowBlank="1" showInputMessage="1" showErrorMessage="1" prompt="Дните от седмицата в този ред се актуализират автоматично за месеца в зависимост от годината, въведена в AH4. Всеки ден от месеца е колона, която отбелязва отсъствие и тип на отсъствие на служителя" sqref="C5" xr:uid="{00000000-0002-0000-0000-000003000000}"/>
    <dataValidation allowBlank="1" showInputMessage="1" showErrorMessage="1" prompt="Изчислява автоматично общия брой дни, в които служителят е отсъствал през този месец" sqref="AH6" xr:uid="{00000000-0002-0000-0000-000004000000}"/>
    <dataValidation allowBlank="1" showInputMessage="1" showErrorMessage="1" prompt="Заглавието на работния лист е в тази клетка. Актуализирайте заглавието, и всеки работен лист ще наследи автоматично промяната" sqref="B1" xr:uid="{00000000-0002-0000-0000-000005000000}"/>
    <dataValidation allowBlank="1" showInputMessage="1" showErrorMessage="1" prompt="Месец на този график за отсъствия. Актуализирайте годината в клетка AH4. Проследявайте общите суми по месец в последната клетка на таблицата. Въведете имената на служителите в колона B на таблицата" sqref="B4" xr:uid="{00000000-0002-0000-0000-000006000000}"/>
    <dataValidation allowBlank="1" showInputMessage="1" showErrorMessage="1" prompt="Този ред определя ключовете, използвани в таблицата: клетка C2 е &quot;Годишен отпуск&quot;, G2 е &quot;Лични причини&quot;, а K2 е &quot;Отпуск по болест&quot;. Клетки N2 и R2 могат да се персонализират" sqref="B2" xr:uid="{00000000-0002-0000-0000-000007000000}"/>
    <dataValidation allowBlank="1" showInputMessage="1" showErrorMessage="1" prompt="Буквата &quot;О&quot; обозначава отсъствие поради годишен отпуск" sqref="C2" xr:uid="{00000000-0002-0000-0000-000008000000}"/>
    <dataValidation allowBlank="1" showInputMessage="1" showErrorMessage="1" prompt="Буквата &quot;Л&quot; обозначава отсъствие поради лични причини" sqref="G2" xr:uid="{00000000-0002-0000-0000-000009000000}"/>
    <dataValidation allowBlank="1" showInputMessage="1" showErrorMessage="1" prompt="Буквата &quot;Б&quot; обозначава отсъствие поради болест" sqref="K2" xr:uid="{00000000-0002-0000-0000-00000A000000}"/>
    <dataValidation allowBlank="1" showInputMessage="1" showErrorMessage="1" prompt="Въведете буква и персонализирайте етикета вдясно, за да добавите друг ключ" sqref="N2 R2" xr:uid="{00000000-0002-0000-0000-00000B000000}"/>
    <dataValidation allowBlank="1" showInputMessage="1" showErrorMessage="1" prompt="Въведете етикет, за да опишете ключа по избор вляво" sqref="O2:Q2 S2:U2" xr:uid="{00000000-0002-0000-0000-00000C000000}"/>
    <dataValidation allowBlank="1" showInputMessage="1" showErrorMessage="1" prompt="График за отсъствията на служителя проследява отсъствията на служителя по дни за всеки месец. Има 13 работни листа, 12 месечни и един последен за имената на служителите. Проследявайте отсъствията през януари в този работен лист" sqref="A1" xr:uid="{00000000-0002-0000-0000-00000D000000}"/>
    <dataValidation allowBlank="1" showInputMessage="1" showErrorMessage="1" prompt="Въведете година в клетката по-долу" sqref="AH3" xr:uid="{00000000-0002-0000-0000-00000E000000}"/>
  </dataValidations>
  <printOptions horizontalCentered="1"/>
  <pageMargins left="0.25" right="0.25" top="0.75" bottom="0.75" header="0.3" footer="0.3"/>
  <pageSetup paperSize="9" scale="72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CE2C3C-1B01-4700-B60E-DAAAB19A9C1A}">
            <x14:dataBar minLength="0" maxLength="100">
              <x14:cfvo type="num">
                <xm:f>0</xm:f>
              </x14:cfvo>
              <x14:cfvo type="num">
                <xm:f>31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F000000}">
          <x14:formula1>
            <xm:f>'Имена на служителите'!$B$4:$B$8</xm:f>
          </x14:formula1>
          <xm:sqref>B7:B11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249977111117893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8" style="11" customWidth="1"/>
    <col min="35" max="35" width="2.7109375" customWidth="1"/>
  </cols>
  <sheetData>
    <row r="1" spans="2:34" ht="50.1" customHeight="1" x14ac:dyDescent="0.25">
      <c r="B1" s="14" t="str">
        <f>Заглавие_отсъствия_служители</f>
        <v>График на отсъствията на служителите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6" t="s">
        <v>17</v>
      </c>
      <c r="L2" s="25" t="s">
        <v>24</v>
      </c>
      <c r="M2" s="25"/>
      <c r="N2" s="7"/>
      <c r="O2" s="25" t="s">
        <v>28</v>
      </c>
      <c r="P2" s="25"/>
      <c r="Q2" s="25"/>
      <c r="R2" s="8"/>
      <c r="S2" s="25" t="s">
        <v>33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61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КалендарнаГодина</f>
        <v>2019</v>
      </c>
    </row>
    <row r="5" spans="2:34" ht="15" customHeight="1" x14ac:dyDescent="0.25">
      <c r="B5" s="12"/>
      <c r="C5" s="2" t="str">
        <f>TEXT(WEEKDAY(DATE(КалендарнаГодина,10,1),1),"aaa")</f>
        <v>вт</v>
      </c>
      <c r="D5" s="2" t="str">
        <f>TEXT(WEEKDAY(DATE(КалендарнаГодина,10,2),1),"aaa")</f>
        <v>ср</v>
      </c>
      <c r="E5" s="2" t="str">
        <f>TEXT(WEEKDAY(DATE(КалендарнаГодина,10,3),1),"aaa")</f>
        <v>четв</v>
      </c>
      <c r="F5" s="2" t="str">
        <f>TEXT(WEEKDAY(DATE(КалендарнаГодина,10,4),1),"aaa")</f>
        <v>пет</v>
      </c>
      <c r="G5" s="2" t="str">
        <f>TEXT(WEEKDAY(DATE(КалендарнаГодина,10,5),1),"aaa")</f>
        <v>съб</v>
      </c>
      <c r="H5" s="2" t="str">
        <f>TEXT(WEEKDAY(DATE(КалендарнаГодина,10,6),1),"aaa")</f>
        <v>нед</v>
      </c>
      <c r="I5" s="2" t="str">
        <f>TEXT(WEEKDAY(DATE(КалендарнаГодина,10,7),1),"aaa")</f>
        <v>пон</v>
      </c>
      <c r="J5" s="2" t="str">
        <f>TEXT(WEEKDAY(DATE(КалендарнаГодина,10,8),1),"aaa")</f>
        <v>вт</v>
      </c>
      <c r="K5" s="2" t="str">
        <f>TEXT(WEEKDAY(DATE(КалендарнаГодина,10,9),1),"aaa")</f>
        <v>ср</v>
      </c>
      <c r="L5" s="2" t="str">
        <f>TEXT(WEEKDAY(DATE(КалендарнаГодина,10,10),1),"aaa")</f>
        <v>четв</v>
      </c>
      <c r="M5" s="2" t="str">
        <f>TEXT(WEEKDAY(DATE(КалендарнаГодина,10,11),1),"aaa")</f>
        <v>пет</v>
      </c>
      <c r="N5" s="2" t="str">
        <f>TEXT(WEEKDAY(DATE(КалендарнаГодина,10,12),1),"aaa")</f>
        <v>съб</v>
      </c>
      <c r="O5" s="2" t="str">
        <f>TEXT(WEEKDAY(DATE(КалендарнаГодина,10,13),1),"aaa")</f>
        <v>нед</v>
      </c>
      <c r="P5" s="2" t="str">
        <f>TEXT(WEEKDAY(DATE(КалендарнаГодина,10,14),1),"aaa")</f>
        <v>пон</v>
      </c>
      <c r="Q5" s="2" t="str">
        <f>TEXT(WEEKDAY(DATE(КалендарнаГодина,10,15),1),"aaa")</f>
        <v>вт</v>
      </c>
      <c r="R5" s="2" t="str">
        <f>TEXT(WEEKDAY(DATE(КалендарнаГодина,10,16),1),"aaa")</f>
        <v>ср</v>
      </c>
      <c r="S5" s="2" t="str">
        <f>TEXT(WEEKDAY(DATE(КалендарнаГодина,10,17),1),"aaa")</f>
        <v>четв</v>
      </c>
      <c r="T5" s="2" t="str">
        <f>TEXT(WEEKDAY(DATE(КалендарнаГодина,10,18),1),"aaa")</f>
        <v>пет</v>
      </c>
      <c r="U5" s="2" t="str">
        <f>TEXT(WEEKDAY(DATE(КалендарнаГодина,10,19),1),"aaa")</f>
        <v>съб</v>
      </c>
      <c r="V5" s="2" t="str">
        <f>TEXT(WEEKDAY(DATE(КалендарнаГодина,10,20),1),"aaa")</f>
        <v>нед</v>
      </c>
      <c r="W5" s="2" t="str">
        <f>TEXT(WEEKDAY(DATE(КалендарнаГодина,10,21),1),"aaa")</f>
        <v>пон</v>
      </c>
      <c r="X5" s="2" t="str">
        <f>TEXT(WEEKDAY(DATE(КалендарнаГодина,10,22),1),"aaa")</f>
        <v>вт</v>
      </c>
      <c r="Y5" s="2" t="str">
        <f>TEXT(WEEKDAY(DATE(КалендарнаГодина,10,23),1),"aaa")</f>
        <v>ср</v>
      </c>
      <c r="Z5" s="2" t="str">
        <f>TEXT(WEEKDAY(DATE(КалендарнаГодина,10,24),1),"aaa")</f>
        <v>четв</v>
      </c>
      <c r="AA5" s="2" t="str">
        <f>TEXT(WEEKDAY(DATE(КалендарнаГодина,10,25),1),"aaa")</f>
        <v>пет</v>
      </c>
      <c r="AB5" s="2" t="str">
        <f>TEXT(WEEKDAY(DATE(КалендарнаГодина,10,26),1),"aaa")</f>
        <v>съб</v>
      </c>
      <c r="AC5" s="2" t="str">
        <f>TEXT(WEEKDAY(DATE(КалендарнаГодина,10,27),1),"aaa")</f>
        <v>нед</v>
      </c>
      <c r="AD5" s="2" t="str">
        <f>TEXT(WEEKDAY(DATE(КалендарнаГодина,10,28),1),"aaa")</f>
        <v>пон</v>
      </c>
      <c r="AE5" s="2" t="str">
        <f>TEXT(WEEKDAY(DATE(КалендарнаГодина,10,29),1),"aaa")</f>
        <v>вт</v>
      </c>
      <c r="AF5" s="2" t="str">
        <f>TEXT(WEEKDAY(DATE(КалендарнаГодина,10,30),1),"aaa")</f>
        <v>ср</v>
      </c>
      <c r="AG5" s="2" t="str">
        <f>TEXT(WEEKDAY(DATE(КалендарнаГодина,10,31),1),"aaa")</f>
        <v>четв</v>
      </c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48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COUNTA(Октомври[[#This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COUNTA(Октомври[[#This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COUNTA(Октомври[[#This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COUNTA(Октомври[[#This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COUNTA(Октомври[[#This Row],[1]:[31]])</f>
        <v>0</v>
      </c>
    </row>
    <row r="12" spans="2:34" ht="30" customHeight="1" x14ac:dyDescent="0.25">
      <c r="B12" s="21" t="str">
        <f>ИмеМесец&amp;" Общо"</f>
        <v>Октомври Общо</v>
      </c>
      <c r="C12" s="13">
        <f>SUBTOTAL(103,Октомври[1])</f>
        <v>0</v>
      </c>
      <c r="D12" s="13">
        <f>SUBTOTAL(103,Октомври[2])</f>
        <v>0</v>
      </c>
      <c r="E12" s="13">
        <f>SUBTOTAL(103,Октомври[3])</f>
        <v>0</v>
      </c>
      <c r="F12" s="13">
        <f>SUBTOTAL(103,Октомври[4])</f>
        <v>0</v>
      </c>
      <c r="G12" s="13">
        <f>SUBTOTAL(103,Октомври[5])</f>
        <v>0</v>
      </c>
      <c r="H12" s="13">
        <f>SUBTOTAL(103,Октомври[6])</f>
        <v>0</v>
      </c>
      <c r="I12" s="13">
        <f>SUBTOTAL(103,Октомври[7])</f>
        <v>0</v>
      </c>
      <c r="J12" s="13">
        <f>SUBTOTAL(103,Октомври[8])</f>
        <v>0</v>
      </c>
      <c r="K12" s="13">
        <f>SUBTOTAL(103,Октомври[9])</f>
        <v>0</v>
      </c>
      <c r="L12" s="13">
        <f>SUBTOTAL(103,Октомври[10])</f>
        <v>0</v>
      </c>
      <c r="M12" s="13">
        <f>SUBTOTAL(103,Октомври[11])</f>
        <v>0</v>
      </c>
      <c r="N12" s="13">
        <f>SUBTOTAL(103,Октомври[12])</f>
        <v>0</v>
      </c>
      <c r="O12" s="13">
        <f>SUBTOTAL(103,Октомври[13])</f>
        <v>0</v>
      </c>
      <c r="P12" s="13">
        <f>SUBTOTAL(103,Октомври[14])</f>
        <v>0</v>
      </c>
      <c r="Q12" s="13">
        <f>SUBTOTAL(103,Октомври[15])</f>
        <v>0</v>
      </c>
      <c r="R12" s="13">
        <f>SUBTOTAL(103,Октомври[16])</f>
        <v>0</v>
      </c>
      <c r="S12" s="13">
        <f>SUBTOTAL(103,Октомври[17])</f>
        <v>0</v>
      </c>
      <c r="T12" s="13">
        <f>SUBTOTAL(103,Октомври[18])</f>
        <v>0</v>
      </c>
      <c r="U12" s="13">
        <f>SUBTOTAL(103,Октомври[19])</f>
        <v>0</v>
      </c>
      <c r="V12" s="13">
        <f>SUBTOTAL(103,Октомври[20])</f>
        <v>0</v>
      </c>
      <c r="W12" s="13">
        <f>SUBTOTAL(103,Октомври[21])</f>
        <v>0</v>
      </c>
      <c r="X12" s="13">
        <f>SUBTOTAL(103,Октомври[22])</f>
        <v>0</v>
      </c>
      <c r="Y12" s="13">
        <f>SUBTOTAL(103,Октомври[23])</f>
        <v>0</v>
      </c>
      <c r="Z12" s="13">
        <f>SUBTOTAL(103,Октомври[24])</f>
        <v>0</v>
      </c>
      <c r="AA12" s="13">
        <f>SUBTOTAL(103,Октомври[25])</f>
        <v>0</v>
      </c>
      <c r="AB12" s="13">
        <f>SUBTOTAL(103,Октомври[26])</f>
        <v>0</v>
      </c>
      <c r="AC12" s="13">
        <f>SUBTOTAL(103,Октомври[27])</f>
        <v>0</v>
      </c>
      <c r="AD12" s="13">
        <f>SUBTOTAL(103,Октомври[28])</f>
        <v>0</v>
      </c>
      <c r="AE12" s="13">
        <f>SUBTOTAL(103,Октомври[29])</f>
        <v>0</v>
      </c>
      <c r="AF12" s="13">
        <f>SUBTOTAL(103,Октомври[30])</f>
        <v>0</v>
      </c>
      <c r="AG12" s="13">
        <f>SUBTOTAL(103,Октомври[31])</f>
        <v>0</v>
      </c>
      <c r="AH12" s="13">
        <f>SUBTOTAL(109,Октомври[Общо дни])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14" priority="2" stopIfTrue="1">
      <formula>C7=КлючПоИзбор2</formula>
    </cfRule>
    <cfRule type="expression" dxfId="13" priority="3" stopIfTrue="1">
      <formula>C7=КлючПоИзбор1</formula>
    </cfRule>
    <cfRule type="expression" dxfId="12" priority="4" stopIfTrue="1">
      <formula>C7=КлючБолест</formula>
    </cfRule>
    <cfRule type="expression" dxfId="11" priority="5" stopIfTrue="1">
      <formula>C7=КлючЛични</formula>
    </cfRule>
    <cfRule type="expression" dxfId="10" priority="6" stopIfTrue="1">
      <formula>C7=КлючОтпуск</formula>
    </cfRule>
  </conditionalFormatting>
  <conditionalFormatting sqref="AH7:AH11">
    <cfRule type="dataBar" priority="7">
      <dataBar>
        <cfvo type="min"/>
        <cfvo type="formula" val="DATEDIF(DATE(КалендарнаГодина,2,1),DATE(КалендарнаГодина,3,1),&quot;d&quot;)"/>
        <color theme="2" tint="-0.249977111117893"/>
      </dataBar>
      <extLst>
        <ext xmlns:x14="http://schemas.microsoft.com/office/spreadsheetml/2009/9/main" uri="{B025F937-C7B1-47D3-B67F-A62EFF666E3E}">
          <x14:id>{F32A08EA-50E8-4B5F-AB1F-5A7739FBC16C}</x14:id>
        </ext>
      </extLst>
    </cfRule>
  </conditionalFormatting>
  <dataValidations count="14">
    <dataValidation allowBlank="1" showInputMessage="1" showErrorMessage="1" prompt="Дните от седмицата в този ред се актуализират автоматично за месеца в зависимост от годината в AH4. Всеки ден от месеца е колона, която отбелязва отсъствие и тип на отсъствие на служителя" sqref="C5" xr:uid="{00000000-0002-0000-0900-000000000000}"/>
    <dataValidation allowBlank="1" showInputMessage="1" showErrorMessage="1" prompt="Автоматично актуализирана година въз основа на годината, въведена в работния лист за януари." sqref="AH4" xr:uid="{00000000-0002-0000-0900-000001000000}"/>
    <dataValidation allowBlank="1" showInputMessage="1" showErrorMessage="1" prompt="В тази колона се изчислява автоматично общият брой дни, в които служителят е отсъствал през този месец" sqref="AH6" xr:uid="{00000000-0002-0000-0900-000002000000}"/>
    <dataValidation allowBlank="1" showInputMessage="1" showErrorMessage="1" prompt="Проследявайте отсъствията през октомври в този работен лист" sqref="A1" xr:uid="{00000000-0002-0000-0900-000003000000}"/>
    <dataValidation errorStyle="warning" allowBlank="1" showInputMessage="1" showErrorMessage="1" error="Изберете име от списъка. Изберете &quot;ОТКАЗ&quot;, след което натиснете ALT+СТРЕЛКА НАДОЛУ и ENTER, за да изберете име" prompt="Въведете имената на служителите в работния лист &quot;Имена на служителите&quot; и след това изберете едно от тези имена от списъка в тази колона. Натиснете ALT+СТРЕЛКА НАДОЛУ и ENTER, за да изберете име" sqref="B6" xr:uid="{00000000-0002-0000-0900-000004000000}"/>
    <dataValidation allowBlank="1" showInputMessage="1" showErrorMessage="1" prompt="Автоматично актуализираното заглавие е в тази клетка. За да промените заглавието, актуализирайте В1 в работния лист за януари" sqref="B1" xr:uid="{00000000-0002-0000-0900-000005000000}"/>
    <dataValidation allowBlank="1" showInputMessage="1" showErrorMessage="1" prompt="Буквата &quot;О&quot; обозначава отсъствие поради годишен отпуск" sqref="C2" xr:uid="{00000000-0002-0000-0900-000006000000}"/>
    <dataValidation allowBlank="1" showInputMessage="1" showErrorMessage="1" prompt="Буквата &quot;Л&quot; обозначава отсъствие поради лични причини" sqref="G2" xr:uid="{00000000-0002-0000-0900-000007000000}"/>
    <dataValidation allowBlank="1" showInputMessage="1" showErrorMessage="1" prompt="Буквата &quot;Б&quot; обозначава отсъствие поради болест" sqref="K2" xr:uid="{00000000-0002-0000-0900-000008000000}"/>
    <dataValidation allowBlank="1" showInputMessage="1" showErrorMessage="1" prompt="Въведете буква и персонализирайте етикета вдясно, за да добавите друг ключ" sqref="N2 R2" xr:uid="{00000000-0002-0000-0900-000009000000}"/>
    <dataValidation allowBlank="1" showInputMessage="1" showErrorMessage="1" prompt="Въведете етикет, за да опишете ключа по избор вляво" sqref="O2:Q2 S2:U2" xr:uid="{00000000-0002-0000-0900-00000A000000}"/>
    <dataValidation allowBlank="1" showInputMessage="1" showErrorMessage="1" prompt="Този ред определя ключовете, използвани в таблицата: клетка C2 е &quot;Годишен отпуск&quot;, G2 е &quot;Лични причини&quot;, а K2 е &quot;Отпуск по болест&quot;. Клетки N2 и R2 могат да се персонализират" sqref="B2" xr:uid="{00000000-0002-0000-0900-00000B000000}"/>
    <dataValidation allowBlank="1" showInputMessage="1" showErrorMessage="1" prompt="Името на месец за този график за отсъствие е в тази клетка. Общите суми за отсъствия за този месец са в последната клетка на таблицата. Изберете имена на служители в колона в таблица B" sqref="B4" xr:uid="{00000000-0002-0000-0900-00000C000000}"/>
    <dataValidation allowBlank="1" showInputMessage="1" showErrorMessage="1" prompt="Дните от месеца в този ред се генерират автоматично. Въведете отсъствията на служителя и типа отсъствие във всяка колона за всеки ден от месеца. Празно означава без отсъствия" sqref="C6" xr:uid="{00000000-0002-0000-09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2A08EA-50E8-4B5F-AB1F-5A7739FBC16C}">
            <x14:dataBar minLength="0" maxLength="100">
              <x14:cfvo type="autoMin"/>
              <x14:cfvo type="formula">
                <xm:f>DATEDIF(DATE(КалендарнаГодина,2,1),DATE(КалендарнаГодина,3,1),"d")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E000000}">
          <x14:formula1>
            <xm:f>'Имена на служителите'!$B$4:$B$8</xm:f>
          </x14:formula1>
          <xm:sqref>B7:B11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2" tint="-0.249977111117893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8" style="11" customWidth="1"/>
    <col min="35" max="35" width="2.7109375" customWidth="1"/>
  </cols>
  <sheetData>
    <row r="1" spans="2:34" ht="50.1" customHeight="1" x14ac:dyDescent="0.25">
      <c r="B1" s="14" t="str">
        <f>Заглавие_отсъствия_служители</f>
        <v>График на отсъствията на служителите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6" t="s">
        <v>17</v>
      </c>
      <c r="L2" s="25" t="s">
        <v>24</v>
      </c>
      <c r="M2" s="25"/>
      <c r="N2" s="7"/>
      <c r="O2" s="25" t="s">
        <v>28</v>
      </c>
      <c r="P2" s="25"/>
      <c r="Q2" s="25"/>
      <c r="R2" s="8"/>
      <c r="S2" s="25" t="s">
        <v>33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62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КалендарнаГодина</f>
        <v>2019</v>
      </c>
    </row>
    <row r="5" spans="2:34" ht="15" customHeight="1" x14ac:dyDescent="0.25">
      <c r="B5" s="12"/>
      <c r="C5" s="2" t="str">
        <f>TEXT(WEEKDAY(DATE(КалендарнаГодина,11,1),1),"aaa")</f>
        <v>пет</v>
      </c>
      <c r="D5" s="2" t="str">
        <f>TEXT(WEEKDAY(DATE(КалендарнаГодина,11,2),1),"aaa")</f>
        <v>съб</v>
      </c>
      <c r="E5" s="2" t="str">
        <f>TEXT(WEEKDAY(DATE(КалендарнаГодина,11,3),1),"aaa")</f>
        <v>нед</v>
      </c>
      <c r="F5" s="2" t="str">
        <f>TEXT(WEEKDAY(DATE(КалендарнаГодина,11,4),1),"aaa")</f>
        <v>пон</v>
      </c>
      <c r="G5" s="2" t="str">
        <f>TEXT(WEEKDAY(DATE(КалендарнаГодина,11,5),1),"aaa")</f>
        <v>вт</v>
      </c>
      <c r="H5" s="2" t="str">
        <f>TEXT(WEEKDAY(DATE(КалендарнаГодина,11,6),1),"aaa")</f>
        <v>ср</v>
      </c>
      <c r="I5" s="2" t="str">
        <f>TEXT(WEEKDAY(DATE(КалендарнаГодина,11,7),1),"aaa")</f>
        <v>четв</v>
      </c>
      <c r="J5" s="2" t="str">
        <f>TEXT(WEEKDAY(DATE(КалендарнаГодина,11,8),1),"aaa")</f>
        <v>пет</v>
      </c>
      <c r="K5" s="2" t="str">
        <f>TEXT(WEEKDAY(DATE(КалендарнаГодина,11,9),1),"aaa")</f>
        <v>съб</v>
      </c>
      <c r="L5" s="2" t="str">
        <f>TEXT(WEEKDAY(DATE(КалендарнаГодина,11,10),1),"aaa")</f>
        <v>нед</v>
      </c>
      <c r="M5" s="2" t="str">
        <f>TEXT(WEEKDAY(DATE(КалендарнаГодина,11,11),1),"aaa")</f>
        <v>пон</v>
      </c>
      <c r="N5" s="2" t="str">
        <f>TEXT(WEEKDAY(DATE(КалендарнаГодина,11,12),1),"aaa")</f>
        <v>вт</v>
      </c>
      <c r="O5" s="2" t="str">
        <f>TEXT(WEEKDAY(DATE(КалендарнаГодина,11,13),1),"aaa")</f>
        <v>ср</v>
      </c>
      <c r="P5" s="2" t="str">
        <f>TEXT(WEEKDAY(DATE(КалендарнаГодина,11,14),1),"aaa")</f>
        <v>четв</v>
      </c>
      <c r="Q5" s="2" t="str">
        <f>TEXT(WEEKDAY(DATE(КалендарнаГодина,11,15),1),"aaa")</f>
        <v>пет</v>
      </c>
      <c r="R5" s="2" t="str">
        <f>TEXT(WEEKDAY(DATE(КалендарнаГодина,11,16),1),"aaa")</f>
        <v>съб</v>
      </c>
      <c r="S5" s="2" t="str">
        <f>TEXT(WEEKDAY(DATE(КалендарнаГодина,11,17),1),"aaa")</f>
        <v>нед</v>
      </c>
      <c r="T5" s="2" t="str">
        <f>TEXT(WEEKDAY(DATE(КалендарнаГодина,11,18),1),"aaa")</f>
        <v>пон</v>
      </c>
      <c r="U5" s="2" t="str">
        <f>TEXT(WEEKDAY(DATE(КалендарнаГодина,11,19),1),"aaa")</f>
        <v>вт</v>
      </c>
      <c r="V5" s="2" t="str">
        <f>TEXT(WEEKDAY(DATE(КалендарнаГодина,11,20),1),"aaa")</f>
        <v>ср</v>
      </c>
      <c r="W5" s="2" t="str">
        <f>TEXT(WEEKDAY(DATE(КалендарнаГодина,11,21),1),"aaa")</f>
        <v>четв</v>
      </c>
      <c r="X5" s="2" t="str">
        <f>TEXT(WEEKDAY(DATE(КалендарнаГодина,11,22),1),"aaa")</f>
        <v>пет</v>
      </c>
      <c r="Y5" s="2" t="str">
        <f>TEXT(WEEKDAY(DATE(КалендарнаГодина,11,23),1),"aaa")</f>
        <v>съб</v>
      </c>
      <c r="Z5" s="2" t="str">
        <f>TEXT(WEEKDAY(DATE(КалендарнаГодина,11,24),1),"aaa")</f>
        <v>нед</v>
      </c>
      <c r="AA5" s="2" t="str">
        <f>TEXT(WEEKDAY(DATE(КалендарнаГодина,11,25),1),"aaa")</f>
        <v>пон</v>
      </c>
      <c r="AB5" s="2" t="str">
        <f>TEXT(WEEKDAY(DATE(КалендарнаГодина,11,26),1),"aaa")</f>
        <v>вт</v>
      </c>
      <c r="AC5" s="2" t="str">
        <f>TEXT(WEEKDAY(DATE(КалендарнаГодина,11,27),1),"aaa")</f>
        <v>ср</v>
      </c>
      <c r="AD5" s="2" t="str">
        <f>TEXT(WEEKDAY(DATE(КалендарнаГодина,11,28),1),"aaa")</f>
        <v>четв</v>
      </c>
      <c r="AE5" s="2" t="str">
        <f>TEXT(WEEKDAY(DATE(КалендарнаГодина,11,29),1),"aaa")</f>
        <v>пет</v>
      </c>
      <c r="AF5" s="2" t="str">
        <f>TEXT(WEEKDAY(DATE(КалендарнаГодина,11,30),1),"aaa")</f>
        <v>съб</v>
      </c>
      <c r="AG5" s="2"/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52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COUNTA(Ноември[[#This Row],[1]:[30]])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COUNTA(Ноември[[#This Row],[1]:[30]])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COUNTA(Ноември[[#This Row],[1]:[30]])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COUNTA(Ноември[[#This Row],[1]:[30]])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COUNTA(Ноември[[#This Row],[1]:[30]])</f>
        <v>0</v>
      </c>
    </row>
    <row r="12" spans="2:34" ht="30" customHeight="1" x14ac:dyDescent="0.25">
      <c r="B12" s="21" t="str">
        <f>ИмеМесец&amp;" Общо"</f>
        <v>Ноември Общо</v>
      </c>
      <c r="C12" s="13">
        <f>SUBTOTAL(103,Ноември[1])</f>
        <v>0</v>
      </c>
      <c r="D12" s="13">
        <f>SUBTOTAL(103,Ноември[2])</f>
        <v>0</v>
      </c>
      <c r="E12" s="13">
        <f>SUBTOTAL(103,Ноември[3])</f>
        <v>0</v>
      </c>
      <c r="F12" s="13">
        <f>SUBTOTAL(103,Ноември[4])</f>
        <v>0</v>
      </c>
      <c r="G12" s="13">
        <f>SUBTOTAL(103,Ноември[5])</f>
        <v>0</v>
      </c>
      <c r="H12" s="13">
        <f>SUBTOTAL(103,Ноември[6])</f>
        <v>0</v>
      </c>
      <c r="I12" s="13">
        <f>SUBTOTAL(103,Ноември[7])</f>
        <v>0</v>
      </c>
      <c r="J12" s="13">
        <f>SUBTOTAL(103,Ноември[8])</f>
        <v>0</v>
      </c>
      <c r="K12" s="13">
        <f>SUBTOTAL(103,Ноември[9])</f>
        <v>0</v>
      </c>
      <c r="L12" s="13">
        <f>SUBTOTAL(103,Ноември[10])</f>
        <v>0</v>
      </c>
      <c r="M12" s="13">
        <f>SUBTOTAL(103,Ноември[11])</f>
        <v>0</v>
      </c>
      <c r="N12" s="13">
        <f>SUBTOTAL(103,Ноември[12])</f>
        <v>0</v>
      </c>
      <c r="O12" s="13">
        <f>SUBTOTAL(103,Ноември[13])</f>
        <v>0</v>
      </c>
      <c r="P12" s="13">
        <f>SUBTOTAL(103,Ноември[14])</f>
        <v>0</v>
      </c>
      <c r="Q12" s="13">
        <f>SUBTOTAL(103,Ноември[15])</f>
        <v>0</v>
      </c>
      <c r="R12" s="13">
        <f>SUBTOTAL(103,Ноември[16])</f>
        <v>0</v>
      </c>
      <c r="S12" s="13">
        <f>SUBTOTAL(103,Ноември[17])</f>
        <v>0</v>
      </c>
      <c r="T12" s="13">
        <f>SUBTOTAL(103,Ноември[18])</f>
        <v>0</v>
      </c>
      <c r="U12" s="13">
        <f>SUBTOTAL(103,Ноември[19])</f>
        <v>0</v>
      </c>
      <c r="V12" s="13">
        <f>SUBTOTAL(103,Ноември[20])</f>
        <v>0</v>
      </c>
      <c r="W12" s="13">
        <f>SUBTOTAL(103,Ноември[21])</f>
        <v>0</v>
      </c>
      <c r="X12" s="13">
        <f>SUBTOTAL(103,Ноември[22])</f>
        <v>0</v>
      </c>
      <c r="Y12" s="13">
        <f>SUBTOTAL(103,Ноември[23])</f>
        <v>0</v>
      </c>
      <c r="Z12" s="13">
        <f>SUBTOTAL(103,Ноември[24])</f>
        <v>0</v>
      </c>
      <c r="AA12" s="13">
        <f>SUBTOTAL(103,Ноември[25])</f>
        <v>0</v>
      </c>
      <c r="AB12" s="13">
        <f>SUBTOTAL(103,Ноември[26])</f>
        <v>0</v>
      </c>
      <c r="AC12" s="13">
        <f>SUBTOTAL(103,Ноември[27])</f>
        <v>0</v>
      </c>
      <c r="AD12" s="13">
        <f>SUBTOTAL(103,Ноември[28])</f>
        <v>0</v>
      </c>
      <c r="AE12" s="13">
        <f>SUBTOTAL(103,Ноември[29])</f>
        <v>0</v>
      </c>
      <c r="AF12" s="13">
        <f>SUBTOTAL(103,Ноември[30])</f>
        <v>0</v>
      </c>
      <c r="AG12" s="13">
        <f>SUBTOTAL(103,Ноември[[ ]])</f>
        <v>0</v>
      </c>
      <c r="AH12" s="13">
        <f>SUBTOTAL(109,Ноември[Общо дни])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9" priority="2" stopIfTrue="1">
      <formula>C7=КлючПоИзбор2</formula>
    </cfRule>
    <cfRule type="expression" dxfId="8" priority="3" stopIfTrue="1">
      <formula>C7=КлючПоИзбор1</formula>
    </cfRule>
    <cfRule type="expression" dxfId="7" priority="4" stopIfTrue="1">
      <formula>C7=КлючБолест</formula>
    </cfRule>
    <cfRule type="expression" dxfId="6" priority="5" stopIfTrue="1">
      <formula>C7=КлючЛични</formula>
    </cfRule>
    <cfRule type="expression" dxfId="5" priority="6" stopIfTrue="1">
      <formula>C7=КлючОтпуск</formula>
    </cfRule>
  </conditionalFormatting>
  <conditionalFormatting sqref="AH7:AH11">
    <cfRule type="dataBar" priority="7">
      <dataBar>
        <cfvo type="min"/>
        <cfvo type="formula" val="DATEDIF(DATE(КалендарнаГодина,2,1),DATE(КалендарнаГодина,3,1),&quot;d&quot;)"/>
        <color theme="2" tint="-0.249977111117893"/>
      </dataBar>
      <extLst>
        <ext xmlns:x14="http://schemas.microsoft.com/office/spreadsheetml/2009/9/main" uri="{B025F937-C7B1-47D3-B67F-A62EFF666E3E}">
          <x14:id>{27D92E49-5CF1-46DF-AD7A-3A5E92F274F3}</x14:id>
        </ext>
      </extLst>
    </cfRule>
  </conditionalFormatting>
  <dataValidations count="14">
    <dataValidation allowBlank="1" showInputMessage="1" showErrorMessage="1" prompt="Дните от месеца в този ред се генерират автоматично. Въведете отсъствията на служителя и типа отсъствие във всяка колона за всеки ден от месеца. Празно означава без отсъствия" sqref="C6" xr:uid="{00000000-0002-0000-0A00-000000000000}"/>
    <dataValidation allowBlank="1" showInputMessage="1" showErrorMessage="1" prompt="Името на месец за този график за отсъствие е в тази клетка. Общите суми за отсъствия за този месец са в последната клетка на таблицата. Изберете имена на служители в колона в таблица B" sqref="B4" xr:uid="{00000000-0002-0000-0A00-000001000000}"/>
    <dataValidation allowBlank="1" showInputMessage="1" showErrorMessage="1" prompt="Този ред определя ключовете, използвани в таблицата: клетка C2 е &quot;Годишен отпуск&quot;, G2 е &quot;Лични причини&quot;, а K2 е &quot;Отпуск по болест&quot;. Клетки N2 и R2 могат да се персонализират" sqref="B2" xr:uid="{00000000-0002-0000-0A00-000002000000}"/>
    <dataValidation allowBlank="1" showInputMessage="1" showErrorMessage="1" prompt="Въведете етикет, за да опишете ключа по избор вляво" sqref="O2:Q2 S2:U2" xr:uid="{00000000-0002-0000-0A00-000003000000}"/>
    <dataValidation allowBlank="1" showInputMessage="1" showErrorMessage="1" prompt="Въведете буква и персонализирайте етикета вдясно, за да добавите друг ключ" sqref="N2 R2" xr:uid="{00000000-0002-0000-0A00-000004000000}"/>
    <dataValidation allowBlank="1" showInputMessage="1" showErrorMessage="1" prompt="Буквата &quot;Б&quot; обозначава отсъствие поради болест" sqref="K2" xr:uid="{00000000-0002-0000-0A00-000005000000}"/>
    <dataValidation allowBlank="1" showInputMessage="1" showErrorMessage="1" prompt="Буквата &quot;Л&quot; обозначава отсъствие поради лични причини" sqref="G2" xr:uid="{00000000-0002-0000-0A00-000006000000}"/>
    <dataValidation allowBlank="1" showInputMessage="1" showErrorMessage="1" prompt="Буквата &quot;О&quot; обозначава отсъствие поради годишен отпуск" sqref="C2" xr:uid="{00000000-0002-0000-0A00-000007000000}"/>
    <dataValidation allowBlank="1" showInputMessage="1" showErrorMessage="1" prompt="Автоматично актуализираното заглавие е в тази клетка. За да промените заглавието, актуализирайте В1 в работния лист за януари" sqref="B1" xr:uid="{00000000-0002-0000-0A00-000008000000}"/>
    <dataValidation errorStyle="warning" allowBlank="1" showInputMessage="1" showErrorMessage="1" error="Изберете име от списъка. Изберете &quot;ОТКАЗ&quot;, след което натиснете ALT+СТРЕЛКА НАДОЛУ и ENTER, за да изберете име" prompt="Въведете имената на служителите в работния лист &quot;Имена на служителите&quot; и след това изберете едно от тези имена от списъка в тази колона. Натиснете ALT+СТРЕЛКА НАДОЛУ и ENTER, за да изберете име" sqref="B6" xr:uid="{00000000-0002-0000-0A00-000009000000}"/>
    <dataValidation allowBlank="1" showInputMessage="1" showErrorMessage="1" prompt="Проследявайте отсъствията през ноември в този работен лист" sqref="A1" xr:uid="{00000000-0002-0000-0A00-00000A000000}"/>
    <dataValidation allowBlank="1" showInputMessage="1" showErrorMessage="1" prompt="В тази колона се изчислява автоматично общият брой дни, в които служителят е отсъствал през този месец" sqref="AH6" xr:uid="{00000000-0002-0000-0A00-00000B000000}"/>
    <dataValidation allowBlank="1" showInputMessage="1" showErrorMessage="1" prompt="Автоматично актуализирана година въз основа на годината, въведена в работния лист за януари." sqref="AH4" xr:uid="{00000000-0002-0000-0A00-00000C000000}"/>
    <dataValidation allowBlank="1" showInputMessage="1" showErrorMessage="1" prompt="Дните от седмицата в този ред се актуализират автоматично за месеца в зависимост от годината в AH4. Всеки ден от месеца е колона, която отбелязва отсъствие и тип на отсъствие на служителя" sqref="C5" xr:uid="{00000000-0002-0000-0A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D92E49-5CF1-46DF-AD7A-3A5E92F274F3}">
            <x14:dataBar minLength="0" maxLength="100">
              <x14:cfvo type="autoMin"/>
              <x14:cfvo type="formula">
                <xm:f>DATEDIF(DATE(КалендарнаГодина,2,1),DATE(КалендарнаГодина,3,1),"d")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E000000}">
          <x14:formula1>
            <xm:f>'Имена на служителите'!$B$4:$B$8</xm:f>
          </x14:formula1>
          <xm:sqref>B7:B11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7999816888943144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8" style="11" customWidth="1"/>
    <col min="35" max="35" width="2.7109375" customWidth="1"/>
  </cols>
  <sheetData>
    <row r="1" spans="2:34" ht="50.1" customHeight="1" x14ac:dyDescent="0.25">
      <c r="B1" s="14" t="str">
        <f>Заглавие_отсъствия_служители</f>
        <v>График на отсъствията на служителите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6" t="s">
        <v>17</v>
      </c>
      <c r="L2" s="25" t="s">
        <v>24</v>
      </c>
      <c r="M2" s="25"/>
      <c r="N2" s="7"/>
      <c r="O2" s="25" t="s">
        <v>28</v>
      </c>
      <c r="P2" s="25"/>
      <c r="Q2" s="25"/>
      <c r="R2" s="8"/>
      <c r="S2" s="25" t="s">
        <v>33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63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КалендарнаГодина</f>
        <v>2019</v>
      </c>
    </row>
    <row r="5" spans="2:34" ht="15" customHeight="1" x14ac:dyDescent="0.25">
      <c r="B5" s="12"/>
      <c r="C5" s="2" t="str">
        <f>TEXT(WEEKDAY(DATE(КалендарнаГодина,12,1),1),"aaa")</f>
        <v>нед</v>
      </c>
      <c r="D5" s="2" t="str">
        <f>TEXT(WEEKDAY(DATE(КалендарнаГодина,12,2),1),"aaa")</f>
        <v>пон</v>
      </c>
      <c r="E5" s="2" t="str">
        <f>TEXT(WEEKDAY(DATE(КалендарнаГодина,12,3),1),"aaa")</f>
        <v>вт</v>
      </c>
      <c r="F5" s="2" t="str">
        <f>TEXT(WEEKDAY(DATE(КалендарнаГодина,12,4),1),"aaa")</f>
        <v>ср</v>
      </c>
      <c r="G5" s="2" t="str">
        <f>TEXT(WEEKDAY(DATE(КалендарнаГодина,12,5),1),"aaa")</f>
        <v>четв</v>
      </c>
      <c r="H5" s="2" t="str">
        <f>TEXT(WEEKDAY(DATE(КалендарнаГодина,12,6),1),"aaa")</f>
        <v>пет</v>
      </c>
      <c r="I5" s="2" t="str">
        <f>TEXT(WEEKDAY(DATE(КалендарнаГодина,12,7),1),"aaa")</f>
        <v>съб</v>
      </c>
      <c r="J5" s="2" t="str">
        <f>TEXT(WEEKDAY(DATE(КалендарнаГодина,12,8),1),"aaa")</f>
        <v>нед</v>
      </c>
      <c r="K5" s="2" t="str">
        <f>TEXT(WEEKDAY(DATE(КалендарнаГодина,12,9),1),"aaa")</f>
        <v>пон</v>
      </c>
      <c r="L5" s="2" t="str">
        <f>TEXT(WEEKDAY(DATE(КалендарнаГодина,12,10),1),"aaa")</f>
        <v>вт</v>
      </c>
      <c r="M5" s="2" t="str">
        <f>TEXT(WEEKDAY(DATE(КалендарнаГодина,12,11),1),"aaa")</f>
        <v>ср</v>
      </c>
      <c r="N5" s="2" t="str">
        <f>TEXT(WEEKDAY(DATE(КалендарнаГодина,12,12),1),"aaa")</f>
        <v>четв</v>
      </c>
      <c r="O5" s="2" t="str">
        <f>TEXT(WEEKDAY(DATE(КалендарнаГодина,12,13),1),"aaa")</f>
        <v>пет</v>
      </c>
      <c r="P5" s="2" t="str">
        <f>TEXT(WEEKDAY(DATE(КалендарнаГодина,12,14),1),"aaa")</f>
        <v>съб</v>
      </c>
      <c r="Q5" s="2" t="str">
        <f>TEXT(WEEKDAY(DATE(КалендарнаГодина,12,15),1),"aaa")</f>
        <v>нед</v>
      </c>
      <c r="R5" s="2" t="str">
        <f>TEXT(WEEKDAY(DATE(КалендарнаГодина,12,16),1),"aaa")</f>
        <v>пон</v>
      </c>
      <c r="S5" s="2" t="str">
        <f>TEXT(WEEKDAY(DATE(КалендарнаГодина,12,17),1),"aaa")</f>
        <v>вт</v>
      </c>
      <c r="T5" s="2" t="str">
        <f>TEXT(WEEKDAY(DATE(КалендарнаГодина,12,18),1),"aaa")</f>
        <v>ср</v>
      </c>
      <c r="U5" s="2" t="str">
        <f>TEXT(WEEKDAY(DATE(КалендарнаГодина,12,19),1),"aaa")</f>
        <v>четв</v>
      </c>
      <c r="V5" s="2" t="str">
        <f>TEXT(WEEKDAY(DATE(КалендарнаГодина,12,20),1),"aaa")</f>
        <v>пет</v>
      </c>
      <c r="W5" s="2" t="str">
        <f>TEXT(WEEKDAY(DATE(КалендарнаГодина,12,21),1),"aaa")</f>
        <v>съб</v>
      </c>
      <c r="X5" s="2" t="str">
        <f>TEXT(WEEKDAY(DATE(КалендарнаГодина,12,22),1),"aaa")</f>
        <v>нед</v>
      </c>
      <c r="Y5" s="2" t="str">
        <f>TEXT(WEEKDAY(DATE(КалендарнаГодина,12,23),1),"aaa")</f>
        <v>пон</v>
      </c>
      <c r="Z5" s="2" t="str">
        <f>TEXT(WEEKDAY(DATE(КалендарнаГодина,12,24),1),"aaa")</f>
        <v>вт</v>
      </c>
      <c r="AA5" s="2" t="str">
        <f>TEXT(WEEKDAY(DATE(КалендарнаГодина,12,25),1),"aaa")</f>
        <v>ср</v>
      </c>
      <c r="AB5" s="2" t="str">
        <f>TEXT(WEEKDAY(DATE(КалендарнаГодина,12,26),1),"aaa")</f>
        <v>четв</v>
      </c>
      <c r="AC5" s="2" t="str">
        <f>TEXT(WEEKDAY(DATE(КалендарнаГодина,12,27),1),"aaa")</f>
        <v>пет</v>
      </c>
      <c r="AD5" s="2" t="str">
        <f>TEXT(WEEKDAY(DATE(КалендарнаГодина,12,28),1),"aaa")</f>
        <v>съб</v>
      </c>
      <c r="AE5" s="2" t="str">
        <f>TEXT(WEEKDAY(DATE(КалендарнаГодина,12,29),1),"aaa")</f>
        <v>нед</v>
      </c>
      <c r="AF5" s="2" t="str">
        <f>TEXT(WEEKDAY(DATE(КалендарнаГодина,12,30),1),"aaa")</f>
        <v>пон</v>
      </c>
      <c r="AG5" s="2" t="str">
        <f>TEXT(WEEKDAY(DATE(КалендарнаГодина,12,31),1),"aaa")</f>
        <v>вт</v>
      </c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48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COUNTA(Декември[[#This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COUNTA(Декември[[#This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COUNTA(Декември[[#This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COUNTA(Декември[[#This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COUNTA(Декември[[#This Row],[1]:[31]])</f>
        <v>0</v>
      </c>
    </row>
    <row r="12" spans="2:34" ht="30" customHeight="1" x14ac:dyDescent="0.25">
      <c r="B12" s="21" t="str">
        <f>ИмеМесец&amp;" Общо"</f>
        <v>Декември Общо</v>
      </c>
      <c r="C12" s="13">
        <f>SUBTOTAL(103,Декември[1])</f>
        <v>0</v>
      </c>
      <c r="D12" s="13">
        <f>SUBTOTAL(103,Декември[2])</f>
        <v>0</v>
      </c>
      <c r="E12" s="13">
        <f>SUBTOTAL(103,Декември[3])</f>
        <v>0</v>
      </c>
      <c r="F12" s="13">
        <f>SUBTOTAL(103,Декември[4])</f>
        <v>0</v>
      </c>
      <c r="G12" s="13">
        <f>SUBTOTAL(103,Декември[5])</f>
        <v>0</v>
      </c>
      <c r="H12" s="13">
        <f>SUBTOTAL(103,Декември[6])</f>
        <v>0</v>
      </c>
      <c r="I12" s="13">
        <f>SUBTOTAL(103,Декември[7])</f>
        <v>0</v>
      </c>
      <c r="J12" s="13">
        <f>SUBTOTAL(103,Декември[8])</f>
        <v>0</v>
      </c>
      <c r="K12" s="13">
        <f>SUBTOTAL(103,Декември[9])</f>
        <v>0</v>
      </c>
      <c r="L12" s="13">
        <f>SUBTOTAL(103,Декември[10])</f>
        <v>0</v>
      </c>
      <c r="M12" s="13">
        <f>SUBTOTAL(103,Декември[11])</f>
        <v>0</v>
      </c>
      <c r="N12" s="13">
        <f>SUBTOTAL(103,Декември[12])</f>
        <v>0</v>
      </c>
      <c r="O12" s="13">
        <f>SUBTOTAL(103,Декември[13])</f>
        <v>0</v>
      </c>
      <c r="P12" s="13">
        <f>SUBTOTAL(103,Декември[14])</f>
        <v>0</v>
      </c>
      <c r="Q12" s="13">
        <f>SUBTOTAL(103,Декември[15])</f>
        <v>0</v>
      </c>
      <c r="R12" s="13">
        <f>SUBTOTAL(103,Декември[16])</f>
        <v>0</v>
      </c>
      <c r="S12" s="13">
        <f>SUBTOTAL(103,Декември[17])</f>
        <v>0</v>
      </c>
      <c r="T12" s="13">
        <f>SUBTOTAL(103,Декември[18])</f>
        <v>0</v>
      </c>
      <c r="U12" s="13">
        <f>SUBTOTAL(103,Декември[19])</f>
        <v>0</v>
      </c>
      <c r="V12" s="13">
        <f>SUBTOTAL(103,Декември[20])</f>
        <v>0</v>
      </c>
      <c r="W12" s="13">
        <f>SUBTOTAL(103,Декември[21])</f>
        <v>0</v>
      </c>
      <c r="X12" s="13">
        <f>SUBTOTAL(103,Декември[22])</f>
        <v>0</v>
      </c>
      <c r="Y12" s="13">
        <f>SUBTOTAL(103,Декември[23])</f>
        <v>0</v>
      </c>
      <c r="Z12" s="13">
        <f>SUBTOTAL(103,Декември[24])</f>
        <v>0</v>
      </c>
      <c r="AA12" s="13">
        <f>SUBTOTAL(103,Декември[25])</f>
        <v>0</v>
      </c>
      <c r="AB12" s="13">
        <f>SUBTOTAL(103,Декември[26])</f>
        <v>0</v>
      </c>
      <c r="AC12" s="13">
        <f>SUBTOTAL(103,Декември[27])</f>
        <v>0</v>
      </c>
      <c r="AD12" s="13">
        <f>SUBTOTAL(103,Декември[28])</f>
        <v>0</v>
      </c>
      <c r="AE12" s="13">
        <f>SUBTOTAL(103,Декември[29])</f>
        <v>0</v>
      </c>
      <c r="AF12" s="13">
        <f>SUBTOTAL(103,Декември[30])</f>
        <v>0</v>
      </c>
      <c r="AG12" s="13">
        <f>SUBTOTAL(103,Декември[31])</f>
        <v>0</v>
      </c>
      <c r="AH12" s="13">
        <f>SUBTOTAL(109,Декември[Общо дни])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4" priority="2" stopIfTrue="1">
      <formula>C7=КлючПоИзбор2</formula>
    </cfRule>
    <cfRule type="expression" dxfId="3" priority="3" stopIfTrue="1">
      <formula>C7=КлючПоИзбор1</formula>
    </cfRule>
    <cfRule type="expression" dxfId="2" priority="4" stopIfTrue="1">
      <formula>C7=КлючБолест</formula>
    </cfRule>
    <cfRule type="expression" dxfId="1" priority="5" stopIfTrue="1">
      <formula>C7=КлючЛични</formula>
    </cfRule>
    <cfRule type="expression" dxfId="0" priority="6" stopIfTrue="1">
      <formula>C7=КлючОтпуск</formula>
    </cfRule>
  </conditionalFormatting>
  <conditionalFormatting sqref="AH7:AH11">
    <cfRule type="dataBar" priority="30">
      <dataBar>
        <cfvo type="min"/>
        <cfvo type="formula" val="DATEDIF(DATE(КалендарнаГодина,2,1),DATE(КалендарнаГодина,3,1),&quot;d&quot;)"/>
        <color theme="2" tint="-0.249977111117893"/>
      </dataBar>
      <extLst>
        <ext xmlns:x14="http://schemas.microsoft.com/office/spreadsheetml/2009/9/main" uri="{B025F937-C7B1-47D3-B67F-A62EFF666E3E}">
          <x14:id>{17586780-365B-4F4C-BBB4-F5991705D361}</x14:id>
        </ext>
      </extLst>
    </cfRule>
  </conditionalFormatting>
  <dataValidations count="14">
    <dataValidation allowBlank="1" showInputMessage="1" showErrorMessage="1" prompt="Автоматично актуализирана година въз основа на годината, въведена в работния лист за януари." sqref="AH4" xr:uid="{00000000-0002-0000-0B00-000000000000}"/>
    <dataValidation allowBlank="1" showInputMessage="1" showErrorMessage="1" prompt="В тази колона се изчислява автоматично общият брой дни, в които служителят е отсъствал през този месец" sqref="AH6" xr:uid="{00000000-0002-0000-0B00-000001000000}"/>
    <dataValidation allowBlank="1" showInputMessage="1" showErrorMessage="1" prompt="Проследявайте отсъствията през декември в този работен лист" sqref="A1" xr:uid="{00000000-0002-0000-0B00-000002000000}"/>
    <dataValidation errorStyle="warning" allowBlank="1" showInputMessage="1" showErrorMessage="1" error="Изберете име от списъка. Изберете &quot;ОТКАЗ&quot;, след което натиснете ALT+СТРЕЛКА НАДОЛУ и ENTER, за да изберете име" prompt="Въведете имената на служителите в работния лист &quot;Имена на служителите&quot; и след това изберете едно от тези имена от списъка в тази колона. Натиснете ALT+СТРЕЛКА НАДОЛУ и ENTER, за да изберете име" sqref="B6" xr:uid="{00000000-0002-0000-0B00-000003000000}"/>
    <dataValidation allowBlank="1" showInputMessage="1" showErrorMessage="1" prompt="Автоматично актуализираното заглавие е в тази клетка. За да промените заглавието, актуализирайте В1 в работния лист за януари" sqref="B1" xr:uid="{00000000-0002-0000-0B00-000004000000}"/>
    <dataValidation allowBlank="1" showInputMessage="1" showErrorMessage="1" prompt="Буквата &quot;О&quot; обозначава отсъствие поради годишен отпуск" sqref="C2" xr:uid="{00000000-0002-0000-0B00-000005000000}"/>
    <dataValidation allowBlank="1" showInputMessage="1" showErrorMessage="1" prompt="Буквата &quot;Л&quot; обозначава отсъствие поради лични причини" sqref="G2" xr:uid="{00000000-0002-0000-0B00-000006000000}"/>
    <dataValidation allowBlank="1" showInputMessage="1" showErrorMessage="1" prompt="Буквата &quot;Б&quot; обозначава отсъствие поради болест" sqref="K2" xr:uid="{00000000-0002-0000-0B00-000007000000}"/>
    <dataValidation allowBlank="1" showInputMessage="1" showErrorMessage="1" prompt="Въведете буква и персонализирайте етикета вдясно, за да добавите друг ключ" sqref="N2 R2" xr:uid="{00000000-0002-0000-0B00-000008000000}"/>
    <dataValidation allowBlank="1" showInputMessage="1" showErrorMessage="1" prompt="Въведете етикет, за да опишете ключа по избор вляво" sqref="O2:Q2 S2:U2" xr:uid="{00000000-0002-0000-0B00-000009000000}"/>
    <dataValidation allowBlank="1" showInputMessage="1" showErrorMessage="1" prompt="Този ред определя ключовете, използвани в таблицата: клетка C2 е &quot;Годишен отпуск&quot;, G2 е &quot;Лични причини&quot;, а K2 е &quot;Отпуск по болест&quot;. Клетки N2 и R2 могат да се персонализират" sqref="B2" xr:uid="{00000000-0002-0000-0B00-00000A000000}"/>
    <dataValidation allowBlank="1" showInputMessage="1" showErrorMessage="1" prompt="Името на месец за този график за отсъствие е в тази клетка. Общите суми за отсъствия за този месец са в последната клетка на таблицата. Изберете имена на служители в колона в таблица B" sqref="B4" xr:uid="{00000000-0002-0000-0B00-00000B000000}"/>
    <dataValidation allowBlank="1" showInputMessage="1" showErrorMessage="1" prompt="Дните от седмицата в този ред се актуализират автоматично за месеца в зависимост от годината в AH4. Всеки ден от месеца е колона, която отбелязва отсъствие и тип на отсъствие на служителя" sqref="C5" xr:uid="{00000000-0002-0000-0B00-00000C000000}"/>
    <dataValidation allowBlank="1" showInputMessage="1" showErrorMessage="1" prompt="Дните от месеца в този ред се генерират автоматично. Въведете отсъствията на служителя и типа отсъствие във всяка колона за всеки ден от месеца. Празно означава без отсъствия" sqref="C6" xr:uid="{00000000-0002-0000-0B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586780-365B-4F4C-BBB4-F5991705D361}">
            <x14:dataBar minLength="0" maxLength="100">
              <x14:cfvo type="autoMin"/>
              <x14:cfvo type="formula">
                <xm:f>DATEDIF(DATE(КалендарнаГодина,2,1),DATE(КалендарнаГодина,3,1),"d")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E000000}">
          <x14:formula1>
            <xm:f>'Имена на служителите'!$B$4:$B$8</xm:f>
          </x14:formula1>
          <xm:sqref>B7:B11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/>
  </sheetPr>
  <dimension ref="B1:B8"/>
  <sheetViews>
    <sheetView showGridLines="0" workbookViewId="0"/>
  </sheetViews>
  <sheetFormatPr defaultRowHeight="30" customHeight="1" x14ac:dyDescent="0.25"/>
  <cols>
    <col min="1" max="1" width="2.7109375" customWidth="1"/>
    <col min="2" max="2" width="30.7109375" customWidth="1"/>
    <col min="3" max="3" width="2.7109375" customWidth="1"/>
  </cols>
  <sheetData>
    <row r="1" spans="2:2" ht="50.1" customHeight="1" x14ac:dyDescent="0.25">
      <c r="B1" s="22" t="s">
        <v>64</v>
      </c>
    </row>
    <row r="2" spans="2:2" ht="15" customHeight="1" x14ac:dyDescent="0.25"/>
    <row r="3" spans="2:2" ht="30" customHeight="1" x14ac:dyDescent="0.25">
      <c r="B3" t="s">
        <v>64</v>
      </c>
    </row>
    <row r="4" spans="2:2" ht="30" customHeight="1" x14ac:dyDescent="0.25">
      <c r="B4" s="1" t="s">
        <v>4</v>
      </c>
    </row>
    <row r="5" spans="2:2" ht="30" customHeight="1" x14ac:dyDescent="0.25">
      <c r="B5" s="1" t="s">
        <v>5</v>
      </c>
    </row>
    <row r="6" spans="2:2" ht="30" customHeight="1" x14ac:dyDescent="0.25">
      <c r="B6" s="1" t="s">
        <v>6</v>
      </c>
    </row>
    <row r="7" spans="2:2" ht="30" customHeight="1" x14ac:dyDescent="0.25">
      <c r="B7" s="1" t="s">
        <v>7</v>
      </c>
    </row>
    <row r="8" spans="2:2" ht="30" customHeight="1" x14ac:dyDescent="0.25">
      <c r="B8" s="1" t="s">
        <v>8</v>
      </c>
    </row>
  </sheetData>
  <dataValidations count="3">
    <dataValidation allowBlank="1" showInputMessage="1" showErrorMessage="1" prompt="Заглавие &quot;Имена на служители&quot;" sqref="B1" xr:uid="{00000000-0002-0000-0C00-000000000000}"/>
    <dataValidation allowBlank="1" showInputMessage="1" showErrorMessage="1" prompt="Въведете имената на служителите в таблицата за имена на служители в този работен лист. Тези имена се използват като опции в колона B на таблицата за отсъствия за всеки месец" sqref="A1" xr:uid="{00000000-0002-0000-0C00-000001000000}"/>
    <dataValidation allowBlank="1" showInputMessage="1" showErrorMessage="1" prompt="Въведете имената на служителите в тази колона" sqref="B3" xr:uid="{00000000-0002-0000-0C00-000002000000}"/>
  </dataValidations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749992370372631"/>
    <pageSetUpPr fitToPage="1"/>
  </sheetPr>
  <dimension ref="A1:AH12"/>
  <sheetViews>
    <sheetView showGridLines="0" zoomScaleNormal="100" workbookViewId="0"/>
  </sheetViews>
  <sheetFormatPr defaultColWidth="9.140625"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8" style="11" customWidth="1"/>
    <col min="35" max="35" width="2.7109375" customWidth="1"/>
  </cols>
  <sheetData>
    <row r="1" spans="2:34" ht="50.1" customHeight="1" x14ac:dyDescent="0.25">
      <c r="B1" s="14" t="str">
        <f>Заглавие_отсъствия_служители</f>
        <v>График на отсъствията на служителите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6" t="s">
        <v>17</v>
      </c>
      <c r="L2" s="25" t="s">
        <v>24</v>
      </c>
      <c r="M2" s="25"/>
      <c r="N2" s="7"/>
      <c r="O2" s="25" t="s">
        <v>28</v>
      </c>
      <c r="P2" s="25"/>
      <c r="Q2" s="25"/>
      <c r="R2" s="8"/>
      <c r="S2" s="25" t="s">
        <v>33</v>
      </c>
      <c r="T2" s="25"/>
      <c r="U2" s="25"/>
    </row>
    <row r="3" spans="2:34" ht="15" customHeight="1" x14ac:dyDescent="0.25">
      <c r="B3"/>
    </row>
    <row r="4" spans="2:34" ht="30" customHeight="1" x14ac:dyDescent="0.25">
      <c r="B4" s="12" t="s">
        <v>51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КалендарнаГодина</f>
        <v>2019</v>
      </c>
    </row>
    <row r="5" spans="2:34" ht="15" customHeight="1" x14ac:dyDescent="0.25">
      <c r="B5" s="12"/>
      <c r="C5" s="2" t="str">
        <f>TEXT(WEEKDAY(DATE(КалендарнаГодина,2,1),1),"aaa")</f>
        <v>пет</v>
      </c>
      <c r="D5" s="2" t="str">
        <f>TEXT(WEEKDAY(DATE(КалендарнаГодина,2,2),1),"aaa")</f>
        <v>съб</v>
      </c>
      <c r="E5" s="2" t="str">
        <f>TEXT(WEEKDAY(DATE(КалендарнаГодина,2,3),1),"aaa")</f>
        <v>нед</v>
      </c>
      <c r="F5" s="2" t="str">
        <f>TEXT(WEEKDAY(DATE(КалендарнаГодина,2,4),1),"aaa")</f>
        <v>пон</v>
      </c>
      <c r="G5" s="2" t="str">
        <f>TEXT(WEEKDAY(DATE(КалендарнаГодина,2,5),1),"aaa")</f>
        <v>вт</v>
      </c>
      <c r="H5" s="2" t="str">
        <f>TEXT(WEEKDAY(DATE(КалендарнаГодина,2,6),1),"aaa")</f>
        <v>ср</v>
      </c>
      <c r="I5" s="2" t="str">
        <f>TEXT(WEEKDAY(DATE(КалендарнаГодина,2,7),1),"aaa")</f>
        <v>четв</v>
      </c>
      <c r="J5" s="2" t="str">
        <f>TEXT(WEEKDAY(DATE(КалендарнаГодина,2,8),1),"aaa")</f>
        <v>пет</v>
      </c>
      <c r="K5" s="2" t="str">
        <f>TEXT(WEEKDAY(DATE(КалендарнаГодина,2,9),1),"aaa")</f>
        <v>съб</v>
      </c>
      <c r="L5" s="2" t="str">
        <f>TEXT(WEEKDAY(DATE(КалендарнаГодина,2,10),1),"aaa")</f>
        <v>нед</v>
      </c>
      <c r="M5" s="2" t="str">
        <f>TEXT(WEEKDAY(DATE(КалендарнаГодина,2,11),1),"aaa")</f>
        <v>пон</v>
      </c>
      <c r="N5" s="2" t="str">
        <f>TEXT(WEEKDAY(DATE(КалендарнаГодина,2,12),1),"aaa")</f>
        <v>вт</v>
      </c>
      <c r="O5" s="2" t="str">
        <f>TEXT(WEEKDAY(DATE(КалендарнаГодина,2,13),1),"aaa")</f>
        <v>ср</v>
      </c>
      <c r="P5" s="2" t="str">
        <f>TEXT(WEEKDAY(DATE(КалендарнаГодина,2,14),1),"aaa")</f>
        <v>четв</v>
      </c>
      <c r="Q5" s="2" t="str">
        <f>TEXT(WEEKDAY(DATE(КалендарнаГодина,2,15),1),"aaa")</f>
        <v>пет</v>
      </c>
      <c r="R5" s="2" t="str">
        <f>TEXT(WEEKDAY(DATE(КалендарнаГодина,2,16),1),"aaa")</f>
        <v>съб</v>
      </c>
      <c r="S5" s="2" t="str">
        <f>TEXT(WEEKDAY(DATE(КалендарнаГодина,2,17),1),"aaa")</f>
        <v>нед</v>
      </c>
      <c r="T5" s="2" t="str">
        <f>TEXT(WEEKDAY(DATE(КалендарнаГодина,2,18),1),"aaa")</f>
        <v>пон</v>
      </c>
      <c r="U5" s="2" t="str">
        <f>TEXT(WEEKDAY(DATE(КалендарнаГодина,2,19),1),"aaa")</f>
        <v>вт</v>
      </c>
      <c r="V5" s="2" t="str">
        <f>TEXT(WEEKDAY(DATE(КалендарнаГодина,2,20),1),"aaa")</f>
        <v>ср</v>
      </c>
      <c r="W5" s="2" t="str">
        <f>TEXT(WEEKDAY(DATE(КалендарнаГодина,2,21),1),"aaa")</f>
        <v>четв</v>
      </c>
      <c r="X5" s="2" t="str">
        <f>TEXT(WEEKDAY(DATE(КалендарнаГодина,2,22),1),"aaa")</f>
        <v>пет</v>
      </c>
      <c r="Y5" s="2" t="str">
        <f>TEXT(WEEKDAY(DATE(КалендарнаГодина,2,23),1),"aaa")</f>
        <v>съб</v>
      </c>
      <c r="Z5" s="2" t="str">
        <f>TEXT(WEEKDAY(DATE(КалендарнаГодина,2,24),1),"aaa")</f>
        <v>нед</v>
      </c>
      <c r="AA5" s="2" t="str">
        <f>TEXT(WEEKDAY(DATE(КалендарнаГодина,2,25),1),"aaa")</f>
        <v>пон</v>
      </c>
      <c r="AB5" s="2" t="str">
        <f>TEXT(WEEKDAY(DATE(КалендарнаГодина,2,26),1),"aaa")</f>
        <v>вт</v>
      </c>
      <c r="AC5" s="2" t="str">
        <f>TEXT(WEEKDAY(DATE(КалендарнаГодина,2,27),1),"aaa")</f>
        <v>ср</v>
      </c>
      <c r="AD5" s="2" t="str">
        <f>TEXT(WEEKDAY(DATE(КалендарнаГодина,2,28),1),"aaa")</f>
        <v>четв</v>
      </c>
      <c r="AE5" s="2" t="str">
        <f>TEXT(WEEKDAY(DATE(КалендарнаГодина,2,29),1),"aaa")</f>
        <v>пет</v>
      </c>
      <c r="AF5" s="2"/>
      <c r="AG5" s="2"/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52</v>
      </c>
      <c r="AG6" s="3" t="s">
        <v>53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 t="s">
        <v>9</v>
      </c>
      <c r="F7" s="3" t="s">
        <v>9</v>
      </c>
      <c r="G7" s="3" t="s">
        <v>9</v>
      </c>
      <c r="H7" s="3" t="s">
        <v>9</v>
      </c>
      <c r="I7" s="3"/>
      <c r="J7" s="3"/>
      <c r="K7" s="3"/>
      <c r="L7" s="3"/>
      <c r="M7" s="3"/>
      <c r="N7" s="3"/>
      <c r="O7" s="3" t="s">
        <v>9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COUNTA(Февруари[[#This Row],[1]:[29]])</f>
        <v>5</v>
      </c>
    </row>
    <row r="8" spans="2:34" ht="30" customHeight="1" x14ac:dyDescent="0.25">
      <c r="B8" s="17" t="s">
        <v>5</v>
      </c>
      <c r="C8" s="3"/>
      <c r="D8" s="3"/>
      <c r="E8" s="3"/>
      <c r="F8" s="3"/>
      <c r="G8" s="3" t="s">
        <v>17</v>
      </c>
      <c r="H8" s="3" t="s">
        <v>17</v>
      </c>
      <c r="I8" s="3"/>
      <c r="J8" s="3"/>
      <c r="K8" s="3"/>
      <c r="L8" s="3"/>
      <c r="M8" s="3" t="s">
        <v>15</v>
      </c>
      <c r="N8" s="3"/>
      <c r="O8" s="3"/>
      <c r="P8" s="3"/>
      <c r="Q8" s="3"/>
      <c r="R8" s="3"/>
      <c r="S8" s="3"/>
      <c r="T8" s="3"/>
      <c r="U8" s="3"/>
      <c r="V8" s="3" t="s">
        <v>17</v>
      </c>
      <c r="W8" s="3"/>
      <c r="X8" s="3"/>
      <c r="Y8" s="3"/>
      <c r="Z8" s="3"/>
      <c r="AA8" s="3" t="s">
        <v>9</v>
      </c>
      <c r="AB8" s="3" t="s">
        <v>9</v>
      </c>
      <c r="AC8" s="3" t="s">
        <v>9</v>
      </c>
      <c r="AD8" s="3"/>
      <c r="AE8" s="3"/>
      <c r="AF8" s="3"/>
      <c r="AG8" s="3"/>
      <c r="AH8" s="10">
        <f>COUNTA(Февруари[[#This Row],[1]:[29]])</f>
        <v>7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COUNTA(Февруари[[#This Row],[1]:[29]])</f>
        <v>0</v>
      </c>
    </row>
    <row r="10" spans="2:34" ht="30" customHeight="1" x14ac:dyDescent="0.25">
      <c r="B10" s="17" t="s">
        <v>7</v>
      </c>
      <c r="C10" s="3"/>
      <c r="D10" s="3"/>
      <c r="E10" s="3" t="s">
        <v>17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 t="s">
        <v>17</v>
      </c>
      <c r="Q10" s="3"/>
      <c r="R10" s="3"/>
      <c r="S10" s="3"/>
      <c r="T10" s="3" t="s">
        <v>15</v>
      </c>
      <c r="U10" s="3"/>
      <c r="V10" s="3"/>
      <c r="W10" s="3"/>
      <c r="X10" s="3"/>
      <c r="Y10" s="3"/>
      <c r="Z10" s="3"/>
      <c r="AA10" s="3"/>
      <c r="AB10" s="3"/>
      <c r="AC10" s="3"/>
      <c r="AD10" s="3" t="s">
        <v>17</v>
      </c>
      <c r="AE10" s="3"/>
      <c r="AF10" s="3"/>
      <c r="AG10" s="3"/>
      <c r="AH10" s="10">
        <f>COUNTA(Февруари[[#This Row],[1]:[29]])</f>
        <v>4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 t="s">
        <v>9</v>
      </c>
      <c r="K11" s="3" t="s">
        <v>9</v>
      </c>
      <c r="L11" s="3" t="s">
        <v>9</v>
      </c>
      <c r="M11" s="3" t="s">
        <v>9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17</v>
      </c>
      <c r="AA11" s="3"/>
      <c r="AB11" s="3"/>
      <c r="AC11" s="3"/>
      <c r="AD11" s="3"/>
      <c r="AE11" s="3"/>
      <c r="AF11" s="3"/>
      <c r="AG11" s="3"/>
      <c r="AH11" s="10">
        <f>COUNTA(Февруари[[#This Row],[1]:[29]])</f>
        <v>5</v>
      </c>
    </row>
    <row r="12" spans="2:34" ht="30" customHeight="1" x14ac:dyDescent="0.25">
      <c r="B12" s="21" t="str">
        <f>ИмеМесец&amp;" Общо"</f>
        <v>Февруари Общо</v>
      </c>
      <c r="C12" s="13">
        <f>SUBTOTAL(103,Февруари[1])</f>
        <v>0</v>
      </c>
      <c r="D12" s="13">
        <f>SUBTOTAL(103,Февруари[2])</f>
        <v>0</v>
      </c>
      <c r="E12" s="13">
        <f>SUBTOTAL(103,Февруари[3])</f>
        <v>2</v>
      </c>
      <c r="F12" s="13">
        <f>SUBTOTAL(103,Февруари[4])</f>
        <v>1</v>
      </c>
      <c r="G12" s="13">
        <f>SUBTOTAL(103,Февруари[5])</f>
        <v>2</v>
      </c>
      <c r="H12" s="13">
        <f>SUBTOTAL(103,Февруари[6])</f>
        <v>2</v>
      </c>
      <c r="I12" s="13">
        <f>SUBTOTAL(103,Февруари[7])</f>
        <v>0</v>
      </c>
      <c r="J12" s="13">
        <f>SUBTOTAL(103,Февруари[8])</f>
        <v>1</v>
      </c>
      <c r="K12" s="13">
        <f>SUBTOTAL(103,Февруари[9])</f>
        <v>1</v>
      </c>
      <c r="L12" s="13">
        <f>SUBTOTAL(103,Февруари[10])</f>
        <v>1</v>
      </c>
      <c r="M12" s="13">
        <f>SUBTOTAL(103,Февруари[11])</f>
        <v>2</v>
      </c>
      <c r="N12" s="13">
        <f>SUBTOTAL(103,Февруари[12])</f>
        <v>0</v>
      </c>
      <c r="O12" s="13">
        <f>SUBTOTAL(103,Февруари[13])</f>
        <v>1</v>
      </c>
      <c r="P12" s="13">
        <f>SUBTOTAL(103,Февруари[14])</f>
        <v>1</v>
      </c>
      <c r="Q12" s="13">
        <f>SUBTOTAL(103,Февруари[15])</f>
        <v>0</v>
      </c>
      <c r="R12" s="13">
        <f>SUBTOTAL(103,Февруари[16])</f>
        <v>0</v>
      </c>
      <c r="S12" s="13">
        <f>SUBTOTAL(103,Февруари[17])</f>
        <v>0</v>
      </c>
      <c r="T12" s="13">
        <f>SUBTOTAL(103,Февруари[18])</f>
        <v>1</v>
      </c>
      <c r="U12" s="13">
        <f>SUBTOTAL(103,Февруари[19])</f>
        <v>0</v>
      </c>
      <c r="V12" s="13">
        <f>SUBTOTAL(103,Февруари[20])</f>
        <v>1</v>
      </c>
      <c r="W12" s="13">
        <f>SUBTOTAL(103,Февруари[21])</f>
        <v>0</v>
      </c>
      <c r="X12" s="13">
        <f>SUBTOTAL(103,Февруари[22])</f>
        <v>0</v>
      </c>
      <c r="Y12" s="13">
        <f>SUBTOTAL(103,Февруари[23])</f>
        <v>0</v>
      </c>
      <c r="Z12" s="13">
        <f>SUBTOTAL(103,Февруари[24])</f>
        <v>1</v>
      </c>
      <c r="AA12" s="13">
        <f>SUBTOTAL(103,Февруари[25])</f>
        <v>1</v>
      </c>
      <c r="AB12" s="13">
        <f>SUBTOTAL(103,Февруари[26])</f>
        <v>1</v>
      </c>
      <c r="AC12" s="13">
        <f>SUBTOTAL(103,Февруари[27])</f>
        <v>1</v>
      </c>
      <c r="AD12" s="13">
        <f>SUBTOTAL(103,Февруари[28])</f>
        <v>1</v>
      </c>
      <c r="AE12" s="13">
        <f>SUBTOTAL(103,Февруари[29])</f>
        <v>0</v>
      </c>
      <c r="AF12" s="13"/>
      <c r="AG12" s="13"/>
      <c r="AH12" s="13">
        <f>SUBTOTAL(109,Февруари[Общо дни])</f>
        <v>21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AE6">
    <cfRule type="expression" dxfId="56" priority="16">
      <formula>MONTH(DATE(КалендарнаГодина,2,29))&lt;&gt;2</formula>
    </cfRule>
  </conditionalFormatting>
  <conditionalFormatting sqref="AE5">
    <cfRule type="expression" dxfId="55" priority="15">
      <formula>MONTH(DATE(КалендарнаГодина,2,29))&lt;&gt;2</formula>
    </cfRule>
  </conditionalFormatting>
  <conditionalFormatting sqref="C7:AG11">
    <cfRule type="expression" priority="2" stopIfTrue="1">
      <formula>C7=""</formula>
    </cfRule>
    <cfRule type="expression" dxfId="54" priority="3" stopIfTrue="1">
      <formula>C7=КлючПоИзбор2</formula>
    </cfRule>
  </conditionalFormatting>
  <conditionalFormatting sqref="C7:AG11">
    <cfRule type="expression" dxfId="53" priority="5" stopIfTrue="1">
      <formula>C7=КлючПоИзбор1</formula>
    </cfRule>
    <cfRule type="expression" dxfId="52" priority="6" stopIfTrue="1">
      <formula>C7=КлючБолест</formula>
    </cfRule>
    <cfRule type="expression" dxfId="51" priority="7" stopIfTrue="1">
      <formula>C7=КлючЛични</formula>
    </cfRule>
    <cfRule type="expression" dxfId="50" priority="8" stopIfTrue="1">
      <formula>C7=КлючОтпуск</formula>
    </cfRule>
  </conditionalFormatting>
  <conditionalFormatting sqref="AH7:AH11">
    <cfRule type="dataBar" priority="153">
      <dataBar>
        <cfvo type="min"/>
        <cfvo type="formula" val="DATEDIF(DATE(КалендарнаГодина,2,1),DATE(КалендарнаГодина,3,1),&quot;d&quot;)"/>
        <color theme="2" tint="-0.249977111117893"/>
      </dataBar>
      <extLst>
        <ext xmlns:x14="http://schemas.microsoft.com/office/spreadsheetml/2009/9/main" uri="{B025F937-C7B1-47D3-B67F-A62EFF666E3E}">
          <x14:id>{94738C71-AB78-40C3-A818-D083AE35CC38}</x14:id>
        </ext>
      </extLst>
    </cfRule>
  </conditionalFormatting>
  <dataValidations xWindow="232" yWindow="365" count="14">
    <dataValidation allowBlank="1" showInputMessage="1" showErrorMessage="1" prompt="Автоматично актуализирана година въз основа на годината, въведена в работния лист за януари." sqref="AH4" xr:uid="{00000000-0002-0000-0100-000000000000}"/>
    <dataValidation allowBlank="1" showInputMessage="1" showErrorMessage="1" prompt="Проследявайте отсъствията през февруари в този работен лист" sqref="A1" xr:uid="{00000000-0002-0000-0100-000001000000}"/>
    <dataValidation allowBlank="1" showInputMessage="1" showErrorMessage="1" prompt="В тази колона се изчислява автоматично общият брой дни, в които служителят е отсъствал през този месец" sqref="AH6" xr:uid="{00000000-0002-0000-0100-000002000000}"/>
    <dataValidation allowBlank="1" showInputMessage="1" showErrorMessage="1" prompt="Автоматично актуализираното заглавие е в тази клетка. За да промените заглавието, актуализирайте В1 в работния лист за януари" sqref="B1" xr:uid="{00000000-0002-0000-0100-000003000000}"/>
    <dataValidation allowBlank="1" showInputMessage="1" showErrorMessage="1" prompt="Името на месец за този график за отсъствие е в тази клетка. Общите суми за отсъствия за този месец са в последната клетка на таблицата. Изберете имена на служители в колона в таблица B" sqref="B4" xr:uid="{00000000-0002-0000-0100-000004000000}"/>
    <dataValidation errorStyle="warning" allowBlank="1" showInputMessage="1" showErrorMessage="1" error="Изберете име от списъка. Изберете &quot;ОТКАЗ&quot;, след което натиснете ALT+СТРЕЛКА НАДОЛУ и ENTER, за да изберете име" prompt="Въведете имената на служителите в работния лист &quot;Имена на служителите&quot; и след това изберете едно от тези имена от списъка в тази колона. Натиснете ALT+СТРЕЛКА НАДОЛУ и ENTER, за да изберете име" sqref="B6" xr:uid="{00000000-0002-0000-0100-000005000000}"/>
    <dataValidation allowBlank="1" showInputMessage="1" showErrorMessage="1" prompt="Този ред определя ключовете, използвани в таблицата: клетка C2 е &quot;Годишен отпуск&quot;, G2 е &quot;Лични причини&quot;, а K2 е &quot;Отпуск по болест&quot;. Клетки N2 и R2 могат да се персонализират" sqref="B2" xr:uid="{00000000-0002-0000-0100-000006000000}"/>
    <dataValidation allowBlank="1" showInputMessage="1" showErrorMessage="1" prompt="Въведете етикет, за да опишете ключа по избор вляво" sqref="O2:Q2 S2:U2" xr:uid="{00000000-0002-0000-0100-000007000000}"/>
    <dataValidation allowBlank="1" showInputMessage="1" showErrorMessage="1" prompt="Въведете буква и персонализирайте етикета вдясно, за да добавите друг ключ" sqref="N2 R2" xr:uid="{00000000-0002-0000-0100-000008000000}"/>
    <dataValidation allowBlank="1" showInputMessage="1" showErrorMessage="1" prompt="Буквата &quot;Б&quot; обозначава отсъствие поради болест" sqref="K2" xr:uid="{00000000-0002-0000-0100-000009000000}"/>
    <dataValidation allowBlank="1" showInputMessage="1" showErrorMessage="1" prompt="Буквата &quot;Л&quot; обозначава отсъствие поради лични причини" sqref="G2" xr:uid="{00000000-0002-0000-0100-00000A000000}"/>
    <dataValidation allowBlank="1" showInputMessage="1" showErrorMessage="1" prompt="Буквата &quot;О&quot; обозначава отсъствие поради годишен отпуск" sqref="C2" xr:uid="{00000000-0002-0000-0100-00000B000000}"/>
    <dataValidation allowBlank="1" showInputMessage="1" showErrorMessage="1" prompt="Дните от седмицата в този ред се актуализират автоматично за месеца в зависимост от годината в AH4. Всеки ден от месеца е колона, която отбелязва отсъствие и тип на отсъствие на служителя" sqref="C5" xr:uid="{00000000-0002-0000-0100-00000C000000}"/>
    <dataValidation allowBlank="1" showInputMessage="1" showErrorMessage="1" prompt="Дните от месеца в този ред се генерират автоматично. Въведете отсъствията на служителя и типа отсъствие във всяка колона за всеки ден от месеца. Празно означава без отсъствия" sqref="C6" xr:uid="{00000000-0002-0000-01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738C71-AB78-40C3-A818-D083AE35CC38}">
            <x14:dataBar minLength="0" maxLength="100">
              <x14:cfvo type="autoMin"/>
              <x14:cfvo type="formula">
                <xm:f>DATEDIF(DATE(КалендарнаГодина,2,1),DATE(КалендарнаГодина,3,1),"d")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232" yWindow="365" count="1">
        <x14:dataValidation type="list" allowBlank="1" showInputMessage="1" showErrorMessage="1" xr:uid="{00000000-0002-0000-0100-00000E000000}">
          <x14:formula1>
            <xm:f>'Имена на служителите'!$B$4:$B$8</xm:f>
          </x14:formula1>
          <xm:sqref>B7:B11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8" style="11" customWidth="1"/>
    <col min="35" max="35" width="2.7109375" customWidth="1"/>
  </cols>
  <sheetData>
    <row r="1" spans="2:34" ht="50.1" customHeight="1" x14ac:dyDescent="0.25">
      <c r="B1" s="14" t="str">
        <f>Заглавие_отсъствия_служители</f>
        <v>График на отсъствията на служителите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6" t="s">
        <v>17</v>
      </c>
      <c r="L2" s="25" t="s">
        <v>24</v>
      </c>
      <c r="M2" s="25"/>
      <c r="N2" s="7"/>
      <c r="O2" s="25" t="s">
        <v>28</v>
      </c>
      <c r="P2" s="25"/>
      <c r="Q2" s="25"/>
      <c r="R2" s="8"/>
      <c r="S2" s="25" t="s">
        <v>33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54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КалендарнаГодина</f>
        <v>2019</v>
      </c>
    </row>
    <row r="5" spans="2:34" ht="15" customHeight="1" x14ac:dyDescent="0.25">
      <c r="B5" s="12"/>
      <c r="C5" s="2" t="str">
        <f>TEXT(WEEKDAY(DATE(КалендарнаГодина,3,1),1),"aaa")</f>
        <v>пет</v>
      </c>
      <c r="D5" s="2" t="str">
        <f>TEXT(WEEKDAY(DATE(КалендарнаГодина,3,2),1),"aaa")</f>
        <v>съб</v>
      </c>
      <c r="E5" s="2" t="str">
        <f>TEXT(WEEKDAY(DATE(КалендарнаГодина,3,3),1),"aaa")</f>
        <v>нед</v>
      </c>
      <c r="F5" s="2" t="str">
        <f>TEXT(WEEKDAY(DATE(КалендарнаГодина,3,4),1),"aaa")</f>
        <v>пон</v>
      </c>
      <c r="G5" s="2" t="str">
        <f>TEXT(WEEKDAY(DATE(КалендарнаГодина,3,5),1),"aaa")</f>
        <v>вт</v>
      </c>
      <c r="H5" s="2" t="str">
        <f>TEXT(WEEKDAY(DATE(КалендарнаГодина,3,6),1),"aaa")</f>
        <v>ср</v>
      </c>
      <c r="I5" s="2" t="str">
        <f>TEXT(WEEKDAY(DATE(КалендарнаГодина,3,7),1),"aaa")</f>
        <v>четв</v>
      </c>
      <c r="J5" s="2" t="str">
        <f>TEXT(WEEKDAY(DATE(КалендарнаГодина,3,8),1),"aaa")</f>
        <v>пет</v>
      </c>
      <c r="K5" s="2" t="str">
        <f>TEXT(WEEKDAY(DATE(КалендарнаГодина,3,9),1),"aaa")</f>
        <v>съб</v>
      </c>
      <c r="L5" s="2" t="str">
        <f>TEXT(WEEKDAY(DATE(КалендарнаГодина,3,10),1),"aaa")</f>
        <v>нед</v>
      </c>
      <c r="M5" s="2" t="str">
        <f>TEXT(WEEKDAY(DATE(КалендарнаГодина,3,11),1),"aaa")</f>
        <v>пон</v>
      </c>
      <c r="N5" s="2" t="str">
        <f>TEXT(WEEKDAY(DATE(КалендарнаГодина,3,12),1),"aaa")</f>
        <v>вт</v>
      </c>
      <c r="O5" s="2" t="str">
        <f>TEXT(WEEKDAY(DATE(КалендарнаГодина,3,13),1),"aaa")</f>
        <v>ср</v>
      </c>
      <c r="P5" s="2" t="str">
        <f>TEXT(WEEKDAY(DATE(КалендарнаГодина,3,14),1),"aaa")</f>
        <v>четв</v>
      </c>
      <c r="Q5" s="2" t="str">
        <f>TEXT(WEEKDAY(DATE(КалендарнаГодина,3,15),1),"aaa")</f>
        <v>пет</v>
      </c>
      <c r="R5" s="2" t="str">
        <f>TEXT(WEEKDAY(DATE(КалендарнаГодина,3,16),1),"aaa")</f>
        <v>съб</v>
      </c>
      <c r="S5" s="2" t="str">
        <f>TEXT(WEEKDAY(DATE(КалендарнаГодина,3,17),1),"aaa")</f>
        <v>нед</v>
      </c>
      <c r="T5" s="2" t="str">
        <f>TEXT(WEEKDAY(DATE(КалендарнаГодина,3,18),1),"aaa")</f>
        <v>пон</v>
      </c>
      <c r="U5" s="2" t="str">
        <f>TEXT(WEEKDAY(DATE(КалендарнаГодина,3,19),1),"aaa")</f>
        <v>вт</v>
      </c>
      <c r="V5" s="2" t="str">
        <f>TEXT(WEEKDAY(DATE(КалендарнаГодина,3,20),1),"aaa")</f>
        <v>ср</v>
      </c>
      <c r="W5" s="2" t="str">
        <f>TEXT(WEEKDAY(DATE(КалендарнаГодина,3,21),1),"aaa")</f>
        <v>четв</v>
      </c>
      <c r="X5" s="2" t="str">
        <f>TEXT(WEEKDAY(DATE(КалендарнаГодина,3,22),1),"aaa")</f>
        <v>пет</v>
      </c>
      <c r="Y5" s="2" t="str">
        <f>TEXT(WEEKDAY(DATE(КалендарнаГодина,3,23),1),"aaa")</f>
        <v>съб</v>
      </c>
      <c r="Z5" s="2" t="str">
        <f>TEXT(WEEKDAY(DATE(КалендарнаГодина,3,24),1),"aaa")</f>
        <v>нед</v>
      </c>
      <c r="AA5" s="2" t="str">
        <f>TEXT(WEEKDAY(DATE(КалендарнаГодина,3,25),1),"aaa")</f>
        <v>пон</v>
      </c>
      <c r="AB5" s="2" t="str">
        <f>TEXT(WEEKDAY(DATE(КалендарнаГодина,3,26),1),"aaa")</f>
        <v>вт</v>
      </c>
      <c r="AC5" s="2" t="str">
        <f>TEXT(WEEKDAY(DATE(КалендарнаГодина,3,27),1),"aaa")</f>
        <v>ср</v>
      </c>
      <c r="AD5" s="2" t="str">
        <f>TEXT(WEEKDAY(DATE(КалендарнаГодина,3,28),1),"aaa")</f>
        <v>четв</v>
      </c>
      <c r="AE5" s="2" t="str">
        <f>TEXT(WEEKDAY(DATE(КалендарнаГодина,3,29),1),"aaa")</f>
        <v>пет</v>
      </c>
      <c r="AF5" s="2" t="str">
        <f>TEXT(WEEKDAY(DATE(КалендарнаГодина,3,30),1),"aaa")</f>
        <v>съб</v>
      </c>
      <c r="AG5" s="2" t="str">
        <f>TEXT(WEEKDAY(DATE(КалендарнаГодина,3,31),1),"aaa")</f>
        <v>нед</v>
      </c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48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COUNTA(Март[[#This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COUNTA(Март[[#This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COUNTA(Март[[#This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COUNTA(Март[[#This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COUNTA(Март[[#This Row],[1]:[31]])</f>
        <v>0</v>
      </c>
    </row>
    <row r="12" spans="2:34" ht="30" customHeight="1" x14ac:dyDescent="0.25">
      <c r="B12" s="21" t="str">
        <f>ИмеМесец&amp;" Общо"</f>
        <v>Март Общо</v>
      </c>
      <c r="C12" s="13">
        <f>SUBTOTAL(103,Март[1])</f>
        <v>0</v>
      </c>
      <c r="D12" s="13">
        <f>SUBTOTAL(103,Март[2])</f>
        <v>0</v>
      </c>
      <c r="E12" s="13">
        <f>SUBTOTAL(103,Март[3])</f>
        <v>0</v>
      </c>
      <c r="F12" s="13">
        <f>SUBTOTAL(103,Март[4])</f>
        <v>0</v>
      </c>
      <c r="G12" s="13">
        <f>SUBTOTAL(103,Март[5])</f>
        <v>0</v>
      </c>
      <c r="H12" s="13">
        <f>SUBTOTAL(103,Март[6])</f>
        <v>0</v>
      </c>
      <c r="I12" s="13">
        <f>SUBTOTAL(103,Март[7])</f>
        <v>0</v>
      </c>
      <c r="J12" s="13">
        <f>SUBTOTAL(103,Март[8])</f>
        <v>0</v>
      </c>
      <c r="K12" s="13">
        <f>SUBTOTAL(103,Март[9])</f>
        <v>0</v>
      </c>
      <c r="L12" s="13">
        <f>SUBTOTAL(103,Март[10])</f>
        <v>0</v>
      </c>
      <c r="M12" s="13">
        <f>SUBTOTAL(103,Март[11])</f>
        <v>0</v>
      </c>
      <c r="N12" s="13">
        <f>SUBTOTAL(103,Март[12])</f>
        <v>0</v>
      </c>
      <c r="O12" s="13">
        <f>SUBTOTAL(103,Март[13])</f>
        <v>0</v>
      </c>
      <c r="P12" s="13">
        <f>SUBTOTAL(103,Март[14])</f>
        <v>0</v>
      </c>
      <c r="Q12" s="13">
        <f>SUBTOTAL(103,Март[15])</f>
        <v>0</v>
      </c>
      <c r="R12" s="13">
        <f>SUBTOTAL(103,Март[16])</f>
        <v>0</v>
      </c>
      <c r="S12" s="13">
        <f>SUBTOTAL(103,Март[17])</f>
        <v>0</v>
      </c>
      <c r="T12" s="13">
        <f>SUBTOTAL(103,Март[18])</f>
        <v>0</v>
      </c>
      <c r="U12" s="13">
        <f>SUBTOTAL(103,Март[19])</f>
        <v>0</v>
      </c>
      <c r="V12" s="13">
        <f>SUBTOTAL(103,Март[20])</f>
        <v>0</v>
      </c>
      <c r="W12" s="13">
        <f>SUBTOTAL(103,Март[21])</f>
        <v>0</v>
      </c>
      <c r="X12" s="13">
        <f>SUBTOTAL(103,Март[22])</f>
        <v>0</v>
      </c>
      <c r="Y12" s="13">
        <f>SUBTOTAL(103,Март[23])</f>
        <v>0</v>
      </c>
      <c r="Z12" s="13">
        <f>SUBTOTAL(103,Март[24])</f>
        <v>0</v>
      </c>
      <c r="AA12" s="13">
        <f>SUBTOTAL(103,Март[25])</f>
        <v>0</v>
      </c>
      <c r="AB12" s="13">
        <f>SUBTOTAL(103,Март[26])</f>
        <v>0</v>
      </c>
      <c r="AC12" s="13">
        <f>SUBTOTAL(103,Март[27])</f>
        <v>0</v>
      </c>
      <c r="AD12" s="13">
        <f>SUBTOTAL(103,Март[28])</f>
        <v>0</v>
      </c>
      <c r="AE12" s="13">
        <f>SUBTOTAL(103,Март[29])</f>
        <v>0</v>
      </c>
      <c r="AF12" s="13">
        <f>SUBTOTAL(103,Март[30])</f>
        <v>0</v>
      </c>
      <c r="AG12" s="13">
        <f>SUBTOTAL(103,Март[31])</f>
        <v>0</v>
      </c>
      <c r="AH12" s="13">
        <f>SUBTOTAL(109,Март[Общо дни])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49" priority="2" stopIfTrue="1">
      <formula>C7=КлючПоИзбор2</formula>
    </cfRule>
    <cfRule type="expression" dxfId="48" priority="3" stopIfTrue="1">
      <formula>C7=КлючПоИзбор1</formula>
    </cfRule>
    <cfRule type="expression" dxfId="47" priority="4" stopIfTrue="1">
      <formula>C7=КлючБолест</formula>
    </cfRule>
    <cfRule type="expression" dxfId="46" priority="5" stopIfTrue="1">
      <formula>C7=КлючЛични</formula>
    </cfRule>
    <cfRule type="expression" dxfId="45" priority="6" stopIfTrue="1">
      <formula>C7=КлючОтпуск</formula>
    </cfRule>
  </conditionalFormatting>
  <conditionalFormatting sqref="AH7:AH11">
    <cfRule type="dataBar" priority="7">
      <dataBar>
        <cfvo type="min"/>
        <cfvo type="formula" val="DATEDIF(DATE(КалендарнаГодина,2,1),DATE(КалендарнаГодина,3,1),&quot;d&quot;)"/>
        <color theme="2" tint="-0.249977111117893"/>
      </dataBar>
      <extLst>
        <ext xmlns:x14="http://schemas.microsoft.com/office/spreadsheetml/2009/9/main" uri="{B025F937-C7B1-47D3-B67F-A62EFF666E3E}">
          <x14:id>{7C2B6C3E-666E-4369-8C57-FD32A7D03A3C}</x14:id>
        </ext>
      </extLst>
    </cfRule>
  </conditionalFormatting>
  <dataValidations count="14">
    <dataValidation allowBlank="1" showInputMessage="1" showErrorMessage="1" prompt="Дните от месеца в този ред се генерират автоматично. Въведете отсъствията на служителя и типа отсъствие във всяка колона за всеки ден от месеца. Празно означава без отсъствия" sqref="C6" xr:uid="{00000000-0002-0000-0200-000000000000}"/>
    <dataValidation allowBlank="1" showInputMessage="1" showErrorMessage="1" prompt="Дните от седмицата в този ред се актуализират автоматично за месеца в зависимост от годината в AH4. Всеки ден от месеца е колона, която отбелязва отсъствие и тип на отсъствие на служителя" sqref="C5" xr:uid="{00000000-0002-0000-0200-000001000000}"/>
    <dataValidation allowBlank="1" showInputMessage="1" showErrorMessage="1" prompt="Името на месец за този график за отсъствие е в тази клетка. Общите суми за отсъствия за този месец са в последната клетка на таблицата. Изберете имена на служители в колона в таблица B" sqref="B4" xr:uid="{00000000-0002-0000-0200-000002000000}"/>
    <dataValidation allowBlank="1" showInputMessage="1" showErrorMessage="1" prompt="Този ред определя ключовете, използвани в таблицата: клетка C2 е &quot;Годишен отпуск&quot;, G2 е &quot;Лични причини&quot;, а K2 е &quot;Отпуск по болест&quot;. Клетки N2 и R2 могат да се персонализират" sqref="B2" xr:uid="{00000000-0002-0000-0200-000003000000}"/>
    <dataValidation allowBlank="1" showInputMessage="1" showErrorMessage="1" prompt="Въведете етикет, за да опишете ключа по избор вляво" sqref="O2:Q2 S2:U2" xr:uid="{00000000-0002-0000-0200-000004000000}"/>
    <dataValidation allowBlank="1" showInputMessage="1" showErrorMessage="1" prompt="Въведете буква и персонализирайте етикета вдясно, за да добавите друг ключ" sqref="N2 R2" xr:uid="{00000000-0002-0000-0200-000005000000}"/>
    <dataValidation allowBlank="1" showInputMessage="1" showErrorMessage="1" prompt="Буквата &quot;Б&quot; обозначава отсъствие поради болест" sqref="K2" xr:uid="{00000000-0002-0000-0200-000006000000}"/>
    <dataValidation allowBlank="1" showInputMessage="1" showErrorMessage="1" prompt="Буквата &quot;Л&quot; обозначава отсъствие поради лични причини" sqref="G2" xr:uid="{00000000-0002-0000-0200-000007000000}"/>
    <dataValidation allowBlank="1" showInputMessage="1" showErrorMessage="1" prompt="Буквата &quot;О&quot; обозначава отсъствие поради годишен отпуск" sqref="C2" xr:uid="{00000000-0002-0000-0200-000008000000}"/>
    <dataValidation allowBlank="1" showInputMessage="1" showErrorMessage="1" prompt="Автоматично актуализираното заглавие е в тази клетка. За да промените заглавието, актуализирайте В1 в работния лист за януари" sqref="B1" xr:uid="{00000000-0002-0000-0200-000009000000}"/>
    <dataValidation errorStyle="warning" allowBlank="1" showInputMessage="1" showErrorMessage="1" error="Изберете име от списъка. Изберете &quot;ОТКАЗ&quot;, след което натиснете ALT+СТРЕЛКА НАДОЛУ и ENTER, за да изберете име" prompt="Въведете имената на служителите в работния лист &quot;Имена на служителите&quot; и след това изберете едно от тези имена от списъка в тази колона. Натиснете ALT+СТРЕЛКА НАДОЛУ и ENTER, за да изберете име" sqref="B6" xr:uid="{00000000-0002-0000-0200-00000A000000}"/>
    <dataValidation allowBlank="1" showInputMessage="1" showErrorMessage="1" prompt="Проследявайте отсъствията през март в този работен лист" sqref="A1" xr:uid="{00000000-0002-0000-0200-00000B000000}"/>
    <dataValidation allowBlank="1" showInputMessage="1" showErrorMessage="1" prompt="В тази колона се изчислява автоматично общият брой дни, в които служителят е отсъствал през този месец" sqref="AH6" xr:uid="{00000000-0002-0000-0200-00000C000000}"/>
    <dataValidation allowBlank="1" showInputMessage="1" showErrorMessage="1" prompt="Автоматично актуализирана година въз основа на годината, въведена в работния лист за януари." sqref="AH4" xr:uid="{00000000-0002-0000-02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2B6C3E-666E-4369-8C57-FD32A7D03A3C}">
            <x14:dataBar minLength="0" maxLength="100">
              <x14:cfvo type="autoMin"/>
              <x14:cfvo type="formula">
                <xm:f>DATEDIF(DATE(КалендарнаГодина,2,1),DATE(КалендарнаГодина,3,1),"d")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E000000}">
          <x14:formula1>
            <xm:f>'Имена на служителите'!$B$4:$B$8</xm:f>
          </x14:formula1>
          <xm:sqref>B7:B11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8" style="11" customWidth="1"/>
    <col min="35" max="35" width="2.7109375" customWidth="1"/>
  </cols>
  <sheetData>
    <row r="1" spans="2:34" ht="50.1" customHeight="1" x14ac:dyDescent="0.25">
      <c r="B1" s="14" t="str">
        <f>Заглавие_отсъствия_служители</f>
        <v>График на отсъствията на служителите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6" t="s">
        <v>17</v>
      </c>
      <c r="L2" s="25" t="s">
        <v>24</v>
      </c>
      <c r="M2" s="25"/>
      <c r="N2" s="7"/>
      <c r="O2" s="25" t="s">
        <v>28</v>
      </c>
      <c r="P2" s="25"/>
      <c r="Q2" s="25"/>
      <c r="R2" s="8"/>
      <c r="S2" s="25" t="s">
        <v>33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55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КалендарнаГодина</f>
        <v>2019</v>
      </c>
    </row>
    <row r="5" spans="2:34" ht="15" customHeight="1" x14ac:dyDescent="0.25">
      <c r="B5" s="12"/>
      <c r="C5" s="2" t="str">
        <f>TEXT(WEEKDAY(DATE(КалендарнаГодина,4,1),1),"aaa")</f>
        <v>пон</v>
      </c>
      <c r="D5" s="2" t="str">
        <f>TEXT(WEEKDAY(DATE(КалендарнаГодина,4,2),1),"aaa")</f>
        <v>вт</v>
      </c>
      <c r="E5" s="2" t="str">
        <f>TEXT(WEEKDAY(DATE(КалендарнаГодина,4,3),1),"aaa")</f>
        <v>ср</v>
      </c>
      <c r="F5" s="2" t="str">
        <f>TEXT(WEEKDAY(DATE(КалендарнаГодина,4,4),1),"aaa")</f>
        <v>четв</v>
      </c>
      <c r="G5" s="2" t="str">
        <f>TEXT(WEEKDAY(DATE(КалендарнаГодина,4,5),1),"aaa")</f>
        <v>пет</v>
      </c>
      <c r="H5" s="2" t="str">
        <f>TEXT(WEEKDAY(DATE(КалендарнаГодина,4,6),1),"aaa")</f>
        <v>съб</v>
      </c>
      <c r="I5" s="2" t="str">
        <f>TEXT(WEEKDAY(DATE(КалендарнаГодина,4,7),1),"aaa")</f>
        <v>нед</v>
      </c>
      <c r="J5" s="2" t="str">
        <f>TEXT(WEEKDAY(DATE(КалендарнаГодина,4,8),1),"aaa")</f>
        <v>пон</v>
      </c>
      <c r="K5" s="2" t="str">
        <f>TEXT(WEEKDAY(DATE(КалендарнаГодина,4,9),1),"aaa")</f>
        <v>вт</v>
      </c>
      <c r="L5" s="2" t="str">
        <f>TEXT(WEEKDAY(DATE(КалендарнаГодина,4,10),1),"aaa")</f>
        <v>ср</v>
      </c>
      <c r="M5" s="2" t="str">
        <f>TEXT(WEEKDAY(DATE(КалендарнаГодина,4,11),1),"aaa")</f>
        <v>четв</v>
      </c>
      <c r="N5" s="2" t="str">
        <f>TEXT(WEEKDAY(DATE(КалендарнаГодина,4,12),1),"aaa")</f>
        <v>пет</v>
      </c>
      <c r="O5" s="2" t="str">
        <f>TEXT(WEEKDAY(DATE(КалендарнаГодина,4,13),1),"aaa")</f>
        <v>съб</v>
      </c>
      <c r="P5" s="2" t="str">
        <f>TEXT(WEEKDAY(DATE(КалендарнаГодина,4,14),1),"aaa")</f>
        <v>нед</v>
      </c>
      <c r="Q5" s="2" t="str">
        <f>TEXT(WEEKDAY(DATE(КалендарнаГодина,4,15),1),"aaa")</f>
        <v>пон</v>
      </c>
      <c r="R5" s="2" t="str">
        <f>TEXT(WEEKDAY(DATE(КалендарнаГодина,4,16),1),"aaa")</f>
        <v>вт</v>
      </c>
      <c r="S5" s="2" t="str">
        <f>TEXT(WEEKDAY(DATE(КалендарнаГодина,4,17),1),"aaa")</f>
        <v>ср</v>
      </c>
      <c r="T5" s="2" t="str">
        <f>TEXT(WEEKDAY(DATE(КалендарнаГодина,4,18),1),"aaa")</f>
        <v>четв</v>
      </c>
      <c r="U5" s="2" t="str">
        <f>TEXT(WEEKDAY(DATE(КалендарнаГодина,4,19),1),"aaa")</f>
        <v>пет</v>
      </c>
      <c r="V5" s="2" t="str">
        <f>TEXT(WEEKDAY(DATE(КалендарнаГодина,4,20),1),"aaa")</f>
        <v>съб</v>
      </c>
      <c r="W5" s="2" t="str">
        <f>TEXT(WEEKDAY(DATE(КалендарнаГодина,4,21),1),"aaa")</f>
        <v>нед</v>
      </c>
      <c r="X5" s="2" t="str">
        <f>TEXT(WEEKDAY(DATE(КалендарнаГодина,4,22),1),"aaa")</f>
        <v>пон</v>
      </c>
      <c r="Y5" s="2" t="str">
        <f>TEXT(WEEKDAY(DATE(КалендарнаГодина,4,23),1),"aaa")</f>
        <v>вт</v>
      </c>
      <c r="Z5" s="2" t="str">
        <f>TEXT(WEEKDAY(DATE(КалендарнаГодина,4,24),1),"aaa")</f>
        <v>ср</v>
      </c>
      <c r="AA5" s="2" t="str">
        <f>TEXT(WEEKDAY(DATE(КалендарнаГодина,4,25),1),"aaa")</f>
        <v>четв</v>
      </c>
      <c r="AB5" s="2" t="str">
        <f>TEXT(WEEKDAY(DATE(КалендарнаГодина,4,26),1),"aaa")</f>
        <v>пет</v>
      </c>
      <c r="AC5" s="2" t="str">
        <f>TEXT(WEEKDAY(DATE(КалендарнаГодина,4,27),1),"aaa")</f>
        <v>съб</v>
      </c>
      <c r="AD5" s="2" t="str">
        <f>TEXT(WEEKDAY(DATE(КалендарнаГодина,4,28),1),"aaa")</f>
        <v>нед</v>
      </c>
      <c r="AE5" s="2" t="str">
        <f>TEXT(WEEKDAY(DATE(КалендарнаГодина,4,29),1),"aaa")</f>
        <v>пон</v>
      </c>
      <c r="AF5" s="2" t="str">
        <f>TEXT(WEEKDAY(DATE(КалендарнаГодина,4,30),1),"aaa")</f>
        <v>вт</v>
      </c>
      <c r="AG5" s="2"/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23" t="s">
        <v>52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COUNTA(Април[[#This Row],[1]:[30]])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COUNTA(Април[[#This Row],[1]:[30]])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COUNTA(Април[[#This Row],[1]:[30]])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COUNTA(Април[[#This Row],[1]:[30]])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COUNTA(Април[[#This Row],[1]:[30]])</f>
        <v>0</v>
      </c>
    </row>
    <row r="12" spans="2:34" ht="30" customHeight="1" x14ac:dyDescent="0.25">
      <c r="B12" s="21" t="str">
        <f>ИмеМесец&amp;" Общо"</f>
        <v>Април Общо</v>
      </c>
      <c r="C12" s="13">
        <f>SUBTOTAL(103,Април[1])</f>
        <v>0</v>
      </c>
      <c r="D12" s="13">
        <f>SUBTOTAL(103,Април[2])</f>
        <v>0</v>
      </c>
      <c r="E12" s="13">
        <f>SUBTOTAL(103,Април[3])</f>
        <v>0</v>
      </c>
      <c r="F12" s="13">
        <f>SUBTOTAL(103,Април[4])</f>
        <v>0</v>
      </c>
      <c r="G12" s="13">
        <f>SUBTOTAL(103,Април[5])</f>
        <v>0</v>
      </c>
      <c r="H12" s="13">
        <f>SUBTOTAL(103,Април[6])</f>
        <v>0</v>
      </c>
      <c r="I12" s="13">
        <f>SUBTOTAL(103,Април[7])</f>
        <v>0</v>
      </c>
      <c r="J12" s="13">
        <f>SUBTOTAL(103,Април[8])</f>
        <v>0</v>
      </c>
      <c r="K12" s="13">
        <f>SUBTOTAL(103,Април[9])</f>
        <v>0</v>
      </c>
      <c r="L12" s="13">
        <f>SUBTOTAL(103,Април[10])</f>
        <v>0</v>
      </c>
      <c r="M12" s="13">
        <f>SUBTOTAL(103,Април[11])</f>
        <v>0</v>
      </c>
      <c r="N12" s="13">
        <f>SUBTOTAL(103,Април[12])</f>
        <v>0</v>
      </c>
      <c r="O12" s="13">
        <f>SUBTOTAL(103,Април[13])</f>
        <v>0</v>
      </c>
      <c r="P12" s="13">
        <f>SUBTOTAL(103,Април[14])</f>
        <v>0</v>
      </c>
      <c r="Q12" s="13">
        <f>SUBTOTAL(103,Април[15])</f>
        <v>0</v>
      </c>
      <c r="R12" s="13">
        <f>SUBTOTAL(103,Април[16])</f>
        <v>0</v>
      </c>
      <c r="S12" s="13">
        <f>SUBTOTAL(103,Април[17])</f>
        <v>0</v>
      </c>
      <c r="T12" s="13">
        <f>SUBTOTAL(103,Април[18])</f>
        <v>0</v>
      </c>
      <c r="U12" s="13">
        <f>SUBTOTAL(103,Април[19])</f>
        <v>0</v>
      </c>
      <c r="V12" s="13">
        <f>SUBTOTAL(103,Април[20])</f>
        <v>0</v>
      </c>
      <c r="W12" s="13">
        <f>SUBTOTAL(103,Април[21])</f>
        <v>0</v>
      </c>
      <c r="X12" s="13">
        <f>SUBTOTAL(103,Април[22])</f>
        <v>0</v>
      </c>
      <c r="Y12" s="13">
        <f>SUBTOTAL(103,Април[23])</f>
        <v>0</v>
      </c>
      <c r="Z12" s="13">
        <f>SUBTOTAL(103,Април[24])</f>
        <v>0</v>
      </c>
      <c r="AA12" s="13">
        <f>SUBTOTAL(103,Април[25])</f>
        <v>0</v>
      </c>
      <c r="AB12" s="13">
        <f>SUBTOTAL(103,Април[26])</f>
        <v>0</v>
      </c>
      <c r="AC12" s="13">
        <f>SUBTOTAL(103,Април[27])</f>
        <v>0</v>
      </c>
      <c r="AD12" s="13">
        <f>SUBTOTAL(103,Април[28])</f>
        <v>0</v>
      </c>
      <c r="AE12" s="13">
        <f>SUBTOTAL(103,Април[29])</f>
        <v>0</v>
      </c>
      <c r="AF12" s="13">
        <f>SUBTOTAL(103,Април[30])</f>
        <v>0</v>
      </c>
      <c r="AG12" s="13">
        <f>SUBTOTAL(103,Април[30])</f>
        <v>0</v>
      </c>
      <c r="AH12" s="13">
        <f>SUBTOTAL(109,Април[Общо дни])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44" priority="2" stopIfTrue="1">
      <formula>C7=КлючПоИзбор2</formula>
    </cfRule>
    <cfRule type="expression" dxfId="43" priority="3" stopIfTrue="1">
      <formula>C7=КлючПоИзбор1</formula>
    </cfRule>
    <cfRule type="expression" dxfId="42" priority="4" stopIfTrue="1">
      <formula>C7=КлючБолест</formula>
    </cfRule>
    <cfRule type="expression" dxfId="41" priority="5" stopIfTrue="1">
      <formula>C7=КлючЛични</formula>
    </cfRule>
    <cfRule type="expression" dxfId="40" priority="6" stopIfTrue="1">
      <formula>C7=КлючОтпуск</formula>
    </cfRule>
  </conditionalFormatting>
  <conditionalFormatting sqref="AH7:AH11">
    <cfRule type="dataBar" priority="7">
      <dataBar>
        <cfvo type="min"/>
        <cfvo type="formula" val="DATEDIF(DATE(КалендарнаГодина,2,1),DATE(КалендарнаГодина,3,1),&quot;d&quot;)"/>
        <color theme="2" tint="-0.249977111117893"/>
      </dataBar>
      <extLst>
        <ext xmlns:x14="http://schemas.microsoft.com/office/spreadsheetml/2009/9/main" uri="{B025F937-C7B1-47D3-B67F-A62EFF666E3E}">
          <x14:id>{0C86709F-D813-4066-A3F1-C30F11214F4B}</x14:id>
        </ext>
      </extLst>
    </cfRule>
  </conditionalFormatting>
  <dataValidations count="14">
    <dataValidation allowBlank="1" showInputMessage="1" showErrorMessage="1" prompt="Автоматично актуализирана година въз основа на годината, въведена в работния лист за януари." sqref="AH4" xr:uid="{00000000-0002-0000-0300-000000000000}"/>
    <dataValidation allowBlank="1" showInputMessage="1" showErrorMessage="1" prompt="В тази колона се изчислява автоматично общият брой дни, в които служителят е отсъствал през този месец" sqref="AH6" xr:uid="{00000000-0002-0000-0300-000001000000}"/>
    <dataValidation allowBlank="1" showInputMessage="1" showErrorMessage="1" prompt="Проследявайте отсъствията през април в този работен лист" sqref="A1" xr:uid="{00000000-0002-0000-0300-000002000000}"/>
    <dataValidation errorStyle="warning" allowBlank="1" showInputMessage="1" showErrorMessage="1" error="Изберете име от списъка. Изберете &quot;ОТКАЗ&quot;, след което натиснете ALT+СТРЕЛКА НАДОЛУ и ENTER, за да изберете име" prompt="Въведете имената на служителите в работния лист &quot;Имена на служителите&quot; и след това изберете едно от тези имена от списъка в тази колона. Натиснете ALT+СТРЕЛКА НАДОЛУ и ENTER, за да изберете име" sqref="B6" xr:uid="{00000000-0002-0000-0300-000003000000}"/>
    <dataValidation allowBlank="1" showInputMessage="1" showErrorMessage="1" prompt="Автоматично актуализираното заглавие е в тази клетка. За да промените заглавието, актуализирайте В1 в работния лист за януари" sqref="B1" xr:uid="{00000000-0002-0000-0300-000004000000}"/>
    <dataValidation allowBlank="1" showInputMessage="1" showErrorMessage="1" prompt="Буквата &quot;О&quot; обозначава отсъствие поради годишен отпуск" sqref="C2" xr:uid="{00000000-0002-0000-0300-000005000000}"/>
    <dataValidation allowBlank="1" showInputMessage="1" showErrorMessage="1" prompt="Буквата &quot;Л&quot; обозначава отсъствие поради лични причини" sqref="G2" xr:uid="{00000000-0002-0000-0300-000006000000}"/>
    <dataValidation allowBlank="1" showInputMessage="1" showErrorMessage="1" prompt="Буквата &quot;Б&quot; обозначава отсъствие поради болест" sqref="K2" xr:uid="{00000000-0002-0000-0300-000007000000}"/>
    <dataValidation allowBlank="1" showInputMessage="1" showErrorMessage="1" prompt="Въведете буква и персонализирайте етикета вдясно, за да добавите друг ключ" sqref="N2 R2" xr:uid="{00000000-0002-0000-0300-000008000000}"/>
    <dataValidation allowBlank="1" showInputMessage="1" showErrorMessage="1" prompt="Въведете етикет, за да опишете ключа по избор вляво" sqref="O2:Q2 S2:U2" xr:uid="{00000000-0002-0000-0300-000009000000}"/>
    <dataValidation allowBlank="1" showInputMessage="1" showErrorMessage="1" prompt="Този ред определя ключовете, използвани в таблицата: клетка C2 е &quot;Годишен отпуск&quot;, G2 е &quot;Лични причини&quot;, а K2 е &quot;Отпуск по болест&quot;. Клетки N2 и R2 могат да се персонализират" sqref="B2" xr:uid="{00000000-0002-0000-0300-00000A000000}"/>
    <dataValidation allowBlank="1" showInputMessage="1" showErrorMessage="1" prompt="Името на месец за този график за отсъствие е в тази клетка. Общите суми за отсъствия за този месец са в последната клетка на таблицата. Изберете имена на служители в колона в таблица B" sqref="B4" xr:uid="{00000000-0002-0000-0300-00000B000000}"/>
    <dataValidation allowBlank="1" showInputMessage="1" showErrorMessage="1" prompt="Дните от месеца в този ред се генерират автоматично. Въведете отсъствията на служителя и типа отсъствие във всяка колона за всеки ден от месеца. Празно означава без отсъствия" sqref="C6" xr:uid="{00000000-0002-0000-0300-00000C000000}"/>
    <dataValidation allowBlank="1" showInputMessage="1" showErrorMessage="1" prompt="Дните от седмицата в този ред се актуализират автоматично за месеца в зависимост от годината в AH4. Всеки ден от месеца е колона, която отбелязва отсъствие и тип на отсъствие на служителя" sqref="C5" xr:uid="{00000000-0002-0000-03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86709F-D813-4066-A3F1-C30F11214F4B}">
            <x14:dataBar minLength="0" maxLength="100">
              <x14:cfvo type="autoMin"/>
              <x14:cfvo type="formula">
                <xm:f>DATEDIF(DATE(КалендарнаГодина,2,1),DATE(КалендарнаГодина,3,1),"d")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E000000}">
          <x14:formula1>
            <xm:f>'Имена на служителите'!$B$4:$B$8</xm:f>
          </x14:formula1>
          <xm:sqref>B7:B11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8" style="11" customWidth="1"/>
    <col min="35" max="35" width="2.7109375" customWidth="1"/>
  </cols>
  <sheetData>
    <row r="1" spans="2:34" ht="50.1" customHeight="1" x14ac:dyDescent="0.25">
      <c r="B1" s="14" t="str">
        <f>Заглавие_отсъствия_служители</f>
        <v>График на отсъствията на служителите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6" t="s">
        <v>17</v>
      </c>
      <c r="L2" s="25" t="s">
        <v>24</v>
      </c>
      <c r="M2" s="25"/>
      <c r="N2" s="7"/>
      <c r="O2" s="25" t="s">
        <v>28</v>
      </c>
      <c r="P2" s="25"/>
      <c r="Q2" s="25"/>
      <c r="R2" s="8"/>
      <c r="S2" s="25" t="s">
        <v>33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56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КалендарнаГодина</f>
        <v>2019</v>
      </c>
    </row>
    <row r="5" spans="2:34" ht="15" customHeight="1" x14ac:dyDescent="0.25">
      <c r="B5" s="12"/>
      <c r="C5" s="2" t="str">
        <f>TEXT(WEEKDAY(DATE(КалендарнаГодина,5,1),1),"aaa")</f>
        <v>ср</v>
      </c>
      <c r="D5" s="2" t="str">
        <f>TEXT(WEEKDAY(DATE(КалендарнаГодина,5,2),1),"aaa")</f>
        <v>четв</v>
      </c>
      <c r="E5" s="2" t="str">
        <f>TEXT(WEEKDAY(DATE(КалендарнаГодина,5,3),1),"aaa")</f>
        <v>пет</v>
      </c>
      <c r="F5" s="2" t="str">
        <f>TEXT(WEEKDAY(DATE(КалендарнаГодина,5,4),1),"aaa")</f>
        <v>съб</v>
      </c>
      <c r="G5" s="2" t="str">
        <f>TEXT(WEEKDAY(DATE(КалендарнаГодина,5,5),1),"aaa")</f>
        <v>нед</v>
      </c>
      <c r="H5" s="2" t="str">
        <f>TEXT(WEEKDAY(DATE(КалендарнаГодина,5,6),1),"aaa")</f>
        <v>пон</v>
      </c>
      <c r="I5" s="2" t="str">
        <f>TEXT(WEEKDAY(DATE(КалендарнаГодина,5,7),1),"aaa")</f>
        <v>вт</v>
      </c>
      <c r="J5" s="2" t="str">
        <f>TEXT(WEEKDAY(DATE(КалендарнаГодина,5,8),1),"aaa")</f>
        <v>ср</v>
      </c>
      <c r="K5" s="2" t="str">
        <f>TEXT(WEEKDAY(DATE(КалендарнаГодина,5,9),1),"aaa")</f>
        <v>четв</v>
      </c>
      <c r="L5" s="2" t="str">
        <f>TEXT(WEEKDAY(DATE(КалендарнаГодина,5,10),1),"aaa")</f>
        <v>пет</v>
      </c>
      <c r="M5" s="2" t="str">
        <f>TEXT(WEEKDAY(DATE(КалендарнаГодина,5,11),1),"aaa")</f>
        <v>съб</v>
      </c>
      <c r="N5" s="2" t="str">
        <f>TEXT(WEEKDAY(DATE(КалендарнаГодина,5,12),1),"aaa")</f>
        <v>нед</v>
      </c>
      <c r="O5" s="2" t="str">
        <f>TEXT(WEEKDAY(DATE(КалендарнаГодина,5,13),1),"aaa")</f>
        <v>пон</v>
      </c>
      <c r="P5" s="2" t="str">
        <f>TEXT(WEEKDAY(DATE(КалендарнаГодина,5,14),1),"aaa")</f>
        <v>вт</v>
      </c>
      <c r="Q5" s="2" t="str">
        <f>TEXT(WEEKDAY(DATE(КалендарнаГодина,5,15),1),"aaa")</f>
        <v>ср</v>
      </c>
      <c r="R5" s="2" t="str">
        <f>TEXT(WEEKDAY(DATE(КалендарнаГодина,5,16),1),"aaa")</f>
        <v>четв</v>
      </c>
      <c r="S5" s="2" t="str">
        <f>TEXT(WEEKDAY(DATE(КалендарнаГодина,5,17),1),"aaa")</f>
        <v>пет</v>
      </c>
      <c r="T5" s="2" t="str">
        <f>TEXT(WEEKDAY(DATE(КалендарнаГодина,5,18),1),"aaa")</f>
        <v>съб</v>
      </c>
      <c r="U5" s="2" t="str">
        <f>TEXT(WEEKDAY(DATE(КалендарнаГодина,5,19),1),"aaa")</f>
        <v>нед</v>
      </c>
      <c r="V5" s="2" t="str">
        <f>TEXT(WEEKDAY(DATE(КалендарнаГодина,5,20),1),"aaa")</f>
        <v>пон</v>
      </c>
      <c r="W5" s="2" t="str">
        <f>TEXT(WEEKDAY(DATE(КалендарнаГодина,5,21),1),"aaa")</f>
        <v>вт</v>
      </c>
      <c r="X5" s="2" t="str">
        <f>TEXT(WEEKDAY(DATE(КалендарнаГодина,5,22),1),"aaa")</f>
        <v>ср</v>
      </c>
      <c r="Y5" s="2" t="str">
        <f>TEXT(WEEKDAY(DATE(КалендарнаГодина,5,23),1),"aaa")</f>
        <v>четв</v>
      </c>
      <c r="Z5" s="2" t="str">
        <f>TEXT(WEEKDAY(DATE(КалендарнаГодина,5,24),1),"aaa")</f>
        <v>пет</v>
      </c>
      <c r="AA5" s="2" t="str">
        <f>TEXT(WEEKDAY(DATE(КалендарнаГодина,5,25),1),"aaa")</f>
        <v>съб</v>
      </c>
      <c r="AB5" s="2" t="str">
        <f>TEXT(WEEKDAY(DATE(КалендарнаГодина,5,26),1),"aaa")</f>
        <v>нед</v>
      </c>
      <c r="AC5" s="2" t="str">
        <f>TEXT(WEEKDAY(DATE(КалендарнаГодина,5,27),1),"aaa")</f>
        <v>пон</v>
      </c>
      <c r="AD5" s="2" t="str">
        <f>TEXT(WEEKDAY(DATE(КалендарнаГодина,5,28),1),"aaa")</f>
        <v>вт</v>
      </c>
      <c r="AE5" s="2" t="str">
        <f>TEXT(WEEKDAY(DATE(КалендарнаГодина,5,29),1),"aaa")</f>
        <v>ср</v>
      </c>
      <c r="AF5" s="2" t="str">
        <f>TEXT(WEEKDAY(DATE(КалендарнаГодина,5,30),1),"aaa")</f>
        <v>четв</v>
      </c>
      <c r="AG5" s="2" t="str">
        <f>TEXT(WEEKDAY(DATE(КалендарнаГодина,5,31),1),"aaa")</f>
        <v>пет</v>
      </c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48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COUNTA(Май[[#This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COUNTA(Май[[#This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COUNTA(Май[[#This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COUNTA(Май[[#This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COUNTA(Май[[#This Row],[1]:[31]])</f>
        <v>0</v>
      </c>
    </row>
    <row r="12" spans="2:34" ht="30" customHeight="1" x14ac:dyDescent="0.25">
      <c r="B12" s="21" t="str">
        <f>ИмеМесец&amp;" Общо"</f>
        <v>Май Общо</v>
      </c>
      <c r="C12" s="13">
        <f>SUBTOTAL(103,Май[1])</f>
        <v>0</v>
      </c>
      <c r="D12" s="13">
        <f>SUBTOTAL(103,Май[2])</f>
        <v>0</v>
      </c>
      <c r="E12" s="13">
        <f>SUBTOTAL(103,Май[3])</f>
        <v>0</v>
      </c>
      <c r="F12" s="13">
        <f>SUBTOTAL(103,Май[4])</f>
        <v>0</v>
      </c>
      <c r="G12" s="13">
        <f>SUBTOTAL(103,Май[5])</f>
        <v>0</v>
      </c>
      <c r="H12" s="13">
        <f>SUBTOTAL(103,Май[6])</f>
        <v>0</v>
      </c>
      <c r="I12" s="13">
        <f>SUBTOTAL(103,Май[7])</f>
        <v>0</v>
      </c>
      <c r="J12" s="13">
        <f>SUBTOTAL(103,Май[8])</f>
        <v>0</v>
      </c>
      <c r="K12" s="13">
        <f>SUBTOTAL(103,Май[9])</f>
        <v>0</v>
      </c>
      <c r="L12" s="13">
        <f>SUBTOTAL(103,Май[10])</f>
        <v>0</v>
      </c>
      <c r="M12" s="13">
        <f>SUBTOTAL(103,Май[11])</f>
        <v>0</v>
      </c>
      <c r="N12" s="13">
        <f>SUBTOTAL(103,Май[12])</f>
        <v>0</v>
      </c>
      <c r="O12" s="13">
        <f>SUBTOTAL(103,Май[13])</f>
        <v>0</v>
      </c>
      <c r="P12" s="13">
        <f>SUBTOTAL(103,Май[14])</f>
        <v>0</v>
      </c>
      <c r="Q12" s="13">
        <f>SUBTOTAL(103,Май[15])</f>
        <v>0</v>
      </c>
      <c r="R12" s="13">
        <f>SUBTOTAL(103,Май[16])</f>
        <v>0</v>
      </c>
      <c r="S12" s="13">
        <f>SUBTOTAL(103,Май[17])</f>
        <v>0</v>
      </c>
      <c r="T12" s="13">
        <f>SUBTOTAL(103,Май[18])</f>
        <v>0</v>
      </c>
      <c r="U12" s="13">
        <f>SUBTOTAL(103,Май[19])</f>
        <v>0</v>
      </c>
      <c r="V12" s="13">
        <f>SUBTOTAL(103,Май[20])</f>
        <v>0</v>
      </c>
      <c r="W12" s="13">
        <f>SUBTOTAL(103,Май[21])</f>
        <v>0</v>
      </c>
      <c r="X12" s="13">
        <f>SUBTOTAL(103,Май[22])</f>
        <v>0</v>
      </c>
      <c r="Y12" s="13">
        <f>SUBTOTAL(103,Май[23])</f>
        <v>0</v>
      </c>
      <c r="Z12" s="13">
        <f>SUBTOTAL(103,Май[24])</f>
        <v>0</v>
      </c>
      <c r="AA12" s="13">
        <f>SUBTOTAL(103,Май[25])</f>
        <v>0</v>
      </c>
      <c r="AB12" s="13">
        <f>SUBTOTAL(103,Май[26])</f>
        <v>0</v>
      </c>
      <c r="AC12" s="13">
        <f>SUBTOTAL(103,Май[27])</f>
        <v>0</v>
      </c>
      <c r="AD12" s="13">
        <f>SUBTOTAL(103,Май[28])</f>
        <v>0</v>
      </c>
      <c r="AE12" s="13">
        <f>SUBTOTAL(103,Май[29])</f>
        <v>0</v>
      </c>
      <c r="AF12" s="13">
        <f>SUBTOTAL(103,Май[30])</f>
        <v>0</v>
      </c>
      <c r="AG12" s="13">
        <f>SUBTOTAL(103,Май[31])</f>
        <v>0</v>
      </c>
      <c r="AH12" s="13">
        <f>SUBTOTAL(109,Май[Общо дни])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39" priority="2" stopIfTrue="1">
      <formula>C7=КлючПоИзбор2</formula>
    </cfRule>
    <cfRule type="expression" dxfId="38" priority="3" stopIfTrue="1">
      <formula>C7=КлючПоИзбор1</formula>
    </cfRule>
    <cfRule type="expression" dxfId="37" priority="4" stopIfTrue="1">
      <formula>C7=КлючБолест</formula>
    </cfRule>
    <cfRule type="expression" dxfId="36" priority="5" stopIfTrue="1">
      <formula>C7=КлючЛични</formula>
    </cfRule>
    <cfRule type="expression" dxfId="35" priority="6" stopIfTrue="1">
      <formula>C7=КлючОтпуск</formula>
    </cfRule>
  </conditionalFormatting>
  <conditionalFormatting sqref="AH7:AH11">
    <cfRule type="dataBar" priority="7">
      <dataBar>
        <cfvo type="min"/>
        <cfvo type="formula" val="DATEDIF(DATE(КалендарнаГодина,2,1),DATE(КалендарнаГодина,3,1),&quot;d&quot;)"/>
        <color theme="2" tint="-0.249977111117893"/>
      </dataBar>
      <extLst>
        <ext xmlns:x14="http://schemas.microsoft.com/office/spreadsheetml/2009/9/main" uri="{B025F937-C7B1-47D3-B67F-A62EFF666E3E}">
          <x14:id>{5670947F-8B3C-4A6C-A280-4F5E10811DCE}</x14:id>
        </ext>
      </extLst>
    </cfRule>
  </conditionalFormatting>
  <dataValidations count="14">
    <dataValidation allowBlank="1" showInputMessage="1" showErrorMessage="1" prompt="Дните от месеца в този ред се генерират автоматично. Въведете отсъствията на служителя и типа отсъствие във всяка колона за всеки ден от месеца. Празно означава без отсъствия" sqref="C6" xr:uid="{00000000-0002-0000-0400-000000000000}"/>
    <dataValidation allowBlank="1" showInputMessage="1" showErrorMessage="1" prompt="Името на месец за този график за отсъствие е в тази клетка. Общите суми за отсъствия за този месец са в последната клетка на таблицата. Изберете имена на служители в колона в таблица B" sqref="B4" xr:uid="{00000000-0002-0000-0400-000001000000}"/>
    <dataValidation allowBlank="1" showInputMessage="1" showErrorMessage="1" prompt="Този ред определя ключовете, използвани в таблицата: клетка C2 е &quot;Годишен отпуск&quot;, G2 е &quot;Лични причини&quot;, а K2 е &quot;Отпуск по болест&quot;. Клетки N2 и R2 могат да се персонализират" sqref="B2" xr:uid="{00000000-0002-0000-0400-000002000000}"/>
    <dataValidation allowBlank="1" showInputMessage="1" showErrorMessage="1" prompt="Въведете етикет, за да опишете ключа по избор вляво" sqref="O2:Q2 S2:U2" xr:uid="{00000000-0002-0000-0400-000003000000}"/>
    <dataValidation allowBlank="1" showInputMessage="1" showErrorMessage="1" prompt="Въведете буква и персонализирайте етикета вдясно, за да добавите друг ключ" sqref="N2 R2" xr:uid="{00000000-0002-0000-0400-000004000000}"/>
    <dataValidation allowBlank="1" showInputMessage="1" showErrorMessage="1" prompt="Буквата &quot;Б&quot; обозначава отсъствие поради болест" sqref="K2" xr:uid="{00000000-0002-0000-0400-000005000000}"/>
    <dataValidation allowBlank="1" showInputMessage="1" showErrorMessage="1" prompt="Буквата &quot;Л&quot; обозначава отсъствие поради лични причини" sqref="G2" xr:uid="{00000000-0002-0000-0400-000006000000}"/>
    <dataValidation allowBlank="1" showInputMessage="1" showErrorMessage="1" prompt="Буквата &quot;О&quot; обозначава отсъствие поради годишен отпуск" sqref="C2" xr:uid="{00000000-0002-0000-0400-000007000000}"/>
    <dataValidation allowBlank="1" showInputMessage="1" showErrorMessage="1" prompt="Автоматично актуализираното заглавие е в тази клетка. За да промените заглавието, актуализирайте В1 в работния лист за януари" sqref="B1" xr:uid="{00000000-0002-0000-0400-000008000000}"/>
    <dataValidation errorStyle="warning" allowBlank="1" showInputMessage="1" showErrorMessage="1" error="Изберете име от списъка. Изберете &quot;ОТКАЗ&quot;, след което натиснете ALT+СТРЕЛКА НАДОЛУ и ENTER, за да изберете име" prompt="Въведете имената на служителите в работния лист &quot;Имена на служителите&quot; и след това изберете едно от тези имена от списъка в тази колона. Натиснете ALT+СТРЕЛКА НАДОЛУ и ENTER, за да изберете име" sqref="B6" xr:uid="{00000000-0002-0000-0400-000009000000}"/>
    <dataValidation allowBlank="1" showInputMessage="1" showErrorMessage="1" prompt="Проследявайте отсъствията през май в този работен лист" sqref="A1" xr:uid="{00000000-0002-0000-0400-00000A000000}"/>
    <dataValidation allowBlank="1" showInputMessage="1" showErrorMessage="1" prompt="В тази колона се изчислява автоматично общият брой дни, в които служителят е отсъствал през този месец" sqref="AH6" xr:uid="{00000000-0002-0000-0400-00000B000000}"/>
    <dataValidation allowBlank="1" showInputMessage="1" showErrorMessage="1" prompt="Автоматично актуализирана година въз основа на годината, въведена в работния лист за януари." sqref="AH4" xr:uid="{00000000-0002-0000-0400-00000C000000}"/>
    <dataValidation allowBlank="1" showInputMessage="1" showErrorMessage="1" prompt="Дните от седмицата в този ред се актуализират автоматично за месеца в зависимост от годината в AH4. Всеки ден от месеца е колона, която отбелязва отсъствие и тип на отсъствие на служителя" sqref="C5" xr:uid="{00000000-0002-0000-04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70947F-8B3C-4A6C-A280-4F5E10811DCE}">
            <x14:dataBar minLength="0" maxLength="100">
              <x14:cfvo type="autoMin"/>
              <x14:cfvo type="formula">
                <xm:f>DATEDIF(DATE(КалендарнаГодина,2,1),DATE(КалендарнаГодина,3,1),"d")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E000000}">
          <x14:formula1>
            <xm:f>'Имена на служителите'!$B$4:$B$8</xm:f>
          </x14:formula1>
          <xm:sqref>B7:B11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8" style="11" customWidth="1"/>
    <col min="35" max="35" width="2.7109375" customWidth="1"/>
  </cols>
  <sheetData>
    <row r="1" spans="2:34" ht="50.1" customHeight="1" x14ac:dyDescent="0.25">
      <c r="B1" s="14" t="str">
        <f>Заглавие_отсъствия_служители</f>
        <v>График на отсъствията на служителите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6" t="s">
        <v>17</v>
      </c>
      <c r="L2" s="25" t="s">
        <v>24</v>
      </c>
      <c r="M2" s="25"/>
      <c r="N2" s="7"/>
      <c r="O2" s="25" t="s">
        <v>28</v>
      </c>
      <c r="P2" s="25"/>
      <c r="Q2" s="25"/>
      <c r="R2" s="8"/>
      <c r="S2" s="25" t="s">
        <v>33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57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КалендарнаГодина</f>
        <v>2019</v>
      </c>
    </row>
    <row r="5" spans="2:34" ht="15" customHeight="1" x14ac:dyDescent="0.25">
      <c r="B5" s="12"/>
      <c r="C5" s="2" t="str">
        <f>TEXT(WEEKDAY(DATE(КалендарнаГодина,6,1),1),"aaa")</f>
        <v>съб</v>
      </c>
      <c r="D5" s="2" t="str">
        <f>TEXT(WEEKDAY(DATE(КалендарнаГодина,6,2),1),"aaa")</f>
        <v>нед</v>
      </c>
      <c r="E5" s="2" t="str">
        <f>TEXT(WEEKDAY(DATE(КалендарнаГодина,6,3),1),"aaa")</f>
        <v>пон</v>
      </c>
      <c r="F5" s="2" t="str">
        <f>TEXT(WEEKDAY(DATE(КалендарнаГодина,6,4),1),"aaa")</f>
        <v>вт</v>
      </c>
      <c r="G5" s="2" t="str">
        <f>TEXT(WEEKDAY(DATE(КалендарнаГодина,6,5),1),"aaa")</f>
        <v>ср</v>
      </c>
      <c r="H5" s="2" t="str">
        <f>TEXT(WEEKDAY(DATE(КалендарнаГодина,6,6),1),"aaa")</f>
        <v>четв</v>
      </c>
      <c r="I5" s="2" t="str">
        <f>TEXT(WEEKDAY(DATE(КалендарнаГодина,6,7),1),"aaa")</f>
        <v>пет</v>
      </c>
      <c r="J5" s="2" t="str">
        <f>TEXT(WEEKDAY(DATE(КалендарнаГодина,6,8),1),"aaa")</f>
        <v>съб</v>
      </c>
      <c r="K5" s="2" t="str">
        <f>TEXT(WEEKDAY(DATE(КалендарнаГодина,6,9),1),"aaa")</f>
        <v>нед</v>
      </c>
      <c r="L5" s="2" t="str">
        <f>TEXT(WEEKDAY(DATE(КалендарнаГодина,6,10),1),"aaa")</f>
        <v>пон</v>
      </c>
      <c r="M5" s="2" t="str">
        <f>TEXT(WEEKDAY(DATE(КалендарнаГодина,6,11),1),"aaa")</f>
        <v>вт</v>
      </c>
      <c r="N5" s="2" t="str">
        <f>TEXT(WEEKDAY(DATE(КалендарнаГодина,6,12),1),"aaa")</f>
        <v>ср</v>
      </c>
      <c r="O5" s="2" t="str">
        <f>TEXT(WEEKDAY(DATE(КалендарнаГодина,6,13),1),"aaa")</f>
        <v>четв</v>
      </c>
      <c r="P5" s="2" t="str">
        <f>TEXT(WEEKDAY(DATE(КалендарнаГодина,6,14),1),"aaa")</f>
        <v>пет</v>
      </c>
      <c r="Q5" s="2" t="str">
        <f>TEXT(WEEKDAY(DATE(КалендарнаГодина,6,15),1),"aaa")</f>
        <v>съб</v>
      </c>
      <c r="R5" s="2" t="str">
        <f>TEXT(WEEKDAY(DATE(КалендарнаГодина,6,16),1),"aaa")</f>
        <v>нед</v>
      </c>
      <c r="S5" s="2" t="str">
        <f>TEXT(WEEKDAY(DATE(КалендарнаГодина,6,17),1),"aaa")</f>
        <v>пон</v>
      </c>
      <c r="T5" s="2" t="str">
        <f>TEXT(WEEKDAY(DATE(КалендарнаГодина,6,18),1),"aaa")</f>
        <v>вт</v>
      </c>
      <c r="U5" s="2" t="str">
        <f>TEXT(WEEKDAY(DATE(КалендарнаГодина,6,19),1),"aaa")</f>
        <v>ср</v>
      </c>
      <c r="V5" s="2" t="str">
        <f>TEXT(WEEKDAY(DATE(КалендарнаГодина,6,20),1),"aaa")</f>
        <v>четв</v>
      </c>
      <c r="W5" s="2" t="str">
        <f>TEXT(WEEKDAY(DATE(КалендарнаГодина,6,21),1),"aaa")</f>
        <v>пет</v>
      </c>
      <c r="X5" s="2" t="str">
        <f>TEXT(WEEKDAY(DATE(КалендарнаГодина,6,22),1),"aaa")</f>
        <v>съб</v>
      </c>
      <c r="Y5" s="2" t="str">
        <f>TEXT(WEEKDAY(DATE(КалендарнаГодина,6,23),1),"aaa")</f>
        <v>нед</v>
      </c>
      <c r="Z5" s="2" t="str">
        <f>TEXT(WEEKDAY(DATE(КалендарнаГодина,6,24),1),"aaa")</f>
        <v>пон</v>
      </c>
      <c r="AA5" s="2" t="str">
        <f>TEXT(WEEKDAY(DATE(КалендарнаГодина,6,25),1),"aaa")</f>
        <v>вт</v>
      </c>
      <c r="AB5" s="2" t="str">
        <f>TEXT(WEEKDAY(DATE(КалендарнаГодина,6,26),1),"aaa")</f>
        <v>ср</v>
      </c>
      <c r="AC5" s="2" t="str">
        <f>TEXT(WEEKDAY(DATE(КалендарнаГодина,6,27),1),"aaa")</f>
        <v>четв</v>
      </c>
      <c r="AD5" s="2" t="str">
        <f>TEXT(WEEKDAY(DATE(КалендарнаГодина,6,28),1),"aaa")</f>
        <v>пет</v>
      </c>
      <c r="AE5" s="2" t="str">
        <f>TEXT(WEEKDAY(DATE(КалендарнаГодина,6,29),1),"aaa")</f>
        <v>съб</v>
      </c>
      <c r="AF5" s="2" t="str">
        <f>TEXT(WEEKDAY(DATE(КалендарнаГодина,6,30),1),"aaa")</f>
        <v>нед</v>
      </c>
      <c r="AG5" s="2"/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52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COUNTA(Юни[[#This Row],[1]:[30]])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COUNTA(Юни[[#This Row],[1]:[30]])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COUNTA(Юни[[#This Row],[1]:[30]])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COUNTA(Юни[[#This Row],[1]:[30]])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COUNTA(Юни[[#This Row],[1]:[30]])</f>
        <v>0</v>
      </c>
    </row>
    <row r="12" spans="2:34" ht="30" customHeight="1" x14ac:dyDescent="0.25">
      <c r="B12" s="21" t="str">
        <f>ИмеМесец&amp;" Общо"</f>
        <v>Юни Общо</v>
      </c>
      <c r="C12" s="13">
        <f>SUBTOTAL(103,Юни[1])</f>
        <v>0</v>
      </c>
      <c r="D12" s="13">
        <f>SUBTOTAL(103,Юни[2])</f>
        <v>0</v>
      </c>
      <c r="E12" s="13">
        <f>SUBTOTAL(103,Юни[3])</f>
        <v>0</v>
      </c>
      <c r="F12" s="13">
        <f>SUBTOTAL(103,Юни[4])</f>
        <v>0</v>
      </c>
      <c r="G12" s="13">
        <f>SUBTOTAL(103,Юни[5])</f>
        <v>0</v>
      </c>
      <c r="H12" s="13">
        <f>SUBTOTAL(103,Юни[6])</f>
        <v>0</v>
      </c>
      <c r="I12" s="13">
        <f>SUBTOTAL(103,Юни[7])</f>
        <v>0</v>
      </c>
      <c r="J12" s="13">
        <f>SUBTOTAL(103,Юни[8])</f>
        <v>0</v>
      </c>
      <c r="K12" s="13">
        <f>SUBTOTAL(103,Юни[9])</f>
        <v>0</v>
      </c>
      <c r="L12" s="13">
        <f>SUBTOTAL(103,Юни[10])</f>
        <v>0</v>
      </c>
      <c r="M12" s="13">
        <f>SUBTOTAL(103,Юни[11])</f>
        <v>0</v>
      </c>
      <c r="N12" s="13">
        <f>SUBTOTAL(103,Юни[12])</f>
        <v>0</v>
      </c>
      <c r="O12" s="13">
        <f>SUBTOTAL(103,Юни[13])</f>
        <v>0</v>
      </c>
      <c r="P12" s="13">
        <f>SUBTOTAL(103,Юни[14])</f>
        <v>0</v>
      </c>
      <c r="Q12" s="13">
        <f>SUBTOTAL(103,Юни[15])</f>
        <v>0</v>
      </c>
      <c r="R12" s="13">
        <f>SUBTOTAL(103,Юни[16])</f>
        <v>0</v>
      </c>
      <c r="S12" s="13">
        <f>SUBTOTAL(103,Юни[17])</f>
        <v>0</v>
      </c>
      <c r="T12" s="13">
        <f>SUBTOTAL(103,Юни[18])</f>
        <v>0</v>
      </c>
      <c r="U12" s="13">
        <f>SUBTOTAL(103,Юни[19])</f>
        <v>0</v>
      </c>
      <c r="V12" s="13">
        <f>SUBTOTAL(103,Юни[20])</f>
        <v>0</v>
      </c>
      <c r="W12" s="13">
        <f>SUBTOTAL(103,Юни[21])</f>
        <v>0</v>
      </c>
      <c r="X12" s="13">
        <f>SUBTOTAL(103,Юни[22])</f>
        <v>0</v>
      </c>
      <c r="Y12" s="13">
        <f>SUBTOTAL(103,Юни[23])</f>
        <v>0</v>
      </c>
      <c r="Z12" s="13">
        <f>SUBTOTAL(103,Юни[24])</f>
        <v>0</v>
      </c>
      <c r="AA12" s="13">
        <f>SUBTOTAL(103,Юни[25])</f>
        <v>0</v>
      </c>
      <c r="AB12" s="13">
        <f>SUBTOTAL(103,Юни[26])</f>
        <v>0</v>
      </c>
      <c r="AC12" s="13">
        <f>SUBTOTAL(103,Юни[27])</f>
        <v>0</v>
      </c>
      <c r="AD12" s="13">
        <f>SUBTOTAL(103,Юни[28])</f>
        <v>0</v>
      </c>
      <c r="AE12" s="13">
        <f>SUBTOTAL(103,Юни[29])</f>
        <v>0</v>
      </c>
      <c r="AF12" s="13">
        <f>SUBTOTAL(103,Юни[30])</f>
        <v>0</v>
      </c>
      <c r="AG12" s="13">
        <f>SUBTOTAL(103,Юни[[ ]])</f>
        <v>0</v>
      </c>
      <c r="AH12" s="13">
        <f>SUBTOTAL(109,Юни[Общо дни])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34" priority="2" stopIfTrue="1">
      <formula>C7=КлючПоИзбор2</formula>
    </cfRule>
    <cfRule type="expression" dxfId="33" priority="3" stopIfTrue="1">
      <formula>C7=КлючПоИзбор1</formula>
    </cfRule>
    <cfRule type="expression" dxfId="32" priority="4" stopIfTrue="1">
      <formula>C7=КлючБолест</formula>
    </cfRule>
    <cfRule type="expression" dxfId="31" priority="5" stopIfTrue="1">
      <formula>C7=КлючЛични</formula>
    </cfRule>
    <cfRule type="expression" dxfId="30" priority="6" stopIfTrue="1">
      <formula>C7=КлючОтпуск</formula>
    </cfRule>
  </conditionalFormatting>
  <conditionalFormatting sqref="AH7:AH11">
    <cfRule type="dataBar" priority="7">
      <dataBar>
        <cfvo type="min"/>
        <cfvo type="formula" val="DATEDIF(DATE(КалендарнаГодина,2,1),DATE(КалендарнаГодина,3,1),&quot;d&quot;)"/>
        <color theme="2" tint="-0.249977111117893"/>
      </dataBar>
      <extLst>
        <ext xmlns:x14="http://schemas.microsoft.com/office/spreadsheetml/2009/9/main" uri="{B025F937-C7B1-47D3-B67F-A62EFF666E3E}">
          <x14:id>{5E94D469-7B22-408B-924D-8DC8A136AD3B}</x14:id>
        </ext>
      </extLst>
    </cfRule>
  </conditionalFormatting>
  <dataValidations xWindow="1309" yWindow="447" count="14">
    <dataValidation allowBlank="1" showInputMessage="1" showErrorMessage="1" prompt="Дните от седмицата в този ред се актуализират автоматично за месеца в зависимост от годината в AH4. Всеки ден от месеца е колона, която отбелязва отсъствие и тип на отсъствие на служителя" sqref="C5" xr:uid="{00000000-0002-0000-0500-000000000000}"/>
    <dataValidation allowBlank="1" showInputMessage="1" showErrorMessage="1" prompt="Автоматично актуализирана година въз основа на годината, въведена в работния лист за януари." sqref="AH4" xr:uid="{00000000-0002-0000-0500-000001000000}"/>
    <dataValidation allowBlank="1" showInputMessage="1" showErrorMessage="1" prompt="В тази колона се изчислява автоматично общият брой дни, в които служителят е отсъствал през този месец" sqref="AH6" xr:uid="{00000000-0002-0000-0500-000002000000}"/>
    <dataValidation allowBlank="1" showInputMessage="1" showErrorMessage="1" prompt="Проследявайте отсъствията през юни в този работен лист" sqref="A1" xr:uid="{00000000-0002-0000-0500-000003000000}"/>
    <dataValidation errorStyle="warning" allowBlank="1" showInputMessage="1" showErrorMessage="1" error="Изберете име от списъка. Изберете &quot;ОТКАЗ&quot;, след което натиснете ALT+СТРЕЛКА НАДОЛУ и ENTER, за да изберете име" prompt="Въведете имената на служителите в работния лист &quot;Имена на служителите&quot; и след това изберете едно от тези имена от списъка в тази колона. Натиснете ALT+СТРЕЛКА НАДОЛУ и ENTER, за да изберете име" sqref="B6" xr:uid="{00000000-0002-0000-0500-000004000000}"/>
    <dataValidation allowBlank="1" showInputMessage="1" showErrorMessage="1" prompt="Автоматично актуализираното заглавие е в тази клетка. За да промените заглавието, актуализирайте В1 в работния лист за януари" sqref="B1" xr:uid="{00000000-0002-0000-0500-000005000000}"/>
    <dataValidation allowBlank="1" showInputMessage="1" showErrorMessage="1" prompt="Буквата &quot;О&quot; обозначава отсъствие поради годишен отпуск" sqref="C2" xr:uid="{00000000-0002-0000-0500-000006000000}"/>
    <dataValidation allowBlank="1" showInputMessage="1" showErrorMessage="1" prompt="Буквата &quot;Л&quot; обозначава отсъствие поради лични причини" sqref="G2" xr:uid="{00000000-0002-0000-0500-000007000000}"/>
    <dataValidation allowBlank="1" showInputMessage="1" showErrorMessage="1" prompt="Буквата &quot;Б&quot; обозначава отсъствие поради болест" sqref="K2" xr:uid="{00000000-0002-0000-0500-000008000000}"/>
    <dataValidation allowBlank="1" showInputMessage="1" showErrorMessage="1" prompt="Въведете буква и персонализирайте етикета вдясно, за да добавите друг ключ" sqref="N2 R2" xr:uid="{00000000-0002-0000-0500-000009000000}"/>
    <dataValidation allowBlank="1" showInputMessage="1" showErrorMessage="1" prompt="Въведете етикет, за да опишете ключа по избор вляво" sqref="O2:Q2 S2:U2" xr:uid="{00000000-0002-0000-0500-00000A000000}"/>
    <dataValidation allowBlank="1" showInputMessage="1" showErrorMessage="1" prompt="Този ред определя ключовете, използвани в таблицата: клетка C2 е &quot;Годишен отпуск&quot;, G2 е &quot;Лични причини&quot;, а K2 е &quot;Отпуск по болест&quot;. Клетки N2 и R2 могат да се персонализират" sqref="B2" xr:uid="{00000000-0002-0000-0500-00000B000000}"/>
    <dataValidation allowBlank="1" showInputMessage="1" showErrorMessage="1" prompt="Името на месец за този график за отсъствие е в тази клетка. Общите суми за отсъствия за този месец са в последната клетка на таблицата. Изберете имена на служители в колона в таблица B" sqref="B4" xr:uid="{00000000-0002-0000-0500-00000C000000}"/>
    <dataValidation allowBlank="1" showInputMessage="1" showErrorMessage="1" prompt="Дните от месеца в този ред се генерират автоматично. Въведете отсъствията на служителя и типа отсъствие във всяка колона за всеки ден от месеца. Празно означава без отсъствия" sqref="C6" xr:uid="{00000000-0002-0000-05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E94D469-7B22-408B-924D-8DC8A136AD3B}">
            <x14:dataBar minLength="0" maxLength="100">
              <x14:cfvo type="autoMin"/>
              <x14:cfvo type="formula">
                <xm:f>DATEDIF(DATE(КалендарнаГодина,2,1),DATE(КалендарнаГодина,3,1),"d")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309" yWindow="447" count="1">
        <x14:dataValidation type="list" allowBlank="1" showInputMessage="1" showErrorMessage="1" xr:uid="{00000000-0002-0000-0500-00000E000000}">
          <x14:formula1>
            <xm:f>'Имена на служителите'!$B$4:$B$8</xm:f>
          </x14:formula1>
          <xm:sqref>B7:B11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8" style="11" customWidth="1"/>
    <col min="35" max="35" width="2.7109375" customWidth="1"/>
  </cols>
  <sheetData>
    <row r="1" spans="2:34" ht="50.1" customHeight="1" x14ac:dyDescent="0.25">
      <c r="B1" s="14" t="str">
        <f>Заглавие_отсъствия_служители</f>
        <v>График на отсъствията на служителите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6" t="s">
        <v>17</v>
      </c>
      <c r="L2" s="25" t="s">
        <v>24</v>
      </c>
      <c r="M2" s="25"/>
      <c r="N2" s="7"/>
      <c r="O2" s="25" t="s">
        <v>28</v>
      </c>
      <c r="P2" s="25"/>
      <c r="Q2" s="25"/>
      <c r="R2" s="8"/>
      <c r="S2" s="25" t="s">
        <v>33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58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КалендарнаГодина</f>
        <v>2019</v>
      </c>
    </row>
    <row r="5" spans="2:34" ht="15" customHeight="1" x14ac:dyDescent="0.25">
      <c r="B5" s="12"/>
      <c r="C5" s="2" t="str">
        <f>TEXT(WEEKDAY(DATE(КалендарнаГодина,7,1),1),"aaa")</f>
        <v>пон</v>
      </c>
      <c r="D5" s="2" t="str">
        <f>TEXT(WEEKDAY(DATE(КалендарнаГодина,7,2),1),"aaa")</f>
        <v>вт</v>
      </c>
      <c r="E5" s="2" t="str">
        <f>TEXT(WEEKDAY(DATE(КалендарнаГодина,7,3),1),"aaa")</f>
        <v>ср</v>
      </c>
      <c r="F5" s="2" t="str">
        <f>TEXT(WEEKDAY(DATE(КалендарнаГодина,7,4),1),"aaa")</f>
        <v>четв</v>
      </c>
      <c r="G5" s="2" t="str">
        <f>TEXT(WEEKDAY(DATE(КалендарнаГодина,7,5),1),"aaa")</f>
        <v>пет</v>
      </c>
      <c r="H5" s="2" t="str">
        <f>TEXT(WEEKDAY(DATE(КалендарнаГодина,7,6),1),"aaa")</f>
        <v>съб</v>
      </c>
      <c r="I5" s="2" t="str">
        <f>TEXT(WEEKDAY(DATE(КалендарнаГодина,7,7),1),"aaa")</f>
        <v>нед</v>
      </c>
      <c r="J5" s="2" t="str">
        <f>TEXT(WEEKDAY(DATE(КалендарнаГодина,7,8),1),"aaa")</f>
        <v>пон</v>
      </c>
      <c r="K5" s="2" t="str">
        <f>TEXT(WEEKDAY(DATE(КалендарнаГодина,7,9),1),"aaa")</f>
        <v>вт</v>
      </c>
      <c r="L5" s="2" t="str">
        <f>TEXT(WEEKDAY(DATE(КалендарнаГодина,7,10),1),"aaa")</f>
        <v>ср</v>
      </c>
      <c r="M5" s="2" t="str">
        <f>TEXT(WEEKDAY(DATE(КалендарнаГодина,7,11),1),"aaa")</f>
        <v>четв</v>
      </c>
      <c r="N5" s="2" t="str">
        <f>TEXT(WEEKDAY(DATE(КалендарнаГодина,7,12),1),"aaa")</f>
        <v>пет</v>
      </c>
      <c r="O5" s="2" t="str">
        <f>TEXT(WEEKDAY(DATE(КалендарнаГодина,7,13),1),"aaa")</f>
        <v>съб</v>
      </c>
      <c r="P5" s="2" t="str">
        <f>TEXT(WEEKDAY(DATE(КалендарнаГодина,7,14),1),"aaa")</f>
        <v>нед</v>
      </c>
      <c r="Q5" s="2" t="str">
        <f>TEXT(WEEKDAY(DATE(КалендарнаГодина,7,15),1),"aaa")</f>
        <v>пон</v>
      </c>
      <c r="R5" s="2" t="str">
        <f>TEXT(WEEKDAY(DATE(КалендарнаГодина,7,16),1),"aaa")</f>
        <v>вт</v>
      </c>
      <c r="S5" s="2" t="str">
        <f>TEXT(WEEKDAY(DATE(КалендарнаГодина,7,17),1),"aaa")</f>
        <v>ср</v>
      </c>
      <c r="T5" s="2" t="str">
        <f>TEXT(WEEKDAY(DATE(КалендарнаГодина,7,18),1),"aaa")</f>
        <v>четв</v>
      </c>
      <c r="U5" s="2" t="str">
        <f>TEXT(WEEKDAY(DATE(КалендарнаГодина,7,19),1),"aaa")</f>
        <v>пет</v>
      </c>
      <c r="V5" s="2" t="str">
        <f>TEXT(WEEKDAY(DATE(КалендарнаГодина,7,20),1),"aaa")</f>
        <v>съб</v>
      </c>
      <c r="W5" s="2" t="str">
        <f>TEXT(WEEKDAY(DATE(КалендарнаГодина,7,21),1),"aaa")</f>
        <v>нед</v>
      </c>
      <c r="X5" s="2" t="str">
        <f>TEXT(WEEKDAY(DATE(КалендарнаГодина,7,22),1),"aaa")</f>
        <v>пон</v>
      </c>
      <c r="Y5" s="2" t="str">
        <f>TEXT(WEEKDAY(DATE(КалендарнаГодина,7,23),1),"aaa")</f>
        <v>вт</v>
      </c>
      <c r="Z5" s="2" t="str">
        <f>TEXT(WEEKDAY(DATE(КалендарнаГодина,7,24),1),"aaa")</f>
        <v>ср</v>
      </c>
      <c r="AA5" s="2" t="str">
        <f>TEXT(WEEKDAY(DATE(КалендарнаГодина,7,25),1),"aaa")</f>
        <v>четв</v>
      </c>
      <c r="AB5" s="2" t="str">
        <f>TEXT(WEEKDAY(DATE(КалендарнаГодина,7,26),1),"aaa")</f>
        <v>пет</v>
      </c>
      <c r="AC5" s="2" t="str">
        <f>TEXT(WEEKDAY(DATE(КалендарнаГодина,7,27),1),"aaa")</f>
        <v>съб</v>
      </c>
      <c r="AD5" s="2" t="str">
        <f>TEXT(WEEKDAY(DATE(КалендарнаГодина,7,28),1),"aaa")</f>
        <v>нед</v>
      </c>
      <c r="AE5" s="2" t="str">
        <f>TEXT(WEEKDAY(DATE(КалендарнаГодина,7,29),1),"aaa")</f>
        <v>пон</v>
      </c>
      <c r="AF5" s="2" t="str">
        <f>TEXT(WEEKDAY(DATE(КалендарнаГодина,7,30),1),"aaa")</f>
        <v>вт</v>
      </c>
      <c r="AG5" s="2" t="str">
        <f>TEXT(WEEKDAY(DATE(КалендарнаГодина,7,31),1),"aaa")</f>
        <v>ср</v>
      </c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48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COUNTA(Юли[[#This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COUNTA(Юли[[#This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COUNTA(Юли[[#This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COUNTA(Юли[[#This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COUNTA(Юли[[#This Row],[1]:[31]])</f>
        <v>0</v>
      </c>
    </row>
    <row r="12" spans="2:34" ht="30" customHeight="1" x14ac:dyDescent="0.25">
      <c r="B12" s="21" t="str">
        <f>ИмеМесец&amp;" Общо"</f>
        <v>Юли Общо</v>
      </c>
      <c r="C12" s="13">
        <f>SUBTOTAL(103,Юли[1])</f>
        <v>0</v>
      </c>
      <c r="D12" s="13">
        <f>SUBTOTAL(103,Юли[2])</f>
        <v>0</v>
      </c>
      <c r="E12" s="13">
        <f>SUBTOTAL(103,Юли[3])</f>
        <v>0</v>
      </c>
      <c r="F12" s="13">
        <f>SUBTOTAL(103,Юли[4])</f>
        <v>0</v>
      </c>
      <c r="G12" s="13">
        <f>SUBTOTAL(103,Юли[5])</f>
        <v>0</v>
      </c>
      <c r="H12" s="13">
        <f>SUBTOTAL(103,Юли[6])</f>
        <v>0</v>
      </c>
      <c r="I12" s="13">
        <f>SUBTOTAL(103,Юли[7])</f>
        <v>0</v>
      </c>
      <c r="J12" s="13">
        <f>SUBTOTAL(103,Юли[8])</f>
        <v>0</v>
      </c>
      <c r="K12" s="13">
        <f>SUBTOTAL(103,Юли[9])</f>
        <v>0</v>
      </c>
      <c r="L12" s="13">
        <f>SUBTOTAL(103,Юли[10])</f>
        <v>0</v>
      </c>
      <c r="M12" s="13">
        <f>SUBTOTAL(103,Юли[11])</f>
        <v>0</v>
      </c>
      <c r="N12" s="13">
        <f>SUBTOTAL(103,Юли[12])</f>
        <v>0</v>
      </c>
      <c r="O12" s="13">
        <f>SUBTOTAL(103,Юли[13])</f>
        <v>0</v>
      </c>
      <c r="P12" s="13">
        <f>SUBTOTAL(103,Юли[14])</f>
        <v>0</v>
      </c>
      <c r="Q12" s="13">
        <f>SUBTOTAL(103,Юли[15])</f>
        <v>0</v>
      </c>
      <c r="R12" s="13">
        <f>SUBTOTAL(103,Юли[16])</f>
        <v>0</v>
      </c>
      <c r="S12" s="13">
        <f>SUBTOTAL(103,Юли[17])</f>
        <v>0</v>
      </c>
      <c r="T12" s="13">
        <f>SUBTOTAL(103,Юли[18])</f>
        <v>0</v>
      </c>
      <c r="U12" s="13">
        <f>SUBTOTAL(103,Юли[19])</f>
        <v>0</v>
      </c>
      <c r="V12" s="13">
        <f>SUBTOTAL(103,Юли[20])</f>
        <v>0</v>
      </c>
      <c r="W12" s="13">
        <f>SUBTOTAL(103,Юли[21])</f>
        <v>0</v>
      </c>
      <c r="X12" s="13">
        <f>SUBTOTAL(103,Юли[22])</f>
        <v>0</v>
      </c>
      <c r="Y12" s="13">
        <f>SUBTOTAL(103,Юли[23])</f>
        <v>0</v>
      </c>
      <c r="Z12" s="13">
        <f>SUBTOTAL(103,Юли[24])</f>
        <v>0</v>
      </c>
      <c r="AA12" s="13">
        <f>SUBTOTAL(103,Юли[25])</f>
        <v>0</v>
      </c>
      <c r="AB12" s="13">
        <f>SUBTOTAL(103,Юли[26])</f>
        <v>0</v>
      </c>
      <c r="AC12" s="13">
        <f>SUBTOTAL(103,Юли[27])</f>
        <v>0</v>
      </c>
      <c r="AD12" s="13">
        <f>SUBTOTAL(103,Юли[28])</f>
        <v>0</v>
      </c>
      <c r="AE12" s="13">
        <f>SUBTOTAL(103,Юли[29])</f>
        <v>0</v>
      </c>
      <c r="AF12" s="13">
        <f>SUBTOTAL(103,Юли[30])</f>
        <v>0</v>
      </c>
      <c r="AG12" s="13">
        <f>SUBTOTAL(103,Юли[31])</f>
        <v>0</v>
      </c>
      <c r="AH12" s="13">
        <f>SUBTOTAL(109,Юли[Общо дни])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29" priority="2" stopIfTrue="1">
      <formula>C7=КлючПоИзбор2</formula>
    </cfRule>
    <cfRule type="expression" dxfId="28" priority="3" stopIfTrue="1">
      <formula>C7=КлючПоИзбор1</formula>
    </cfRule>
    <cfRule type="expression" dxfId="27" priority="4" stopIfTrue="1">
      <formula>C7=КлючБолест</formula>
    </cfRule>
    <cfRule type="expression" dxfId="26" priority="5" stopIfTrue="1">
      <formula>C7=КлючЛични</formula>
    </cfRule>
    <cfRule type="expression" dxfId="25" priority="6" stopIfTrue="1">
      <formula>C7=КлючОтпуск</formula>
    </cfRule>
  </conditionalFormatting>
  <conditionalFormatting sqref="AH7:AH11">
    <cfRule type="dataBar" priority="7">
      <dataBar>
        <cfvo type="min"/>
        <cfvo type="formula" val="DATEDIF(DATE(КалендарнаГодина,2,1),DATE(КалендарнаГодина,3,1),&quot;d&quot;)"/>
        <color theme="2" tint="-0.249977111117893"/>
      </dataBar>
      <extLst>
        <ext xmlns:x14="http://schemas.microsoft.com/office/spreadsheetml/2009/9/main" uri="{B025F937-C7B1-47D3-B67F-A62EFF666E3E}">
          <x14:id>{E0DCF129-9B2A-4CEB-9E56-27607F4BED20}</x14:id>
        </ext>
      </extLst>
    </cfRule>
  </conditionalFormatting>
  <dataValidations count="14">
    <dataValidation allowBlank="1" showInputMessage="1" showErrorMessage="1" prompt="Дните от месеца в този ред се генерират автоматично. Въведете отсъствията на служителя и типа отсъствие във всяка колона за всеки ден от месеца. Празно означава без отсъствия" sqref="C6" xr:uid="{00000000-0002-0000-0600-000000000000}"/>
    <dataValidation allowBlank="1" showInputMessage="1" showErrorMessage="1" prompt="Името на месец за този график за отсъствие е в тази клетка. Общите суми за отсъствия за този месец са в последната клетка на таблицата. Изберете имена на служители в колона в таблица B" sqref="B4" xr:uid="{00000000-0002-0000-0600-000001000000}"/>
    <dataValidation allowBlank="1" showInputMessage="1" showErrorMessage="1" prompt="Този ред определя ключовете, използвани в таблицата: клетка C2 е &quot;Годишен отпуск&quot;, G2 е &quot;Лични причини&quot;, а K2 е &quot;Отпуск по болест&quot;. Клетки N2 и R2 могат да се персонализират" sqref="B2" xr:uid="{00000000-0002-0000-0600-000002000000}"/>
    <dataValidation allowBlank="1" showInputMessage="1" showErrorMessage="1" prompt="Въведете етикет, за да опишете ключа по избор вляво" sqref="O2:Q2 S2:U2" xr:uid="{00000000-0002-0000-0600-000003000000}"/>
    <dataValidation allowBlank="1" showInputMessage="1" showErrorMessage="1" prompt="Въведете буква и персонализирайте етикета вдясно, за да добавите друг ключ" sqref="N2 R2" xr:uid="{00000000-0002-0000-0600-000004000000}"/>
    <dataValidation allowBlank="1" showInputMessage="1" showErrorMessage="1" prompt="Буквата &quot;Б&quot; обозначава отсъствие поради болест" sqref="K2" xr:uid="{00000000-0002-0000-0600-000005000000}"/>
    <dataValidation allowBlank="1" showInputMessage="1" showErrorMessage="1" prompt="Буквата &quot;Л&quot; обозначава отсъствие поради лични причини" sqref="G2" xr:uid="{00000000-0002-0000-0600-000006000000}"/>
    <dataValidation allowBlank="1" showInputMessage="1" showErrorMessage="1" prompt="Буквата &quot;О&quot; обозначава отсъствие поради годишен отпуск" sqref="C2" xr:uid="{00000000-0002-0000-0600-000007000000}"/>
    <dataValidation allowBlank="1" showInputMessage="1" showErrorMessage="1" prompt="Автоматично актуализираното заглавие е в тази клетка. За да промените заглавието, актуализирайте В1 в работния лист за януари" sqref="B1" xr:uid="{00000000-0002-0000-0600-000008000000}"/>
    <dataValidation errorStyle="warning" allowBlank="1" showInputMessage="1" showErrorMessage="1" error="Изберете име от списъка. Изберете &quot;ОТКАЗ&quot;, след което натиснете ALT+СТРЕЛКА НАДОЛУ и ENTER, за да изберете име" prompt="Въведете имената на служителите в работния лист &quot;Имена на служителите&quot; и след това изберете едно от тези имена от списъка в тази колона. Натиснете ALT+СТРЕЛКА НАДОЛУ и ENTER, за да изберете име" sqref="B6" xr:uid="{00000000-0002-0000-0600-000009000000}"/>
    <dataValidation allowBlank="1" showInputMessage="1" showErrorMessage="1" prompt="Проследявайте отсъствията през юли в този работен лист" sqref="A1" xr:uid="{00000000-0002-0000-0600-00000A000000}"/>
    <dataValidation allowBlank="1" showInputMessage="1" showErrorMessage="1" prompt="В тази колона се изчислява автоматично общият брой дни, в които служителят е отсъствал през този месец" sqref="AH6" xr:uid="{00000000-0002-0000-0600-00000B000000}"/>
    <dataValidation allowBlank="1" showInputMessage="1" showErrorMessage="1" prompt="Автоматично актуализирана година въз основа на годината, въведена в работния лист за януари." sqref="AH4" xr:uid="{00000000-0002-0000-0600-00000C000000}"/>
    <dataValidation allowBlank="1" showInputMessage="1" showErrorMessage="1" prompt="Дните от седмицата в този ред се актуализират автоматично за месеца в зависимост от годината в AH4. Всеки ден от месеца е колона, която отбелязва отсъствие и тип на отсъствие на служителя" sqref="C5" xr:uid="{00000000-0002-0000-06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DCF129-9B2A-4CEB-9E56-27607F4BED20}">
            <x14:dataBar minLength="0" maxLength="100">
              <x14:cfvo type="autoMin"/>
              <x14:cfvo type="formula">
                <xm:f>DATEDIF(DATE(КалендарнаГодина,2,1),DATE(КалендарнаГодина,3,1),"d")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E000000}">
          <x14:formula1>
            <xm:f>'Имена на служителите'!$B$4:$B$8</xm:f>
          </x14:formula1>
          <xm:sqref>B7:B11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749992370372631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8" style="11" customWidth="1"/>
    <col min="35" max="35" width="2.7109375" customWidth="1"/>
  </cols>
  <sheetData>
    <row r="1" spans="2:34" ht="50.1" customHeight="1" x14ac:dyDescent="0.25">
      <c r="B1" s="14" t="str">
        <f>Заглавие_отсъствия_служители</f>
        <v>График на отсъствията на служителите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6" t="s">
        <v>17</v>
      </c>
      <c r="L2" s="25" t="s">
        <v>24</v>
      </c>
      <c r="M2" s="25"/>
      <c r="N2" s="7"/>
      <c r="O2" s="25" t="s">
        <v>28</v>
      </c>
      <c r="P2" s="25"/>
      <c r="Q2" s="25"/>
      <c r="R2" s="8"/>
      <c r="S2" s="25" t="s">
        <v>33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59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КалендарнаГодина</f>
        <v>2019</v>
      </c>
    </row>
    <row r="5" spans="2:34" ht="15" customHeight="1" x14ac:dyDescent="0.25">
      <c r="B5" s="12"/>
      <c r="C5" s="2" t="str">
        <f>TEXT(WEEKDAY(DATE(КалендарнаГодина,8,1),1),"aaa")</f>
        <v>четв</v>
      </c>
      <c r="D5" s="2" t="str">
        <f>TEXT(WEEKDAY(DATE(КалендарнаГодина,8,2),1),"aaa")</f>
        <v>пет</v>
      </c>
      <c r="E5" s="2" t="str">
        <f>TEXT(WEEKDAY(DATE(КалендарнаГодина,8,3),1),"aaa")</f>
        <v>съб</v>
      </c>
      <c r="F5" s="2" t="str">
        <f>TEXT(WEEKDAY(DATE(КалендарнаГодина,8,4),1),"aaa")</f>
        <v>нед</v>
      </c>
      <c r="G5" s="2" t="str">
        <f>TEXT(WEEKDAY(DATE(КалендарнаГодина,8,5),1),"aaa")</f>
        <v>пон</v>
      </c>
      <c r="H5" s="2" t="str">
        <f>TEXT(WEEKDAY(DATE(КалендарнаГодина,8,6),1),"aaa")</f>
        <v>вт</v>
      </c>
      <c r="I5" s="2" t="str">
        <f>TEXT(WEEKDAY(DATE(КалендарнаГодина,8,7),1),"aaa")</f>
        <v>ср</v>
      </c>
      <c r="J5" s="2" t="str">
        <f>TEXT(WEEKDAY(DATE(КалендарнаГодина,8,8),1),"aaa")</f>
        <v>четв</v>
      </c>
      <c r="K5" s="2" t="str">
        <f>TEXT(WEEKDAY(DATE(КалендарнаГодина,8,9),1),"aaa")</f>
        <v>пет</v>
      </c>
      <c r="L5" s="2" t="str">
        <f>TEXT(WEEKDAY(DATE(КалендарнаГодина,8,10),1),"aaa")</f>
        <v>съб</v>
      </c>
      <c r="M5" s="2" t="str">
        <f>TEXT(WEEKDAY(DATE(КалендарнаГодина,8,11),1),"aaa")</f>
        <v>нед</v>
      </c>
      <c r="N5" s="2" t="str">
        <f>TEXT(WEEKDAY(DATE(КалендарнаГодина,8,12),1),"aaa")</f>
        <v>пон</v>
      </c>
      <c r="O5" s="2" t="str">
        <f>TEXT(WEEKDAY(DATE(КалендарнаГодина,8,13),1),"aaa")</f>
        <v>вт</v>
      </c>
      <c r="P5" s="2" t="str">
        <f>TEXT(WEEKDAY(DATE(КалендарнаГодина,8,14),1),"aaa")</f>
        <v>ср</v>
      </c>
      <c r="Q5" s="2" t="str">
        <f>TEXT(WEEKDAY(DATE(КалендарнаГодина,8,15),1),"aaa")</f>
        <v>четв</v>
      </c>
      <c r="R5" s="2" t="str">
        <f>TEXT(WEEKDAY(DATE(КалендарнаГодина,8,16),1),"aaa")</f>
        <v>пет</v>
      </c>
      <c r="S5" s="2" t="str">
        <f>TEXT(WEEKDAY(DATE(КалендарнаГодина,8,17),1),"aaa")</f>
        <v>съб</v>
      </c>
      <c r="T5" s="2" t="str">
        <f>TEXT(WEEKDAY(DATE(КалендарнаГодина,8,18),1),"aaa")</f>
        <v>нед</v>
      </c>
      <c r="U5" s="2" t="str">
        <f>TEXT(WEEKDAY(DATE(КалендарнаГодина,8,19),1),"aaa")</f>
        <v>пон</v>
      </c>
      <c r="V5" s="2" t="str">
        <f>TEXT(WEEKDAY(DATE(КалендарнаГодина,8,20),1),"aaa")</f>
        <v>вт</v>
      </c>
      <c r="W5" s="2" t="str">
        <f>TEXT(WEEKDAY(DATE(КалендарнаГодина,8,21),1),"aaa")</f>
        <v>ср</v>
      </c>
      <c r="X5" s="2" t="str">
        <f>TEXT(WEEKDAY(DATE(КалендарнаГодина,8,22),1),"aaa")</f>
        <v>четв</v>
      </c>
      <c r="Y5" s="2" t="str">
        <f>TEXT(WEEKDAY(DATE(КалендарнаГодина,8,23),1),"aaa")</f>
        <v>пет</v>
      </c>
      <c r="Z5" s="2" t="str">
        <f>TEXT(WEEKDAY(DATE(КалендарнаГодина,8,24),1),"aaa")</f>
        <v>съб</v>
      </c>
      <c r="AA5" s="2" t="str">
        <f>TEXT(WEEKDAY(DATE(КалендарнаГодина,8,25),1),"aaa")</f>
        <v>нед</v>
      </c>
      <c r="AB5" s="2" t="str">
        <f>TEXT(WEEKDAY(DATE(КалендарнаГодина,8,26),1),"aaa")</f>
        <v>пон</v>
      </c>
      <c r="AC5" s="2" t="str">
        <f>TEXT(WEEKDAY(DATE(КалендарнаГодина,8,27),1),"aaa")</f>
        <v>вт</v>
      </c>
      <c r="AD5" s="2" t="str">
        <f>TEXT(WEEKDAY(DATE(КалендарнаГодина,8,28),1),"aaa")</f>
        <v>ср</v>
      </c>
      <c r="AE5" s="2" t="str">
        <f>TEXT(WEEKDAY(DATE(КалендарнаГодина,8,29),1),"aaa")</f>
        <v>четв</v>
      </c>
      <c r="AF5" s="2" t="str">
        <f>TEXT(WEEKDAY(DATE(КалендарнаГодина,8,30),1),"aaa")</f>
        <v>пет</v>
      </c>
      <c r="AG5" s="2" t="str">
        <f>TEXT(WEEKDAY(DATE(КалендарнаГодина,8,31),1),"aaa")</f>
        <v>съб</v>
      </c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48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COUNTA(Август[[#This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COUNTA(Август[[#This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COUNTA(Август[[#This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COUNTA(Август[[#This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COUNTA(Август[[#This Row],[1]:[31]])</f>
        <v>0</v>
      </c>
    </row>
    <row r="12" spans="2:34" ht="30" customHeight="1" x14ac:dyDescent="0.25">
      <c r="B12" s="21" t="str">
        <f>ИмеМесец&amp;" Общо"</f>
        <v>Август Общо</v>
      </c>
      <c r="C12" s="13">
        <f>SUBTOTAL(103,Август[1])</f>
        <v>0</v>
      </c>
      <c r="D12" s="13">
        <f>SUBTOTAL(103,Август[2])</f>
        <v>0</v>
      </c>
      <c r="E12" s="13">
        <f>SUBTOTAL(103,Август[3])</f>
        <v>0</v>
      </c>
      <c r="F12" s="13">
        <f>SUBTOTAL(103,Август[4])</f>
        <v>0</v>
      </c>
      <c r="G12" s="13">
        <f>SUBTOTAL(103,Август[5])</f>
        <v>0</v>
      </c>
      <c r="H12" s="13">
        <f>SUBTOTAL(103,Август[6])</f>
        <v>0</v>
      </c>
      <c r="I12" s="13">
        <f>SUBTOTAL(103,Август[7])</f>
        <v>0</v>
      </c>
      <c r="J12" s="13">
        <f>SUBTOTAL(103,Август[8])</f>
        <v>0</v>
      </c>
      <c r="K12" s="13">
        <f>SUBTOTAL(103,Август[9])</f>
        <v>0</v>
      </c>
      <c r="L12" s="13">
        <f>SUBTOTAL(103,Август[10])</f>
        <v>0</v>
      </c>
      <c r="M12" s="13">
        <f>SUBTOTAL(103,Август[11])</f>
        <v>0</v>
      </c>
      <c r="N12" s="13">
        <f>SUBTOTAL(103,Август[12])</f>
        <v>0</v>
      </c>
      <c r="O12" s="13">
        <f>SUBTOTAL(103,Август[13])</f>
        <v>0</v>
      </c>
      <c r="P12" s="13">
        <f>SUBTOTAL(103,Август[14])</f>
        <v>0</v>
      </c>
      <c r="Q12" s="13">
        <f>SUBTOTAL(103,Август[15])</f>
        <v>0</v>
      </c>
      <c r="R12" s="13">
        <f>SUBTOTAL(103,Август[16])</f>
        <v>0</v>
      </c>
      <c r="S12" s="13">
        <f>SUBTOTAL(103,Август[17])</f>
        <v>0</v>
      </c>
      <c r="T12" s="13">
        <f>SUBTOTAL(103,Август[18])</f>
        <v>0</v>
      </c>
      <c r="U12" s="13">
        <f>SUBTOTAL(103,Август[19])</f>
        <v>0</v>
      </c>
      <c r="V12" s="13">
        <f>SUBTOTAL(103,Август[20])</f>
        <v>0</v>
      </c>
      <c r="W12" s="13">
        <f>SUBTOTAL(103,Август[21])</f>
        <v>0</v>
      </c>
      <c r="X12" s="13">
        <f>SUBTOTAL(103,Август[22])</f>
        <v>0</v>
      </c>
      <c r="Y12" s="13">
        <f>SUBTOTAL(103,Август[23])</f>
        <v>0</v>
      </c>
      <c r="Z12" s="13">
        <f>SUBTOTAL(103,Август[24])</f>
        <v>0</v>
      </c>
      <c r="AA12" s="13">
        <f>SUBTOTAL(103,Август[25])</f>
        <v>0</v>
      </c>
      <c r="AB12" s="13">
        <f>SUBTOTAL(103,Август[26])</f>
        <v>0</v>
      </c>
      <c r="AC12" s="13">
        <f>SUBTOTAL(103,Август[27])</f>
        <v>0</v>
      </c>
      <c r="AD12" s="13">
        <f>SUBTOTAL(103,Август[28])</f>
        <v>0</v>
      </c>
      <c r="AE12" s="13">
        <f>SUBTOTAL(103,Август[29])</f>
        <v>0</v>
      </c>
      <c r="AF12" s="13">
        <f>SUBTOTAL(103,Август[30])</f>
        <v>0</v>
      </c>
      <c r="AG12" s="13">
        <f>SUBTOTAL(103,Август[31])</f>
        <v>0</v>
      </c>
      <c r="AH12" s="13">
        <f>SUBTOTAL(109,Август[Общо дни])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24" priority="2" stopIfTrue="1">
      <formula>C7=КлючПоИзбор2</formula>
    </cfRule>
    <cfRule type="expression" dxfId="23" priority="3" stopIfTrue="1">
      <formula>C7=КлючПоИзбор1</formula>
    </cfRule>
    <cfRule type="expression" dxfId="22" priority="4" stopIfTrue="1">
      <formula>C7=КлючБолест</formula>
    </cfRule>
    <cfRule type="expression" dxfId="21" priority="5" stopIfTrue="1">
      <formula>C7=КлючЛични</formula>
    </cfRule>
    <cfRule type="expression" dxfId="20" priority="6" stopIfTrue="1">
      <formula>C7=КлючОтпуск</formula>
    </cfRule>
  </conditionalFormatting>
  <conditionalFormatting sqref="AH7:AH11">
    <cfRule type="dataBar" priority="7">
      <dataBar>
        <cfvo type="min"/>
        <cfvo type="formula" val="DATEDIF(DATE(КалендарнаГодина,2,1),DATE(КалендарнаГодина,3,1),&quot;d&quot;)"/>
        <color theme="2" tint="-0.249977111117893"/>
      </dataBar>
      <extLst>
        <ext xmlns:x14="http://schemas.microsoft.com/office/spreadsheetml/2009/9/main" uri="{B025F937-C7B1-47D3-B67F-A62EFF666E3E}">
          <x14:id>{09900229-9536-43AB-AAE0-FC121BDECD61}</x14:id>
        </ext>
      </extLst>
    </cfRule>
  </conditionalFormatting>
  <dataValidations count="14">
    <dataValidation allowBlank="1" showInputMessage="1" showErrorMessage="1" prompt="Дните от седмицата в този ред се актуализират автоматично за месеца в зависимост от годината в AH4. Всеки ден от месеца е колона, която отбелязва отсъствие и тип на отсъствие на служителя" sqref="C5" xr:uid="{00000000-0002-0000-0700-000000000000}"/>
    <dataValidation allowBlank="1" showInputMessage="1" showErrorMessage="1" prompt="Автоматично актуализирана година въз основа на годината, въведена в работния лист за януари." sqref="AH4" xr:uid="{00000000-0002-0000-0700-000001000000}"/>
    <dataValidation allowBlank="1" showInputMessage="1" showErrorMessage="1" prompt="В тази колона се изчислява автоматично общият брой дни, в които служителят е отсъствал през този месец" sqref="AH6" xr:uid="{00000000-0002-0000-0700-000002000000}"/>
    <dataValidation allowBlank="1" showInputMessage="1" showErrorMessage="1" prompt="Проследявайте отсъствията през август в този работен лист" sqref="A1" xr:uid="{00000000-0002-0000-0700-000003000000}"/>
    <dataValidation errorStyle="warning" allowBlank="1" showInputMessage="1" showErrorMessage="1" error="Изберете име от списъка. Изберете &quot;ОТКАЗ&quot;, след което натиснете ALT+СТРЕЛКА НАДОЛУ и ENTER, за да изберете име" prompt="Въведете имената на служителите в работния лист &quot;Имена на служителите&quot; и след това изберете едно от тези имена от списъка в тази колона. Натиснете ALT+СТРЕЛКА НАДОЛУ и ENTER, за да изберете име" sqref="B6" xr:uid="{00000000-0002-0000-0700-000004000000}"/>
    <dataValidation allowBlank="1" showInputMessage="1" showErrorMessage="1" prompt="Автоматично актуализираното заглавие е в тази клетка. За да промените заглавието, актуализирайте В1 в работния лист за януари" sqref="B1" xr:uid="{00000000-0002-0000-0700-000005000000}"/>
    <dataValidation allowBlank="1" showInputMessage="1" showErrorMessage="1" prompt="Буквата &quot;О&quot; обозначава отсъствие поради годишен отпуск" sqref="C2" xr:uid="{00000000-0002-0000-0700-000006000000}"/>
    <dataValidation allowBlank="1" showInputMessage="1" showErrorMessage="1" prompt="Буквата &quot;Л&quot; обозначава отсъствие поради лични причини" sqref="G2" xr:uid="{00000000-0002-0000-0700-000007000000}"/>
    <dataValidation allowBlank="1" showInputMessage="1" showErrorMessage="1" prompt="Буквата &quot;Б&quot; обозначава отсъствие поради болест" sqref="K2" xr:uid="{00000000-0002-0000-0700-000008000000}"/>
    <dataValidation allowBlank="1" showInputMessage="1" showErrorMessage="1" prompt="Въведете буква и персонализирайте етикета вдясно, за да добавите друг ключ" sqref="N2 R2" xr:uid="{00000000-0002-0000-0700-000009000000}"/>
    <dataValidation allowBlank="1" showInputMessage="1" showErrorMessage="1" prompt="Въведете етикет, за да опишете ключа по избор вляво" sqref="O2:Q2 S2:U2" xr:uid="{00000000-0002-0000-0700-00000A000000}"/>
    <dataValidation allowBlank="1" showInputMessage="1" showErrorMessage="1" prompt="Този ред определя ключовете, използвани в таблицата: клетка C2 е &quot;Годишен отпуск&quot;, G2 е &quot;Лични причини&quot;, а K2 е &quot;Отпуск по болест&quot;. Клетки N2 и R2 могат да се персонализират" sqref="B2" xr:uid="{00000000-0002-0000-0700-00000B000000}"/>
    <dataValidation allowBlank="1" showInputMessage="1" showErrorMessage="1" prompt="Името на месец за този график за отсъствие е в тази клетка. Общите суми за отсъствия за този месец са в последната клетка на таблицата. Изберете имена на служители в колона в таблица B" sqref="B4" xr:uid="{00000000-0002-0000-0700-00000C000000}"/>
    <dataValidation allowBlank="1" showInputMessage="1" showErrorMessage="1" prompt="Дните от месеца в този ред се генерират автоматично. Въведете отсъствията на служителя и типа отсъствие във всяка колона за всеки ден от месеца. Празно означава без отсъствия" sqref="C6" xr:uid="{00000000-0002-0000-07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900229-9536-43AB-AAE0-FC121BDECD61}">
            <x14:dataBar minLength="0" maxLength="100">
              <x14:cfvo type="autoMin"/>
              <x14:cfvo type="formula">
                <xm:f>DATEDIF(DATE(КалендарнаГодина,2,1),DATE(КалендарнаГодина,3,1),"d")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E000000}">
          <x14:formula1>
            <xm:f>'Имена на служителите'!$B$4:$B$8</xm:f>
          </x14:formula1>
          <xm:sqref>B7:B11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8" style="11" customWidth="1"/>
    <col min="35" max="35" width="2.7109375" customWidth="1"/>
  </cols>
  <sheetData>
    <row r="1" spans="2:34" ht="50.1" customHeight="1" x14ac:dyDescent="0.25">
      <c r="B1" s="14" t="str">
        <f>Заглавие_отсъствия_служители</f>
        <v>График на отсъствията на служителите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6" t="s">
        <v>17</v>
      </c>
      <c r="L2" s="25" t="s">
        <v>24</v>
      </c>
      <c r="M2" s="25"/>
      <c r="N2" s="7"/>
      <c r="O2" s="25" t="s">
        <v>28</v>
      </c>
      <c r="P2" s="25"/>
      <c r="Q2" s="25"/>
      <c r="R2" s="8"/>
      <c r="S2" s="25" t="s">
        <v>33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60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КалендарнаГодина</f>
        <v>2019</v>
      </c>
    </row>
    <row r="5" spans="2:34" ht="15" customHeight="1" x14ac:dyDescent="0.25">
      <c r="B5" s="12"/>
      <c r="C5" s="2" t="str">
        <f>TEXT(WEEKDAY(DATE(КалендарнаГодина,9,1),1),"aaa")</f>
        <v>нед</v>
      </c>
      <c r="D5" s="2" t="str">
        <f>TEXT(WEEKDAY(DATE(КалендарнаГодина,9,2),1),"aaa")</f>
        <v>пон</v>
      </c>
      <c r="E5" s="2" t="str">
        <f>TEXT(WEEKDAY(DATE(КалендарнаГодина,9,3),1),"aaa")</f>
        <v>вт</v>
      </c>
      <c r="F5" s="2" t="str">
        <f>TEXT(WEEKDAY(DATE(КалендарнаГодина,9,4),1),"aaa")</f>
        <v>ср</v>
      </c>
      <c r="G5" s="2" t="str">
        <f>TEXT(WEEKDAY(DATE(КалендарнаГодина,9,5),1),"aaa")</f>
        <v>четв</v>
      </c>
      <c r="H5" s="2" t="str">
        <f>TEXT(WEEKDAY(DATE(КалендарнаГодина,9,6),1),"aaa")</f>
        <v>пет</v>
      </c>
      <c r="I5" s="2" t="str">
        <f>TEXT(WEEKDAY(DATE(КалендарнаГодина,9,7),1),"aaa")</f>
        <v>съб</v>
      </c>
      <c r="J5" s="2" t="str">
        <f>TEXT(WEEKDAY(DATE(КалендарнаГодина,9,8),1),"aaa")</f>
        <v>нед</v>
      </c>
      <c r="K5" s="2" t="str">
        <f>TEXT(WEEKDAY(DATE(КалендарнаГодина,9,9),1),"aaa")</f>
        <v>пон</v>
      </c>
      <c r="L5" s="2" t="str">
        <f>TEXT(WEEKDAY(DATE(КалендарнаГодина,9,10),1),"aaa")</f>
        <v>вт</v>
      </c>
      <c r="M5" s="2" t="str">
        <f>TEXT(WEEKDAY(DATE(КалендарнаГодина,9,11),1),"aaa")</f>
        <v>ср</v>
      </c>
      <c r="N5" s="2" t="str">
        <f>TEXT(WEEKDAY(DATE(КалендарнаГодина,9,12),1),"aaa")</f>
        <v>четв</v>
      </c>
      <c r="O5" s="2" t="str">
        <f>TEXT(WEEKDAY(DATE(КалендарнаГодина,9,13),1),"aaa")</f>
        <v>пет</v>
      </c>
      <c r="P5" s="2" t="str">
        <f>TEXT(WEEKDAY(DATE(КалендарнаГодина,9,14),1),"aaa")</f>
        <v>съб</v>
      </c>
      <c r="Q5" s="2" t="str">
        <f>TEXT(WEEKDAY(DATE(КалендарнаГодина,9,15),1),"aaa")</f>
        <v>нед</v>
      </c>
      <c r="R5" s="2" t="str">
        <f>TEXT(WEEKDAY(DATE(КалендарнаГодина,9,16),1),"aaa")</f>
        <v>пон</v>
      </c>
      <c r="S5" s="2" t="str">
        <f>TEXT(WEEKDAY(DATE(КалендарнаГодина,9,17),1),"aaa")</f>
        <v>вт</v>
      </c>
      <c r="T5" s="2" t="str">
        <f>TEXT(WEEKDAY(DATE(КалендарнаГодина,9,18),1),"aaa")</f>
        <v>ср</v>
      </c>
      <c r="U5" s="2" t="str">
        <f>TEXT(WEEKDAY(DATE(КалендарнаГодина,9,19),1),"aaa")</f>
        <v>четв</v>
      </c>
      <c r="V5" s="2" t="str">
        <f>TEXT(WEEKDAY(DATE(КалендарнаГодина,9,20),1),"aaa")</f>
        <v>пет</v>
      </c>
      <c r="W5" s="2" t="str">
        <f>TEXT(WEEKDAY(DATE(КалендарнаГодина,9,21),1),"aaa")</f>
        <v>съб</v>
      </c>
      <c r="X5" s="2" t="str">
        <f>TEXT(WEEKDAY(DATE(КалендарнаГодина,9,22),1),"aaa")</f>
        <v>нед</v>
      </c>
      <c r="Y5" s="2" t="str">
        <f>TEXT(WEEKDAY(DATE(КалендарнаГодина,9,23),1),"aaa")</f>
        <v>пон</v>
      </c>
      <c r="Z5" s="2" t="str">
        <f>TEXT(WEEKDAY(DATE(КалендарнаГодина,9,24),1),"aaa")</f>
        <v>вт</v>
      </c>
      <c r="AA5" s="2" t="str">
        <f>TEXT(WEEKDAY(DATE(КалендарнаГодина,9,25),1),"aaa")</f>
        <v>ср</v>
      </c>
      <c r="AB5" s="2" t="str">
        <f>TEXT(WEEKDAY(DATE(КалендарнаГодина,9,26),1),"aaa")</f>
        <v>четв</v>
      </c>
      <c r="AC5" s="2" t="str">
        <f>TEXT(WEEKDAY(DATE(КалендарнаГодина,9,27),1),"aaa")</f>
        <v>пет</v>
      </c>
      <c r="AD5" s="2" t="str">
        <f>TEXT(WEEKDAY(DATE(КалендарнаГодина,9,28),1),"aaa")</f>
        <v>съб</v>
      </c>
      <c r="AE5" s="2" t="str">
        <f>TEXT(WEEKDAY(DATE(КалендарнаГодина,9,29),1),"aaa")</f>
        <v>нед</v>
      </c>
      <c r="AF5" s="2" t="str">
        <f>TEXT(WEEKDAY(DATE(КалендарнаГодина,9,30),1),"aaa")</f>
        <v>пон</v>
      </c>
      <c r="AG5" s="2"/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52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COUNTA(Септември[[#This Row],[1]:[30]])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COUNTA(Септември[[#This Row],[1]:[30]])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COUNTA(Септември[[#This Row],[1]:[30]])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COUNTA(Септември[[#This Row],[1]:[30]])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COUNTA(Септември[[#This Row],[1]:[30]])</f>
        <v>0</v>
      </c>
    </row>
    <row r="12" spans="2:34" ht="30" customHeight="1" x14ac:dyDescent="0.25">
      <c r="B12" s="21" t="str">
        <f>ИмеМесец&amp;" Общо"</f>
        <v>Септември Общо</v>
      </c>
      <c r="C12" s="13">
        <f>SUBTOTAL(103,Септември[1])</f>
        <v>0</v>
      </c>
      <c r="D12" s="13">
        <f>SUBTOTAL(103,Септември[2])</f>
        <v>0</v>
      </c>
      <c r="E12" s="13">
        <f>SUBTOTAL(103,Септември[3])</f>
        <v>0</v>
      </c>
      <c r="F12" s="13">
        <f>SUBTOTAL(103,Септември[4])</f>
        <v>0</v>
      </c>
      <c r="G12" s="13">
        <f>SUBTOTAL(103,Септември[5])</f>
        <v>0</v>
      </c>
      <c r="H12" s="13">
        <f>SUBTOTAL(103,Септември[6])</f>
        <v>0</v>
      </c>
      <c r="I12" s="13">
        <f>SUBTOTAL(103,Септември[7])</f>
        <v>0</v>
      </c>
      <c r="J12" s="13">
        <f>SUBTOTAL(103,Септември[8])</f>
        <v>0</v>
      </c>
      <c r="K12" s="13">
        <f>SUBTOTAL(103,Септември[9])</f>
        <v>0</v>
      </c>
      <c r="L12" s="13">
        <f>SUBTOTAL(103,Септември[10])</f>
        <v>0</v>
      </c>
      <c r="M12" s="13">
        <f>SUBTOTAL(103,Септември[11])</f>
        <v>0</v>
      </c>
      <c r="N12" s="13">
        <f>SUBTOTAL(103,Септември[12])</f>
        <v>0</v>
      </c>
      <c r="O12" s="13">
        <f>SUBTOTAL(103,Септември[13])</f>
        <v>0</v>
      </c>
      <c r="P12" s="13">
        <f>SUBTOTAL(103,Септември[14])</f>
        <v>0</v>
      </c>
      <c r="Q12" s="13">
        <f>SUBTOTAL(103,Септември[15])</f>
        <v>0</v>
      </c>
      <c r="R12" s="13">
        <f>SUBTOTAL(103,Септември[16])</f>
        <v>0</v>
      </c>
      <c r="S12" s="13">
        <f>SUBTOTAL(103,Септември[17])</f>
        <v>0</v>
      </c>
      <c r="T12" s="13">
        <f>SUBTOTAL(103,Септември[18])</f>
        <v>0</v>
      </c>
      <c r="U12" s="13">
        <f>SUBTOTAL(103,Септември[19])</f>
        <v>0</v>
      </c>
      <c r="V12" s="13">
        <f>SUBTOTAL(103,Септември[20])</f>
        <v>0</v>
      </c>
      <c r="W12" s="13">
        <f>SUBTOTAL(103,Септември[21])</f>
        <v>0</v>
      </c>
      <c r="X12" s="13">
        <f>SUBTOTAL(103,Септември[22])</f>
        <v>0</v>
      </c>
      <c r="Y12" s="13">
        <f>SUBTOTAL(103,Септември[23])</f>
        <v>0</v>
      </c>
      <c r="Z12" s="13">
        <f>SUBTOTAL(103,Септември[24])</f>
        <v>0</v>
      </c>
      <c r="AA12" s="13">
        <f>SUBTOTAL(103,Септември[25])</f>
        <v>0</v>
      </c>
      <c r="AB12" s="13">
        <f>SUBTOTAL(103,Септември[26])</f>
        <v>0</v>
      </c>
      <c r="AC12" s="13">
        <f>SUBTOTAL(103,Септември[27])</f>
        <v>0</v>
      </c>
      <c r="AD12" s="13">
        <f>SUBTOTAL(103,Септември[28])</f>
        <v>0</v>
      </c>
      <c r="AE12" s="13">
        <f>SUBTOTAL(103,Септември[29])</f>
        <v>0</v>
      </c>
      <c r="AF12" s="13">
        <f>SUBTOTAL(103,Септември[30])</f>
        <v>0</v>
      </c>
      <c r="AG12" s="13">
        <f>SUBTOTAL(103,Септември[[ ]])</f>
        <v>0</v>
      </c>
      <c r="AH12" s="13">
        <f>SUBTOTAL(109,Септември[Общо дни])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19" priority="2" stopIfTrue="1">
      <formula>C7=КлючПоИзбор2</formula>
    </cfRule>
    <cfRule type="expression" dxfId="18" priority="3" stopIfTrue="1">
      <formula>C7=КлючПоИзбор1</formula>
    </cfRule>
    <cfRule type="expression" dxfId="17" priority="4" stopIfTrue="1">
      <formula>C7=КлючБолест</formula>
    </cfRule>
    <cfRule type="expression" dxfId="16" priority="5" stopIfTrue="1">
      <formula>C7=КлючЛични</formula>
    </cfRule>
    <cfRule type="expression" dxfId="15" priority="6" stopIfTrue="1">
      <formula>C7=КлючОтпуск</formula>
    </cfRule>
  </conditionalFormatting>
  <conditionalFormatting sqref="AH7:AH11">
    <cfRule type="dataBar" priority="7">
      <dataBar>
        <cfvo type="min"/>
        <cfvo type="formula" val="DATEDIF(DATE(КалендарнаГодина,2,1),DATE(КалендарнаГодина,3,1),&quot;d&quot;)"/>
        <color theme="2" tint="-0.249977111117893"/>
      </dataBar>
      <extLst>
        <ext xmlns:x14="http://schemas.microsoft.com/office/spreadsheetml/2009/9/main" uri="{B025F937-C7B1-47D3-B67F-A62EFF666E3E}">
          <x14:id>{1A021984-06A1-41D9-90D2-8C16E885020B}</x14:id>
        </ext>
      </extLst>
    </cfRule>
  </conditionalFormatting>
  <dataValidations count="14">
    <dataValidation allowBlank="1" showInputMessage="1" showErrorMessage="1" prompt="Дните от месеца в този ред се генерират автоматично. Въведете отсъствията на служителя и типа отсъствие във всяка колона за всеки ден от месеца. Празно означава без отсъствия" sqref="C6" xr:uid="{00000000-0002-0000-0800-000000000000}"/>
    <dataValidation allowBlank="1" showInputMessage="1" showErrorMessage="1" prompt="Името на месец за този график за отсъствие е в тази клетка. Общите суми за отсъствия за този месец са в последната клетка на таблицата. Изберете имена на служители в колона в таблица B" sqref="B4" xr:uid="{00000000-0002-0000-0800-000001000000}"/>
    <dataValidation allowBlank="1" showInputMessage="1" showErrorMessage="1" prompt="Този ред определя ключовете, използвани в таблицата: клетка C2 е &quot;Годишен отпуск&quot;, G2 е &quot;Лични причини&quot;, а K2 е &quot;Отпуск по болест&quot;. Клетки N2 и R2 могат да се персонализират" sqref="B2" xr:uid="{00000000-0002-0000-0800-000002000000}"/>
    <dataValidation allowBlank="1" showInputMessage="1" showErrorMessage="1" prompt="Въведете етикет, за да опишете ключа по избор вляво" sqref="O2:Q2 S2:U2" xr:uid="{00000000-0002-0000-0800-000003000000}"/>
    <dataValidation allowBlank="1" showInputMessage="1" showErrorMessage="1" prompt="Въведете буква и персонализирайте етикета вдясно, за да добавите друг ключ" sqref="N2 R2" xr:uid="{00000000-0002-0000-0800-000004000000}"/>
    <dataValidation allowBlank="1" showInputMessage="1" showErrorMessage="1" prompt="Буквата &quot;Б&quot; обозначава отсъствие поради болест" sqref="K2" xr:uid="{00000000-0002-0000-0800-000005000000}"/>
    <dataValidation allowBlank="1" showInputMessage="1" showErrorMessage="1" prompt="Буквата &quot;Л&quot; обозначава отсъствие поради лични причини" sqref="G2" xr:uid="{00000000-0002-0000-0800-000006000000}"/>
    <dataValidation allowBlank="1" showInputMessage="1" showErrorMessage="1" prompt="Буквата &quot;О&quot; обозначава отсъствие поради годишен отпуск" sqref="C2" xr:uid="{00000000-0002-0000-0800-000007000000}"/>
    <dataValidation allowBlank="1" showInputMessage="1" showErrorMessage="1" prompt="Автоматично актуализираното заглавие е в тази клетка. За да промените заглавието, актуализирайте В1 в работния лист за януари" sqref="B1" xr:uid="{00000000-0002-0000-0800-000008000000}"/>
    <dataValidation errorStyle="warning" allowBlank="1" showInputMessage="1" showErrorMessage="1" error="Изберете име от списъка. Изберете &quot;ОТКАЗ&quot;, след което натиснете ALT+СТРЕЛКА НАДОЛУ и ENTER, за да изберете име" prompt="Въведете имената на служителите в работния лист &quot;Имена на служителите&quot; и след това изберете едно от тези имена от списъка в тази колона. Натиснете ALT+СТРЕЛКА НАДОЛУ и ENTER, за да изберете име" sqref="B6" xr:uid="{00000000-0002-0000-0800-000009000000}"/>
    <dataValidation allowBlank="1" showInputMessage="1" showErrorMessage="1" prompt="Проследявайте отсъствията през септември в този работен лист" sqref="A1" xr:uid="{00000000-0002-0000-0800-00000A000000}"/>
    <dataValidation allowBlank="1" showInputMessage="1" showErrorMessage="1" prompt="В тази колона се изчислява автоматично общият брой дни, в които служителят е отсъствал през този месец" sqref="AH6" xr:uid="{00000000-0002-0000-0800-00000B000000}"/>
    <dataValidation allowBlank="1" showInputMessage="1" showErrorMessage="1" prompt="Автоматично актуализирана година въз основа на годината, въведена в работния лист за януари." sqref="AH4" xr:uid="{00000000-0002-0000-0800-00000C000000}"/>
    <dataValidation allowBlank="1" showInputMessage="1" showErrorMessage="1" prompt="Дните от седмицата в този ред се актуализират автоматично за месеца в зависимост от годината в AH4. Всеки ден от месеца е колона, която отбелязва отсъствие и тип на отсъствие на служителя" sqref="C5" xr:uid="{00000000-0002-0000-08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A021984-06A1-41D9-90D2-8C16E885020B}">
            <x14:dataBar minLength="0" maxLength="100">
              <x14:cfvo type="autoMin"/>
              <x14:cfvo type="formula">
                <xm:f>DATEDIF(DATE(КалендарнаГодина,2,1),DATE(КалендарнаГодина,3,1),"d")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E000000}">
          <x14:formula1>
            <xm:f>'Имена на служителите'!$B$4:$B$8</xm:f>
          </x14:formula1>
          <xm:sqref>B7:B11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Работни листове</vt:lpstr>
      </vt:variant>
      <vt:variant>
        <vt:i4>13</vt:i4>
      </vt:variant>
      <vt:variant>
        <vt:lpstr>Наименувани диапазони</vt:lpstr>
      </vt:variant>
      <vt:variant>
        <vt:i4>50</vt:i4>
      </vt:variant>
    </vt:vector>
  </HeadingPairs>
  <TitlesOfParts>
    <vt:vector size="63" baseType="lpstr">
      <vt:lpstr>Януари</vt:lpstr>
      <vt:lpstr>Февруари</vt:lpstr>
      <vt:lpstr>Март</vt:lpstr>
      <vt:lpstr>Април</vt:lpstr>
      <vt:lpstr>Май</vt:lpstr>
      <vt:lpstr>Юни</vt:lpstr>
      <vt:lpstr>Юли</vt:lpstr>
      <vt:lpstr>Август</vt:lpstr>
      <vt:lpstr>Септември</vt:lpstr>
      <vt:lpstr>Октомври</vt:lpstr>
      <vt:lpstr>Ноември</vt:lpstr>
      <vt:lpstr>Декември</vt:lpstr>
      <vt:lpstr>Имена на служителите</vt:lpstr>
      <vt:lpstr>ЕтикетКлючБолест</vt:lpstr>
      <vt:lpstr>ЕтикетКлючЛични</vt:lpstr>
      <vt:lpstr>ЕтикетКлючОтпуск</vt:lpstr>
      <vt:lpstr>ЕтикетНаКлючПоИзбор1</vt:lpstr>
      <vt:lpstr>ЕтикетНаКлючПоИзбор2</vt:lpstr>
      <vt:lpstr>Заглавие_отсъствия_служители</vt:lpstr>
      <vt:lpstr>Заглавие1</vt:lpstr>
      <vt:lpstr>Заглавие10</vt:lpstr>
      <vt:lpstr>Заглавие11</vt:lpstr>
      <vt:lpstr>Заглавие12</vt:lpstr>
      <vt:lpstr>Заглавие2</vt:lpstr>
      <vt:lpstr>Заглавие3</vt:lpstr>
      <vt:lpstr>Заглавие4</vt:lpstr>
      <vt:lpstr>Заглавие5</vt:lpstr>
      <vt:lpstr>Заглавие6</vt:lpstr>
      <vt:lpstr>Заглавие7</vt:lpstr>
      <vt:lpstr>Заглавие8</vt:lpstr>
      <vt:lpstr>Заглавие9</vt:lpstr>
      <vt:lpstr>ЗаглавиеКолона13</vt:lpstr>
      <vt:lpstr>Име_ключ</vt:lpstr>
      <vt:lpstr>Август!ИмеМесец</vt:lpstr>
      <vt:lpstr>Април!ИмеМесец</vt:lpstr>
      <vt:lpstr>Декември!ИмеМесец</vt:lpstr>
      <vt:lpstr>Май!ИмеМесец</vt:lpstr>
      <vt:lpstr>Март!ИмеМесец</vt:lpstr>
      <vt:lpstr>Ноември!ИмеМесец</vt:lpstr>
      <vt:lpstr>Октомври!ИмеМесец</vt:lpstr>
      <vt:lpstr>Септември!ИмеМесец</vt:lpstr>
      <vt:lpstr>Февруари!ИмеМесец</vt:lpstr>
      <vt:lpstr>Юли!ИмеМесец</vt:lpstr>
      <vt:lpstr>Юни!ИмеМесец</vt:lpstr>
      <vt:lpstr>Януари!ИмеМесец</vt:lpstr>
      <vt:lpstr>КалендарнаГодина</vt:lpstr>
      <vt:lpstr>КлючБолест</vt:lpstr>
      <vt:lpstr>КлючЛични</vt:lpstr>
      <vt:lpstr>КлючОтпуск</vt:lpstr>
      <vt:lpstr>КлючПоИзбор1</vt:lpstr>
      <vt:lpstr>КлючПоИзбор2</vt:lpstr>
      <vt:lpstr>Август!Печат_заглавия</vt:lpstr>
      <vt:lpstr>Април!Печат_заглавия</vt:lpstr>
      <vt:lpstr>Декември!Печат_заглавия</vt:lpstr>
      <vt:lpstr>Май!Печат_заглавия</vt:lpstr>
      <vt:lpstr>Март!Печат_заглавия</vt:lpstr>
      <vt:lpstr>Ноември!Печат_заглавия</vt:lpstr>
      <vt:lpstr>Октомври!Печат_заглавия</vt:lpstr>
      <vt:lpstr>Септември!Печат_заглавия</vt:lpstr>
      <vt:lpstr>Февруари!Печат_заглавия</vt:lpstr>
      <vt:lpstr>Юли!Печат_заглавия</vt:lpstr>
      <vt:lpstr>Юни!Печат_заглавия</vt:lpstr>
      <vt:lpstr>Януари!Печат_заглавия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2016-12-06T04:52:27Z</dcterms:created>
  <dcterms:modified xsi:type="dcterms:W3CDTF">2019-07-24T02:43:42Z</dcterms:modified>
</cp:coreProperties>
</file>