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DChludil\work\100391\2070\target\"/>
    </mc:Choice>
  </mc:AlternateContent>
  <bookViews>
    <workbookView xWindow="0" yWindow="0" windowWidth="25200" windowHeight="11925"/>
  </bookViews>
  <sheets>
    <sheet name="Introdução de Dados" sheetId="1" r:id="rId1"/>
    <sheet name="Relatório de Vendas" sheetId="7" r:id="rId2"/>
    <sheet name="Previsão de Vendas" sheetId="5" r:id="rId3"/>
  </sheets>
  <externalReferences>
    <externalReference r:id="rId4"/>
  </externalReferences>
  <definedNames>
    <definedName name="_xlnm.Print_Area" localSheetId="2">'Previsão de Vendas'!$B$2:$J$43</definedName>
    <definedName name="DataDaPrevisão">'Previsão de Vendas'!$D$3</definedName>
    <definedName name="fAno">'Previsão de Vendas'!$I$2</definedName>
    <definedName name="fData">'Previsão de Vendas'!$D$3</definedName>
    <definedName name="fDate">'[1]Sales Forecast'!$D$3</definedName>
    <definedName name="fDia">'Previsão de Vendas'!$H$2</definedName>
    <definedName name="fMês">'Previsão de Vendas'!$G$2</definedName>
    <definedName name="fYear">'[1]Sales Forecast'!$I$2</definedName>
    <definedName name="_xlnm.Print_Titles" localSheetId="1">'Relatório de Vendas'!$B:$E,'Relatório de Vendas'!$5:$5</definedName>
  </definedNames>
  <calcPr calcId="152511"/>
  <pivotCaches>
    <pivotCache cacheId="26" r:id="rId5"/>
  </pivotCaches>
</workbook>
</file>

<file path=xl/calcChain.xml><?xml version="1.0" encoding="utf-8"?>
<calcChain xmlns="http://schemas.openxmlformats.org/spreadsheetml/2006/main">
  <c r="B3" i="5" l="1"/>
  <c r="N7" i="1" l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6" i="1"/>
  <c r="O7" i="1" s="1"/>
  <c r="J6" i="1"/>
  <c r="Q6" i="1" s="1"/>
  <c r="J7" i="1"/>
  <c r="Q7" i="1" s="1"/>
  <c r="J8" i="1"/>
  <c r="Q8" i="1" s="1"/>
  <c r="J9" i="1"/>
  <c r="Q9" i="1" s="1"/>
  <c r="J10" i="1"/>
  <c r="Q10" i="1" s="1"/>
  <c r="J11" i="1"/>
  <c r="Q11" i="1" s="1"/>
  <c r="J12" i="1"/>
  <c r="Q12" i="1" s="1"/>
  <c r="J13" i="1"/>
  <c r="Q13" i="1" s="1"/>
  <c r="J14" i="1"/>
  <c r="Q14" i="1" s="1"/>
  <c r="J15" i="1"/>
  <c r="Q15" i="1" s="1"/>
  <c r="J16" i="1"/>
  <c r="Q16" i="1" s="1"/>
  <c r="J17" i="1"/>
  <c r="Q17" i="1" s="1"/>
  <c r="J18" i="1"/>
  <c r="Q18" i="1" s="1"/>
  <c r="J19" i="1"/>
  <c r="Q19" i="1" s="1"/>
  <c r="J20" i="1"/>
  <c r="Q20" i="1" s="1"/>
  <c r="J21" i="1"/>
  <c r="Q21" i="1" s="1"/>
  <c r="J22" i="1"/>
  <c r="Q22" i="1" s="1"/>
  <c r="J23" i="1"/>
  <c r="Q23" i="1" s="1"/>
  <c r="J24" i="1"/>
  <c r="Q24" i="1" s="1"/>
  <c r="I8" i="1"/>
  <c r="I12" i="1"/>
  <c r="I16" i="1"/>
  <c r="I20" i="1"/>
  <c r="I24" i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I15" i="1" s="1"/>
  <c r="H16" i="1"/>
  <c r="H17" i="1"/>
  <c r="I17" i="1" s="1"/>
  <c r="H18" i="1"/>
  <c r="I18" i="1" s="1"/>
  <c r="H19" i="1"/>
  <c r="I19" i="1" s="1"/>
  <c r="H20" i="1"/>
  <c r="H21" i="1"/>
  <c r="I21" i="1" s="1"/>
  <c r="H22" i="1"/>
  <c r="I22" i="1" s="1"/>
  <c r="H23" i="1"/>
  <c r="I23" i="1" s="1"/>
  <c r="H24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6" i="1"/>
  <c r="M22" i="1" l="1"/>
  <c r="M18" i="1"/>
  <c r="M14" i="1"/>
  <c r="M10" i="1"/>
  <c r="M23" i="1"/>
  <c r="M21" i="1"/>
  <c r="M19" i="1"/>
  <c r="M17" i="1"/>
  <c r="M15" i="1"/>
  <c r="M13" i="1"/>
  <c r="M11" i="1"/>
  <c r="M9" i="1"/>
  <c r="M7" i="1"/>
  <c r="M20" i="1"/>
  <c r="M16" i="1"/>
  <c r="M12" i="1"/>
  <c r="M8" i="1"/>
  <c r="M24" i="1"/>
  <c r="M6" i="1"/>
  <c r="P23" i="1" s="1"/>
  <c r="O8" i="1"/>
  <c r="O10" i="1"/>
  <c r="O12" i="1"/>
  <c r="O14" i="1"/>
  <c r="O16" i="1"/>
  <c r="O18" i="1"/>
  <c r="O20" i="1"/>
  <c r="O22" i="1"/>
  <c r="O24" i="1"/>
  <c r="O6" i="1"/>
  <c r="O23" i="1"/>
  <c r="O21" i="1"/>
  <c r="O19" i="1"/>
  <c r="O17" i="1"/>
  <c r="O15" i="1"/>
  <c r="O13" i="1"/>
  <c r="O11" i="1"/>
  <c r="O9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J1" i="1"/>
  <c r="P24" i="1" l="1"/>
  <c r="P10" i="1"/>
  <c r="P14" i="1"/>
  <c r="P18" i="1"/>
  <c r="P22" i="1"/>
  <c r="P6" i="1"/>
  <c r="P8" i="1"/>
  <c r="P12" i="1"/>
  <c r="P16" i="1"/>
  <c r="P20" i="1"/>
  <c r="P7" i="1"/>
  <c r="P9" i="1"/>
  <c r="P11" i="1"/>
  <c r="P13" i="1"/>
  <c r="P15" i="1"/>
  <c r="P17" i="1"/>
  <c r="P19" i="1"/>
  <c r="P21" i="1"/>
  <c r="D3" i="5"/>
  <c r="F14" i="5" l="1"/>
  <c r="I14" i="5"/>
  <c r="D14" i="5"/>
  <c r="H7" i="5"/>
  <c r="H8" i="5"/>
  <c r="G8" i="5"/>
  <c r="G10" i="5"/>
  <c r="G6" i="5"/>
  <c r="G7" i="5"/>
  <c r="D7" i="5"/>
  <c r="D8" i="5"/>
  <c r="C8" i="5"/>
  <c r="C10" i="5"/>
  <c r="C6" i="5"/>
  <c r="C7" i="5"/>
  <c r="J7" i="5" l="1"/>
  <c r="G9" i="5"/>
  <c r="H9" i="5"/>
  <c r="J8" i="5"/>
  <c r="G11" i="5"/>
  <c r="I8" i="5"/>
  <c r="I7" i="5"/>
  <c r="J9" i="5" l="1"/>
  <c r="F7" i="5"/>
  <c r="C11" i="5"/>
  <c r="F8" i="5"/>
  <c r="D9" i="5"/>
  <c r="C9" i="5"/>
  <c r="E8" i="5"/>
  <c r="E7" i="5"/>
  <c r="F9" i="5" l="1"/>
</calcChain>
</file>

<file path=xl/sharedStrings.xml><?xml version="1.0" encoding="utf-8"?>
<sst xmlns="http://schemas.openxmlformats.org/spreadsheetml/2006/main" count="94" uniqueCount="57">
  <si>
    <t>A. Datum Corporation</t>
  </si>
  <si>
    <t>Farmacêutica Contoso</t>
  </si>
  <si>
    <t>Mensageiro Consolidado</t>
  </si>
  <si>
    <t>Proseware, Inc.</t>
  </si>
  <si>
    <t>Escola de Belas Artes</t>
  </si>
  <si>
    <t>Trey Research</t>
  </si>
  <si>
    <t>Total Geral</t>
  </si>
  <si>
    <t>%</t>
  </si>
  <si>
    <t>Quantidade</t>
  </si>
  <si>
    <t>Receitas</t>
  </si>
  <si>
    <t>Margem</t>
  </si>
  <si>
    <t>Número de Encomendas</t>
  </si>
  <si>
    <t>Valor Médio de Encomendas</t>
  </si>
  <si>
    <t>Vendas</t>
  </si>
  <si>
    <t>% DO EXERCÍCIO</t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</si>
  <si>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INTRODUÇÃO DE DADOS</t>
    </r>
  </si>
  <si>
    <t>MÊS</t>
  </si>
  <si>
    <t>TRIMESTRE</t>
  </si>
  <si>
    <t xml:space="preserve">MÊS </t>
  </si>
  <si>
    <t xml:space="preserve">TRIMESTRE </t>
  </si>
  <si>
    <t xml:space="preserve">ANUALMENTE </t>
  </si>
  <si>
    <t>ANO</t>
  </si>
  <si>
    <t xml:space="preserve">ANO </t>
  </si>
  <si>
    <t>DATA</t>
  </si>
  <si>
    <t>EMPRESA</t>
  </si>
  <si>
    <t>MONTANTE</t>
  </si>
  <si>
    <t>PLANEADO</t>
  </si>
  <si>
    <t>CUSTO</t>
  </si>
  <si>
    <t>RECEITAS</t>
  </si>
  <si>
    <t>NÚM MÊS (OCULTAR)</t>
  </si>
  <si>
    <t>PREVISÃO</t>
  </si>
  <si>
    <t>TOTAIS</t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</si>
  <si>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PREVISÃO DE VENDAS</t>
    </r>
  </si>
  <si>
    <t>ESTE MÊS</t>
  </si>
  <si>
    <t>REAL</t>
  </si>
  <si>
    <t>PLANO</t>
  </si>
  <si>
    <t>VARIÂNCIA</t>
  </si>
  <si>
    <t>EXERCÍCIO REAL</t>
  </si>
  <si>
    <t>PLANO DO EXERCÍCIO</t>
  </si>
  <si>
    <t>VARIÂNCIA DO EXERCÍCIO</t>
  </si>
  <si>
    <t>MÊS SEGUINTE</t>
  </si>
  <si>
    <t>TRIMESTRE SEGUINTE</t>
  </si>
  <si>
    <t>ANO SEGUINTE</t>
  </si>
  <si>
    <t>HISTÓRICO DE VENDAS</t>
  </si>
  <si>
    <t>PREVISÃO ANUAL</t>
  </si>
  <si>
    <t>FLUXO DE RECEITAS</t>
  </si>
  <si>
    <t>PREVISÃO MENSAL</t>
  </si>
  <si>
    <t>PREVISÃO TRIMESTRAL</t>
  </si>
  <si>
    <r>
      <rPr>
        <sz val="22"/>
        <color theme="3"/>
        <rFont val="Arial Black"/>
        <family val="2"/>
        <scheme val="major"/>
      </rPr>
      <t xml:space="preserve">MENSAL </t>
    </r>
    <r>
      <rPr>
        <sz val="22"/>
        <color theme="4"/>
        <rFont val="Arial"/>
        <family val="2"/>
        <scheme val="minor"/>
      </rPr>
      <t>RELATÓRIO DE VENDAS</t>
    </r>
  </si>
  <si>
    <t xml:space="preserve"> </t>
  </si>
  <si>
    <t xml:space="preserve">MÊS  </t>
  </si>
  <si>
    <t xml:space="preserve">TRIMESTRE  </t>
  </si>
  <si>
    <t>Soma de MONTANTE</t>
  </si>
  <si>
    <t>Trimestre 2 Total</t>
  </si>
  <si>
    <t>Trimestre 3 Total</t>
  </si>
  <si>
    <t>Trimestre 4 Total</t>
  </si>
  <si>
    <t>2013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</si>
</sst>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&quot;$&quot;#,##0.00"/>
    <numFmt numFmtId="165" formatCode="mmmm"/>
    <numFmt numFmtId="166" formatCode="&quot;Trimestre &quot;0"/>
    <numFmt numFmtId="167" formatCode="#,##0.00\ &quot;€&quot;"/>
    <numFmt numFmtId="168" formatCode="dd\-mm\-yyyy"/>
  </numFmts>
  <fonts count="18" x14ac:knownFonts="1">
    <font>
      <sz val="8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22"/>
      <name val="Arial Black"/>
      <family val="1"/>
      <scheme val="major"/>
    </font>
    <font>
      <sz val="22"/>
      <color theme="4"/>
      <name val="Arial"/>
      <family val="2"/>
      <scheme val="minor"/>
    </font>
    <font>
      <sz val="22"/>
      <color theme="3"/>
      <name val="Arial Black"/>
      <family val="2"/>
      <scheme val="major"/>
    </font>
    <font>
      <sz val="10"/>
      <color theme="5"/>
      <name val="Arial"/>
      <family val="2"/>
      <scheme val="minor"/>
    </font>
    <font>
      <b/>
      <sz val="10"/>
      <color theme="5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sz val="8"/>
      <color theme="3"/>
      <name val="Arial"/>
      <family val="2"/>
      <scheme val="minor"/>
    </font>
    <font>
      <sz val="6"/>
      <color theme="3"/>
      <name val="Arial"/>
      <family val="2"/>
      <scheme val="minor"/>
    </font>
    <font>
      <sz val="10"/>
      <color theme="0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 Black"/>
      <family val="2"/>
      <scheme val="major"/>
    </font>
    <font>
      <u/>
      <sz val="8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 style="thin">
        <color theme="3" tint="0.79998168889431442"/>
      </bottom>
      <diagonal/>
    </border>
    <border>
      <left/>
      <right/>
      <top style="thin">
        <color theme="3" tint="0.59996337778862885"/>
      </top>
      <bottom/>
      <diagonal/>
    </border>
    <border>
      <left/>
      <right/>
      <top/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</borders>
  <cellStyleXfs count="5">
    <xf numFmtId="0" fontId="0" fillId="0" borderId="0">
      <alignment vertical="center"/>
    </xf>
    <xf numFmtId="43" fontId="1" fillId="0" borderId="0" applyFont="0" applyFill="0" applyBorder="0" applyAlignment="0" applyProtection="0"/>
    <xf numFmtId="0" fontId="6" fillId="0" borderId="0" applyNumberFormat="0" applyFill="0" applyProtection="0">
      <alignment vertical="center"/>
    </xf>
    <xf numFmtId="0" fontId="5" fillId="0" borderId="0" applyNumberFormat="0" applyFill="0" applyProtection="0">
      <alignment vertical="center"/>
    </xf>
    <xf numFmtId="0" fontId="7" fillId="0" borderId="0" applyNumberFormat="0" applyFill="0" applyBorder="0" applyAlignment="0" applyProtection="0"/>
  </cellStyleXfs>
  <cellXfs count="6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Continuous"/>
    </xf>
    <xf numFmtId="0" fontId="11" fillId="0" borderId="2" xfId="0" applyFont="1" applyFill="1" applyBorder="1" applyAlignment="1">
      <alignment horizontal="left" vertical="center"/>
    </xf>
    <xf numFmtId="0" fontId="9" fillId="0" borderId="2" xfId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left" vertical="center"/>
    </xf>
    <xf numFmtId="10" fontId="9" fillId="0" borderId="2" xfId="0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10" fontId="9" fillId="5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Fill="1" applyBorder="1" applyAlignment="1">
      <alignment horizontal="left" vertical="center"/>
    </xf>
    <xf numFmtId="14" fontId="13" fillId="0" borderId="0" xfId="0" applyNumberFormat="1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7" fillId="0" borderId="4" xfId="4" applyNumberFormat="1" applyFill="1" applyBorder="1" applyAlignment="1">
      <alignment horizontal="left" vertical="center"/>
    </xf>
    <xf numFmtId="164" fontId="7" fillId="0" borderId="4" xfId="4" applyNumberForma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7" fillId="0" borderId="4" xfId="4" applyBorder="1" applyAlignment="1">
      <alignment horizontal="left" vertical="center"/>
    </xf>
    <xf numFmtId="0" fontId="9" fillId="5" borderId="2" xfId="1" applyNumberFormat="1" applyFont="1" applyFill="1" applyBorder="1" applyAlignment="1">
      <alignment horizontal="left" vertical="center" indent="1"/>
    </xf>
    <xf numFmtId="10" fontId="9" fillId="5" borderId="1" xfId="0" applyNumberFormat="1" applyFont="1" applyFill="1" applyBorder="1" applyAlignment="1">
      <alignment horizontal="left" vertical="center" indent="1"/>
    </xf>
    <xf numFmtId="0" fontId="9" fillId="5" borderId="1" xfId="0" applyFont="1" applyFill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left" vertical="center" indent="1"/>
    </xf>
    <xf numFmtId="164" fontId="7" fillId="0" borderId="4" xfId="4" applyNumberFormat="1" applyFill="1" applyBorder="1" applyAlignment="1">
      <alignment horizontal="left" vertical="center" indent="1"/>
    </xf>
    <xf numFmtId="0" fontId="8" fillId="0" borderId="4" xfId="4" applyFont="1" applyFill="1" applyBorder="1" applyAlignment="1">
      <alignment horizontal="left" vertical="center"/>
    </xf>
    <xf numFmtId="167" fontId="9" fillId="5" borderId="1" xfId="0" applyNumberFormat="1" applyFont="1" applyFill="1" applyBorder="1" applyAlignment="1">
      <alignment horizontal="left" vertical="center" indent="1"/>
    </xf>
    <xf numFmtId="167" fontId="11" fillId="0" borderId="3" xfId="0" applyNumberFormat="1" applyFont="1" applyBorder="1" applyAlignment="1">
      <alignment horizontal="left"/>
    </xf>
    <xf numFmtId="0" fontId="1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horizontal="left" vertical="center"/>
    </xf>
    <xf numFmtId="167" fontId="0" fillId="5" borderId="0" xfId="0" applyNumberFormat="1" applyFill="1" applyAlignment="1">
      <alignment horizontal="left" vertical="center"/>
    </xf>
    <xf numFmtId="165" fontId="0" fillId="5" borderId="0" xfId="0" applyNumberFormat="1" applyFill="1" applyAlignment="1">
      <alignment horizontal="left" vertical="center"/>
    </xf>
    <xf numFmtId="166" fontId="0" fillId="5" borderId="0" xfId="0" applyNumberFormat="1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7" fontId="0" fillId="4" borderId="0" xfId="0" applyNumberFormat="1" applyFill="1" applyAlignment="1">
      <alignment horizontal="left" vertical="center"/>
    </xf>
    <xf numFmtId="167" fontId="0" fillId="3" borderId="0" xfId="0" applyNumberFormat="1" applyFill="1" applyAlignment="1">
      <alignment horizontal="left" vertical="center"/>
    </xf>
    <xf numFmtId="168" fontId="10" fillId="0" borderId="0" xfId="0" applyNumberFormat="1" applyFont="1" applyAlignment="1">
      <alignment horizontal="left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10" fillId="0" borderId="0" xfId="0" applyFont="1">
      <alignment vertical="center"/>
    </xf>
    <xf numFmtId="0" fontId="17" fillId="0" borderId="0" xfId="0" applyFont="1" applyBorder="1">
      <alignment vertical="center"/>
    </xf>
    <xf numFmtId="166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6" fillId="0" borderId="0" xfId="0" pivotButton="1" applyFont="1">
      <alignment vertical="center"/>
    </xf>
    <xf numFmtId="167" fontId="10" fillId="0" borderId="0" xfId="0" applyNumberFormat="1" applyFont="1">
      <alignment vertical="center"/>
    </xf>
    <xf numFmtId="0" fontId="0" fillId="0" borderId="0" xfId="0" applyFont="1">
      <alignment vertical="center"/>
    </xf>
  </cellXfs>
  <cellStyles count="5">
    <cellStyle name="Cabeçalho 1" xfId="2" builtinId="16" customBuiltin="1"/>
    <cellStyle name="Cabeçalho 2" xfId="3" builtinId="17" customBuiltin="1"/>
    <cellStyle name="Cabeçalho 4" xfId="4" builtinId="19" customBuiltin="1"/>
    <cellStyle name="Normal" xfId="0" builtinId="0" customBuiltin="1"/>
    <cellStyle name="Vírgula" xfId="1" builtinId="3"/>
  </cellStyles>
  <dxfs count="70">
    <dxf>
      <numFmt numFmtId="167" formatCode="#,##0.00\ &quot;€&quot;"/>
    </dxf>
    <dxf>
      <alignment horizontal="left" readingOrder="0"/>
    </dxf>
    <dxf>
      <alignment horizontal="left" readingOrder="0"/>
    </dxf>
    <dxf>
      <alignment horizontal="left" readingOrder="0"/>
    </dxf>
    <dxf>
      <font>
        <sz val="10"/>
      </font>
    </dxf>
    <dxf>
      <alignment horizontal="right" readingOrder="0"/>
    </dxf>
    <dxf>
      <font>
        <sz val="10"/>
      </font>
    </dxf>
    <dxf>
      <font>
        <name val="Arial Black"/>
        <scheme val="major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Arial Black"/>
        <scheme val="major"/>
      </font>
    </dxf>
    <dxf>
      <font>
        <sz val="10"/>
      </font>
    </dxf>
    <dxf>
      <alignment horizontal="right" readingOrder="0"/>
    </dxf>
    <dxf>
      <font>
        <sz val="10"/>
      </font>
    </dxf>
    <dxf>
      <alignment horizontal="left" readingOrder="0"/>
    </dxf>
    <dxf>
      <alignment horizontal="left" readingOrder="0"/>
    </dxf>
    <dxf>
      <alignment horizontal="left" readingOrder="0"/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 val="0"/>
        <i val="0"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border>
        <left/>
        <right/>
        <top style="thin">
          <color theme="3" tint="0.79998168889431442"/>
        </top>
        <bottom/>
        <vertical/>
        <horizontal/>
      </border>
    </dxf>
    <dxf>
      <font>
        <b/>
        <i/>
        <color theme="3"/>
      </font>
      <border>
        <left/>
        <right/>
        <top/>
        <bottom style="thin">
          <color theme="3" tint="0.79998168889431442"/>
        </bottom>
        <vertical/>
        <horizontal/>
      </border>
    </dxf>
    <dxf>
      <font>
        <b/>
      </font>
    </dxf>
    <dxf>
      <font>
        <b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 Black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5"/>
        <name val="Arial"/>
        <scheme val="minor"/>
      </font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  <dxf>
      <numFmt numFmtId="167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59999389629810485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6" formatCode="&quot;Trimestre &quot;0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5" formatCode="mmmm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numFmt numFmtId="167" formatCode="#,##0.00\ &quot;€&quot;"/>
      <fill>
        <patternFill patternType="solid">
          <fgColor indexed="64"/>
          <bgColor theme="4" tint="0.39997558519241921"/>
        </patternFill>
      </fill>
      <alignment horizontal="left" vertical="center" textRotation="0" wrapText="0" indent="0" justifyLastLine="0" shrinkToFit="0" readingOrder="0"/>
    </dxf>
    <dxf>
      <font>
        <b/>
      </font>
      <numFmt numFmtId="167" formatCode="#,##0.00\ &quot;€&quot;"/>
      <alignment horizontal="left" vertical="center" textRotation="0" wrapText="0" indent="0" justifyLastLine="0" shrinkToFit="0" readingOrder="0"/>
    </dxf>
    <dxf>
      <font>
        <b/>
      </font>
      <numFmt numFmtId="167" formatCode="#,##0.00\ &quot;€&quot;"/>
      <alignment horizontal="left" vertical="center" textRotation="0" wrapText="0" indent="0" justifyLastLine="0" shrinkToFit="0" readingOrder="0"/>
    </dxf>
    <dxf>
      <font>
        <b/>
      </font>
      <numFmt numFmtId="167" formatCode="#,##0.00\ &quot;€&quot;"/>
      <alignment horizontal="left" vertical="center" textRotation="0" wrapText="0" indent="0" justifyLastLine="0" shrinkToFit="0" readingOrder="0"/>
    </dxf>
    <dxf>
      <font>
        <b/>
      </font>
      <alignment horizontal="left" vertical="center" textRotation="0" wrapText="0" indent="0" justifyLastLine="0" shrinkToFit="0" readingOrder="0"/>
    </dxf>
    <dxf>
      <font>
        <b/>
      </font>
      <numFmt numFmtId="168" formatCode="dd\-mm\-yyyy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color theme="5"/>
      </font>
      <border diagonalUp="0" diagonalDown="0">
        <left/>
        <right/>
        <top/>
        <bottom style="thin">
          <color theme="3" tint="0.79998168889431442"/>
        </bottom>
        <vertical/>
        <horizontal/>
      </border>
    </dxf>
    <dxf>
      <font>
        <b val="0"/>
        <i val="0"/>
        <color theme="3"/>
      </font>
      <border diagonalUp="0" diagonalDown="0">
        <left/>
        <right/>
        <top style="thin">
          <color theme="0"/>
        </top>
        <bottom style="thin">
          <color theme="0"/>
        </bottom>
        <vertical/>
        <horizontal style="thin">
          <color theme="0"/>
        </horizontal>
      </border>
    </dxf>
    <dxf>
      <font>
        <b val="0"/>
        <i val="0"/>
        <color theme="3"/>
      </font>
      <fill>
        <patternFill patternType="none">
          <bgColor auto="1"/>
        </patternFill>
      </fill>
    </dxf>
    <dxf>
      <font>
        <b/>
        <i val="0"/>
        <color theme="5" tint="-0.24994659260841701"/>
      </font>
      <fill>
        <patternFill>
          <bgColor theme="5" tint="0.39994506668294322"/>
        </patternFill>
      </fill>
      <border>
        <left style="thick">
          <color theme="0"/>
        </left>
      </border>
    </dxf>
    <dxf>
      <font>
        <b/>
        <i val="0"/>
        <color theme="0"/>
      </font>
      <fill>
        <patternFill>
          <bgColor theme="5"/>
        </patternFill>
      </fill>
      <border>
        <bottom style="thick">
          <color theme="0"/>
        </bottom>
      </border>
    </dxf>
    <dxf>
      <font>
        <b/>
        <i val="0"/>
      </font>
      <border>
        <bottom style="thin">
          <color theme="3" tint="0.79998168889431442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ck">
          <color theme="0"/>
        </left>
        <top style="thick">
          <color theme="0"/>
        </top>
        <bottom style="thick">
          <color theme="0"/>
        </bottom>
      </border>
    </dxf>
    <dxf>
      <font>
        <b/>
        <i val="0"/>
      </font>
      <border>
        <top style="thin">
          <color theme="3" tint="0.79995117038483843"/>
        </top>
        <bottom style="thin">
          <color theme="3" tint="0.79998168889431442"/>
        </bottom>
      </border>
    </dxf>
    <dxf>
      <font>
        <b/>
        <i val="0"/>
        <color theme="5"/>
      </font>
      <border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</dxfs>
  <tableStyles count="3" defaultTableStyle="Monthly Relatório de Vendas Table Style" defaultPivotStyle="Monthly Relatório de Vendas PivotTable Style">
    <tableStyle name="Monthly Relatório de Vendas PivotTable Style" table="0" count="8">
      <tableStyleElement type="wholeTable" dxfId="69"/>
      <tableStyleElement type="headerRow" dxfId="68"/>
      <tableStyleElement type="totalRow" dxfId="67"/>
      <tableStyleElement type="secondSubtotalRow" dxfId="66"/>
      <tableStyleElement type="thirdSubtotalRow" dxfId="65"/>
      <tableStyleElement type="firstRowSubheading" dxfId="64"/>
      <tableStyleElement type="secondRowSubheading" dxfId="63"/>
      <tableStyleElement type="thirdRowSubheading" dxfId="62"/>
    </tableStyle>
    <tableStyle name="Monthly Relatório de Vendas Table Style" pivot="0" count="2">
      <tableStyleElement type="wholeTable" dxfId="61"/>
      <tableStyleElement type="headerRow" dxfId="60"/>
    </tableStyle>
    <tableStyle name="Monthly Sales Report PivotTable Style" table="0" count="8">
      <tableStyleElement type="wholeTable" dxfId="41"/>
      <tableStyleElement type="headerRow" dxfId="40"/>
      <tableStyleElement type="totalRow" dxfId="39"/>
      <tableStyleElement type="secondSubtotalRow" dxfId="38"/>
      <tableStyleElement type="thirdSubtotalRow" dxfId="37"/>
      <tableStyleElement type="firstRowSubheading" dxfId="36"/>
      <tableStyleElement type="secondRowSubheading" dxfId="35"/>
      <tableStyleElement type="thirdRowSubheading" dxfId="3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'Introdução de Dados'!$D$5</c:f>
              <c:strCache>
                <c:ptCount val="1"/>
                <c:pt idx="0">
                  <c:v>MONTANTE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Dados'!$D$6:$D$24</c:f>
              <c:numCache>
                <c:formatCode>#,##0.00\ "€"</c:formatCode>
                <c:ptCount val="19"/>
                <c:pt idx="0">
                  <c:v>6400</c:v>
                </c:pt>
                <c:pt idx="1">
                  <c:v>8200</c:v>
                </c:pt>
                <c:pt idx="2">
                  <c:v>4400</c:v>
                </c:pt>
                <c:pt idx="3">
                  <c:v>5400</c:v>
                </c:pt>
                <c:pt idx="4">
                  <c:v>5800</c:v>
                </c:pt>
                <c:pt idx="5">
                  <c:v>6200</c:v>
                </c:pt>
                <c:pt idx="6">
                  <c:v>6900</c:v>
                </c:pt>
                <c:pt idx="7">
                  <c:v>7500</c:v>
                </c:pt>
                <c:pt idx="8">
                  <c:v>8700</c:v>
                </c:pt>
                <c:pt idx="9">
                  <c:v>8500</c:v>
                </c:pt>
                <c:pt idx="10">
                  <c:v>7900</c:v>
                </c:pt>
                <c:pt idx="11">
                  <c:v>9100</c:v>
                </c:pt>
                <c:pt idx="12">
                  <c:v>5600</c:v>
                </c:pt>
                <c:pt idx="13">
                  <c:v>9300</c:v>
                </c:pt>
                <c:pt idx="14">
                  <c:v>8800</c:v>
                </c:pt>
                <c:pt idx="15">
                  <c:v>9100</c:v>
                </c:pt>
                <c:pt idx="16">
                  <c:v>9000</c:v>
                </c:pt>
                <c:pt idx="17">
                  <c:v>7500</c:v>
                </c:pt>
                <c:pt idx="18">
                  <c:v>9500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'Introdução de Dados'!$E$5</c:f>
              <c:strCache>
                <c:ptCount val="1"/>
                <c:pt idx="0">
                  <c:v>PLANEADO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Dados'!$E$6:$E$24</c:f>
              <c:numCache>
                <c:formatCode>#,##0.00\ "€"</c:formatCode>
                <c:ptCount val="19"/>
                <c:pt idx="0">
                  <c:v>6200</c:v>
                </c:pt>
                <c:pt idx="1">
                  <c:v>8000</c:v>
                </c:pt>
                <c:pt idx="2">
                  <c:v>4200</c:v>
                </c:pt>
                <c:pt idx="3">
                  <c:v>5500</c:v>
                </c:pt>
                <c:pt idx="4">
                  <c:v>6000</c:v>
                </c:pt>
                <c:pt idx="5">
                  <c:v>6000</c:v>
                </c:pt>
                <c:pt idx="6">
                  <c:v>7500</c:v>
                </c:pt>
                <c:pt idx="7">
                  <c:v>7200</c:v>
                </c:pt>
                <c:pt idx="8">
                  <c:v>8500</c:v>
                </c:pt>
                <c:pt idx="9">
                  <c:v>8300</c:v>
                </c:pt>
                <c:pt idx="10">
                  <c:v>7700</c:v>
                </c:pt>
                <c:pt idx="11">
                  <c:v>8900</c:v>
                </c:pt>
                <c:pt idx="12">
                  <c:v>5800</c:v>
                </c:pt>
                <c:pt idx="13">
                  <c:v>9100</c:v>
                </c:pt>
                <c:pt idx="14">
                  <c:v>9350</c:v>
                </c:pt>
                <c:pt idx="15">
                  <c:v>9200</c:v>
                </c:pt>
                <c:pt idx="16">
                  <c:v>10000</c:v>
                </c:pt>
                <c:pt idx="17">
                  <c:v>8000</c:v>
                </c:pt>
                <c:pt idx="18">
                  <c:v>9200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'Introdução de Dados'!$F$5</c:f>
              <c:strCache>
                <c:ptCount val="1"/>
                <c:pt idx="0">
                  <c:v>CUSTO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Dados'!$F$6:$F$24</c:f>
              <c:numCache>
                <c:formatCode>#,##0.00\ "€"</c:formatCode>
                <c:ptCount val="19"/>
                <c:pt idx="0">
                  <c:v>4450</c:v>
                </c:pt>
                <c:pt idx="1">
                  <c:v>6400</c:v>
                </c:pt>
                <c:pt idx="2">
                  <c:v>2600</c:v>
                </c:pt>
                <c:pt idx="3">
                  <c:v>4500</c:v>
                </c:pt>
                <c:pt idx="4">
                  <c:v>4500</c:v>
                </c:pt>
                <c:pt idx="5">
                  <c:v>4500</c:v>
                </c:pt>
                <c:pt idx="6">
                  <c:v>5400</c:v>
                </c:pt>
                <c:pt idx="7">
                  <c:v>6500</c:v>
                </c:pt>
                <c:pt idx="8">
                  <c:v>7250</c:v>
                </c:pt>
                <c:pt idx="9">
                  <c:v>7100</c:v>
                </c:pt>
                <c:pt idx="10">
                  <c:v>6600</c:v>
                </c:pt>
                <c:pt idx="11">
                  <c:v>7900</c:v>
                </c:pt>
                <c:pt idx="12">
                  <c:v>4500</c:v>
                </c:pt>
                <c:pt idx="13">
                  <c:v>7500</c:v>
                </c:pt>
                <c:pt idx="14">
                  <c:v>7100</c:v>
                </c:pt>
                <c:pt idx="15">
                  <c:v>7850</c:v>
                </c:pt>
                <c:pt idx="16">
                  <c:v>7575</c:v>
                </c:pt>
                <c:pt idx="17">
                  <c:v>5850</c:v>
                </c:pt>
                <c:pt idx="18">
                  <c:v>8500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'Introdução de Dados'!$G$5</c:f>
              <c:strCache>
                <c:ptCount val="1"/>
                <c:pt idx="0">
                  <c:v>RECEITAS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Dados'!$G$6:$G$24</c:f>
              <c:numCache>
                <c:formatCode>#,##0.00\ "€"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59728"/>
        <c:axId val="176560288"/>
      </c:lineChart>
      <c:dateAx>
        <c:axId val="176559728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PT"/>
          </a:p>
        </c:txPr>
        <c:crossAx val="176560288"/>
        <c:crosses val="autoZero"/>
        <c:auto val="1"/>
        <c:lblOffset val="100"/>
        <c:baseTimeUnit val="days"/>
        <c:majorUnit val="1"/>
        <c:majorTimeUnit val="months"/>
      </c:dateAx>
      <c:valAx>
        <c:axId val="17656028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PT"/>
          </a:p>
        </c:txPr>
        <c:crossAx val="1765597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57669607428103742"/>
          <c:y val="4.8780519032404476E-2"/>
          <c:w val="0.3945391019670928"/>
          <c:h val="8.758460502171741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'Introdução de Dados'!$O$5</c:f>
              <c:strCache>
                <c:ptCount val="1"/>
                <c:pt idx="0">
                  <c:v>MÊS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Dados'!$O$6:$O$24</c:f>
              <c:numCache>
                <c:formatCode>#,##0.00\ "€"</c:formatCode>
                <c:ptCount val="19"/>
                <c:pt idx="0">
                  <c:v>14600</c:v>
                </c:pt>
                <c:pt idx="1">
                  <c:v>14600</c:v>
                </c:pt>
                <c:pt idx="2">
                  <c:v>28999.999999999996</c:v>
                </c:pt>
                <c:pt idx="3">
                  <c:v>29000</c:v>
                </c:pt>
                <c:pt idx="4">
                  <c:v>29000</c:v>
                </c:pt>
                <c:pt idx="5">
                  <c:v>29000</c:v>
                </c:pt>
                <c:pt idx="6">
                  <c:v>21600.000000000004</c:v>
                </c:pt>
                <c:pt idx="7">
                  <c:v>17950</c:v>
                </c:pt>
                <c:pt idx="8">
                  <c:v>10776.470588235294</c:v>
                </c:pt>
                <c:pt idx="9">
                  <c:v>12455.862068965516</c:v>
                </c:pt>
                <c:pt idx="10">
                  <c:v>13667.567567567567</c:v>
                </c:pt>
                <c:pt idx="11">
                  <c:v>17651.666666666668</c:v>
                </c:pt>
                <c:pt idx="12">
                  <c:v>19877.911646586344</c:v>
                </c:pt>
                <c:pt idx="13">
                  <c:v>21138.050314465407</c:v>
                </c:pt>
                <c:pt idx="14">
                  <c:v>17951.744186046511</c:v>
                </c:pt>
                <c:pt idx="15">
                  <c:v>20556.130108423687</c:v>
                </c:pt>
                <c:pt idx="16">
                  <c:v>21997.139141742522</c:v>
                </c:pt>
                <c:pt idx="17">
                  <c:v>22917.634523175278</c:v>
                </c:pt>
                <c:pt idx="18">
                  <c:v>20504.314720812181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63088"/>
        <c:axId val="176563648"/>
      </c:lineChart>
      <c:dateAx>
        <c:axId val="17656308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6563648"/>
        <c:crosses val="autoZero"/>
        <c:auto val="1"/>
        <c:lblOffset val="100"/>
        <c:baseTimeUnit val="days"/>
        <c:majorUnit val="1"/>
        <c:majorTimeUnit val="months"/>
      </c:dateAx>
      <c:valAx>
        <c:axId val="17656364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PT"/>
          </a:p>
        </c:txPr>
        <c:crossAx val="1765630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'Introdução de Dados'!$P$5</c:f>
              <c:strCache>
                <c:ptCount val="1"/>
                <c:pt idx="0">
                  <c:v>TRIMESTRE 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Dados'!$P$6:$P$24</c:f>
              <c:numCache>
                <c:formatCode>#,##0.00\ "€"</c:formatCode>
                <c:ptCount val="19"/>
                <c:pt idx="0">
                  <c:v>50800</c:v>
                </c:pt>
                <c:pt idx="1">
                  <c:v>50800</c:v>
                </c:pt>
                <c:pt idx="2">
                  <c:v>50800</c:v>
                </c:pt>
                <c:pt idx="3">
                  <c:v>50800</c:v>
                </c:pt>
                <c:pt idx="4">
                  <c:v>50800</c:v>
                </c:pt>
                <c:pt idx="5">
                  <c:v>50800</c:v>
                </c:pt>
                <c:pt idx="6">
                  <c:v>50800</c:v>
                </c:pt>
                <c:pt idx="7">
                  <c:v>50800</c:v>
                </c:pt>
                <c:pt idx="8">
                  <c:v>47400</c:v>
                </c:pt>
                <c:pt idx="9">
                  <c:v>47400</c:v>
                </c:pt>
                <c:pt idx="10">
                  <c:v>47400.000000000007</c:v>
                </c:pt>
                <c:pt idx="11">
                  <c:v>47400</c:v>
                </c:pt>
                <c:pt idx="12">
                  <c:v>47400</c:v>
                </c:pt>
                <c:pt idx="13">
                  <c:v>47400</c:v>
                </c:pt>
                <c:pt idx="14">
                  <c:v>43258.139534883725</c:v>
                </c:pt>
                <c:pt idx="15">
                  <c:v>42312.903225806447</c:v>
                </c:pt>
                <c:pt idx="16">
                  <c:v>41811.111111111109</c:v>
                </c:pt>
                <c:pt idx="17">
                  <c:v>41500</c:v>
                </c:pt>
                <c:pt idx="18">
                  <c:v>41288.23529411765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565888"/>
        <c:axId val="176566448"/>
      </c:lineChart>
      <c:dateAx>
        <c:axId val="176565888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6566448"/>
        <c:crosses val="autoZero"/>
        <c:auto val="1"/>
        <c:lblOffset val="100"/>
        <c:baseTimeUnit val="days"/>
        <c:majorUnit val="1"/>
        <c:majorTimeUnit val="months"/>
      </c:dateAx>
      <c:valAx>
        <c:axId val="176566448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PT"/>
          </a:p>
        </c:txPr>
        <c:crossAx val="17656588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spc="50" baseline="0"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'Introdução de Dados'!$Q$5</c:f>
              <c:strCache>
                <c:ptCount val="1"/>
                <c:pt idx="0">
                  <c:v>ANO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Dados'!$Q$6:$Q$24</c:f>
              <c:numCache>
                <c:formatCode>#,##0.00\ "€"</c:formatCode>
                <c:ptCount val="19"/>
                <c:pt idx="0">
                  <c:v>143800</c:v>
                </c:pt>
                <c:pt idx="1">
                  <c:v>143800</c:v>
                </c:pt>
                <c:pt idx="2">
                  <c:v>143800</c:v>
                </c:pt>
                <c:pt idx="3">
                  <c:v>143800</c:v>
                </c:pt>
                <c:pt idx="4">
                  <c:v>143800</c:v>
                </c:pt>
                <c:pt idx="5">
                  <c:v>143800</c:v>
                </c:pt>
                <c:pt idx="6">
                  <c:v>143800</c:v>
                </c:pt>
                <c:pt idx="7">
                  <c:v>143800</c:v>
                </c:pt>
                <c:pt idx="8">
                  <c:v>143800</c:v>
                </c:pt>
                <c:pt idx="9">
                  <c:v>143800</c:v>
                </c:pt>
                <c:pt idx="10">
                  <c:v>143800</c:v>
                </c:pt>
                <c:pt idx="11">
                  <c:v>143800</c:v>
                </c:pt>
                <c:pt idx="12">
                  <c:v>143800</c:v>
                </c:pt>
                <c:pt idx="13">
                  <c:v>143800</c:v>
                </c:pt>
                <c:pt idx="14">
                  <c:v>143800</c:v>
                </c:pt>
                <c:pt idx="15">
                  <c:v>143800</c:v>
                </c:pt>
                <c:pt idx="16">
                  <c:v>143800</c:v>
                </c:pt>
                <c:pt idx="17">
                  <c:v>143800</c:v>
                </c:pt>
                <c:pt idx="18">
                  <c:v>143800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698944"/>
        <c:axId val="176699504"/>
      </c:lineChart>
      <c:dateAx>
        <c:axId val="17669894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6699504"/>
        <c:crosses val="autoZero"/>
        <c:auto val="1"/>
        <c:lblOffset val="100"/>
        <c:baseTimeUnit val="days"/>
        <c:majorUnit val="1"/>
        <c:majorTimeUnit val="months"/>
      </c:dateAx>
      <c:valAx>
        <c:axId val="17669950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PT"/>
          </a:p>
        </c:txPr>
        <c:crossAx val="1766989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60" baseline="0"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'Introdução de Dados'!$G$5</c:f>
              <c:strCache>
                <c:ptCount val="1"/>
                <c:pt idx="0">
                  <c:v>RECEITAS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'Introdução de Dados'!$B$6:$B$24</c:f>
              <c:numCache>
                <c:formatCode>dd\-mm\-yyyy</c:formatCode>
                <c:ptCount val="19"/>
                <c:pt idx="0">
                  <c:v>41387</c:v>
                </c:pt>
                <c:pt idx="1">
                  <c:v>41389</c:v>
                </c:pt>
                <c:pt idx="2">
                  <c:v>41401</c:v>
                </c:pt>
                <c:pt idx="3">
                  <c:v>41408</c:v>
                </c:pt>
                <c:pt idx="4">
                  <c:v>41408</c:v>
                </c:pt>
                <c:pt idx="5">
                  <c:v>41423</c:v>
                </c:pt>
                <c:pt idx="6">
                  <c:v>41435</c:v>
                </c:pt>
                <c:pt idx="7">
                  <c:v>41446</c:v>
                </c:pt>
                <c:pt idx="8">
                  <c:v>41461</c:v>
                </c:pt>
                <c:pt idx="9">
                  <c:v>41491</c:v>
                </c:pt>
                <c:pt idx="10">
                  <c:v>41505</c:v>
                </c:pt>
                <c:pt idx="11">
                  <c:v>41521</c:v>
                </c:pt>
                <c:pt idx="12">
                  <c:v>41537</c:v>
                </c:pt>
                <c:pt idx="13">
                  <c:v>41542</c:v>
                </c:pt>
                <c:pt idx="14">
                  <c:v>41562</c:v>
                </c:pt>
                <c:pt idx="15">
                  <c:v>41583</c:v>
                </c:pt>
                <c:pt idx="16">
                  <c:v>41604</c:v>
                </c:pt>
                <c:pt idx="17">
                  <c:v>41608</c:v>
                </c:pt>
                <c:pt idx="18">
                  <c:v>41619</c:v>
                </c:pt>
              </c:numCache>
            </c:numRef>
          </c:cat>
          <c:val>
            <c:numRef>
              <c:f>'Introdução de Dados'!$G$6:$G$24</c:f>
              <c:numCache>
                <c:formatCode>#,##0.00\ "€"</c:formatCode>
                <c:ptCount val="19"/>
                <c:pt idx="0">
                  <c:v>1950</c:v>
                </c:pt>
                <c:pt idx="1">
                  <c:v>1800</c:v>
                </c:pt>
                <c:pt idx="2">
                  <c:v>1800</c:v>
                </c:pt>
                <c:pt idx="3">
                  <c:v>900</c:v>
                </c:pt>
                <c:pt idx="4">
                  <c:v>1300</c:v>
                </c:pt>
                <c:pt idx="5">
                  <c:v>1700</c:v>
                </c:pt>
                <c:pt idx="6">
                  <c:v>1500</c:v>
                </c:pt>
                <c:pt idx="7">
                  <c:v>1000</c:v>
                </c:pt>
                <c:pt idx="8">
                  <c:v>1450</c:v>
                </c:pt>
                <c:pt idx="9">
                  <c:v>1400</c:v>
                </c:pt>
                <c:pt idx="10">
                  <c:v>1300</c:v>
                </c:pt>
                <c:pt idx="11">
                  <c:v>1200</c:v>
                </c:pt>
                <c:pt idx="12">
                  <c:v>1100</c:v>
                </c:pt>
                <c:pt idx="13">
                  <c:v>1800</c:v>
                </c:pt>
                <c:pt idx="14">
                  <c:v>1700</c:v>
                </c:pt>
                <c:pt idx="15">
                  <c:v>1250</c:v>
                </c:pt>
                <c:pt idx="16">
                  <c:v>1425</c:v>
                </c:pt>
                <c:pt idx="17">
                  <c:v>1650</c:v>
                </c:pt>
                <c:pt idx="18">
                  <c:v>1000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6701744"/>
        <c:axId val="176702304"/>
      </c:lineChart>
      <c:dateAx>
        <c:axId val="176701744"/>
        <c:scaling>
          <c:orientation val="minMax"/>
        </c:scaling>
        <c:delete val="1"/>
        <c:axPos val="b"/>
        <c:numFmt formatCode="mmm\ yyyy" sourceLinked="0"/>
        <c:majorTickMark val="out"/>
        <c:minorTickMark val="none"/>
        <c:tickLblPos val="nextTo"/>
        <c:crossAx val="176702304"/>
        <c:crosses val="autoZero"/>
        <c:auto val="1"/>
        <c:lblOffset val="100"/>
        <c:baseTimeUnit val="days"/>
        <c:majorUnit val="1"/>
        <c:majorTimeUnit val="months"/>
      </c:dateAx>
      <c:valAx>
        <c:axId val="176702304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</c:majorGridlines>
        <c:numFmt formatCode="#,##0.00\ &quot;€&quot;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t-PT"/>
          </a:p>
        </c:txPr>
        <c:crossAx val="1767017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spc="50" baseline="0">
          <a:solidFill>
            <a:schemeClr val="tx2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evis&#227;o de Vendas'!A1"/><Relationship Id="rId1" Type="http://schemas.openxmlformats.org/officeDocument/2006/relationships/hyperlink" Target="#'Relat&#243;rio de Vendas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Previs&#227;o de Vendas'!A1"/><Relationship Id="rId1" Type="http://schemas.openxmlformats.org/officeDocument/2006/relationships/hyperlink" Target="#'Introdu&#231;&#227;o de Dados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hyperlink" Target="#'Relat&#243;rio de Vendas'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hyperlink" Target="#'Introdu&#231;&#227;o de Dados'!A1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1</xdr:row>
      <xdr:rowOff>76200</xdr:rowOff>
    </xdr:from>
    <xdr:to>
      <xdr:col>7</xdr:col>
      <xdr:colOff>114299</xdr:colOff>
      <xdr:row>1</xdr:row>
      <xdr:rowOff>314325</xdr:rowOff>
    </xdr:to>
    <xdr:sp macro="" textlink="">
      <xdr:nvSpPr>
        <xdr:cNvPr id="2" name="Relatório de Vendas" descr="Click to view Relatório de Vendas sheet." title="Relatório de Vendas navigation button">
          <a:hlinkClick xmlns:r="http://schemas.openxmlformats.org/officeDocument/2006/relationships" r:id="rId1" tooltip="Clique para ver a Folha do Relatório de Vendas"/>
        </xdr:cNvPr>
        <xdr:cNvSpPr/>
      </xdr:nvSpPr>
      <xdr:spPr>
        <a:xfrm>
          <a:off x="5057775" y="219075"/>
          <a:ext cx="1485899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Relatório de Vendas</a:t>
          </a:r>
        </a:p>
      </xdr:txBody>
    </xdr:sp>
    <xdr:clientData fPrintsWithSheet="0"/>
  </xdr:twoCellAnchor>
  <xdr:twoCellAnchor>
    <xdr:from>
      <xdr:col>7</xdr:col>
      <xdr:colOff>180974</xdr:colOff>
      <xdr:row>1</xdr:row>
      <xdr:rowOff>66675</xdr:rowOff>
    </xdr:from>
    <xdr:to>
      <xdr:col>8</xdr:col>
      <xdr:colOff>819149</xdr:colOff>
      <xdr:row>1</xdr:row>
      <xdr:rowOff>314324</xdr:rowOff>
    </xdr:to>
    <xdr:sp macro="" textlink="">
      <xdr:nvSpPr>
        <xdr:cNvPr id="3" name="Previsão de Vendas" descr="Click to view Previsão de Vendas sheet." title="Previsão de Vendas navigation button">
          <a:hlinkClick xmlns:r="http://schemas.openxmlformats.org/officeDocument/2006/relationships" r:id="rId2" tooltip="Clique para ver a folha de Previsão de Vendas"/>
        </xdr:cNvPr>
        <xdr:cNvSpPr/>
      </xdr:nvSpPr>
      <xdr:spPr>
        <a:xfrm>
          <a:off x="6610349" y="209550"/>
          <a:ext cx="1457325" cy="247649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Previsão de Vendas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1</xdr:row>
      <xdr:rowOff>95250</xdr:rowOff>
    </xdr:from>
    <xdr:to>
      <xdr:col>7</xdr:col>
      <xdr:colOff>171450</xdr:colOff>
      <xdr:row>1</xdr:row>
      <xdr:rowOff>333374</xdr:rowOff>
    </xdr:to>
    <xdr:sp macro="" textlink="">
      <xdr:nvSpPr>
        <xdr:cNvPr id="4" name="Relatório de Vendas" descr="Click to view Inserção de Dados sheet." title="Inserção de Dados navigation button">
          <a:hlinkClick xmlns:r="http://schemas.openxmlformats.org/officeDocument/2006/relationships" r:id="rId1" tooltip="Clique para ver a folha de Inserção de Dados"/>
        </xdr:cNvPr>
        <xdr:cNvSpPr/>
      </xdr:nvSpPr>
      <xdr:spPr>
        <a:xfrm>
          <a:off x="5486400" y="238125"/>
          <a:ext cx="2057400" cy="238124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Introdução de Dados</a:t>
          </a:r>
        </a:p>
      </xdr:txBody>
    </xdr:sp>
    <xdr:clientData fPrintsWithSheet="0"/>
  </xdr:twoCellAnchor>
  <xdr:twoCellAnchor>
    <xdr:from>
      <xdr:col>7</xdr:col>
      <xdr:colOff>228600</xdr:colOff>
      <xdr:row>1</xdr:row>
      <xdr:rowOff>95250</xdr:rowOff>
    </xdr:from>
    <xdr:to>
      <xdr:col>10</xdr:col>
      <xdr:colOff>9526</xdr:colOff>
      <xdr:row>1</xdr:row>
      <xdr:rowOff>333375</xdr:rowOff>
    </xdr:to>
    <xdr:sp macro="" textlink="">
      <xdr:nvSpPr>
        <xdr:cNvPr id="5" name="Previsão de Vendas" descr="Click to view Previsão de Vendas sheet." title="Previsão de Vendas navigation button">
          <a:hlinkClick xmlns:r="http://schemas.openxmlformats.org/officeDocument/2006/relationships" r:id="rId2" tooltip="Clique para ver a folha de Previsão de Vendas"/>
        </xdr:cNvPr>
        <xdr:cNvSpPr/>
      </xdr:nvSpPr>
      <xdr:spPr>
        <a:xfrm>
          <a:off x="7600950" y="238125"/>
          <a:ext cx="1381126" cy="238125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Previsão de Vendas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114300</xdr:rowOff>
    </xdr:from>
    <xdr:to>
      <xdr:col>9</xdr:col>
      <xdr:colOff>876299</xdr:colOff>
      <xdr:row>27</xdr:row>
      <xdr:rowOff>142875</xdr:rowOff>
    </xdr:to>
    <xdr:graphicFrame macro="">
      <xdr:nvGraphicFramePr>
        <xdr:cNvPr id="4" name="Histórico de Vendas" descr="Sales history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30</xdr:row>
      <xdr:rowOff>9525</xdr:rowOff>
    </xdr:from>
    <xdr:to>
      <xdr:col>5</xdr:col>
      <xdr:colOff>141131</xdr:colOff>
      <xdr:row>35</xdr:row>
      <xdr:rowOff>92919</xdr:rowOff>
    </xdr:to>
    <xdr:graphicFrame macro="">
      <xdr:nvGraphicFramePr>
        <xdr:cNvPr id="5" name="Previsão Mensal" descr="Month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195263</xdr:colOff>
      <xdr:row>30</xdr:row>
      <xdr:rowOff>9525</xdr:rowOff>
    </xdr:from>
    <xdr:to>
      <xdr:col>8</xdr:col>
      <xdr:colOff>1009650</xdr:colOff>
      <xdr:row>35</xdr:row>
      <xdr:rowOff>92919</xdr:rowOff>
    </xdr:to>
    <xdr:graphicFrame macro="">
      <xdr:nvGraphicFramePr>
        <xdr:cNvPr id="6" name="Previsão Trimestral" descr="Quarte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38</xdr:row>
      <xdr:rowOff>9526</xdr:rowOff>
    </xdr:from>
    <xdr:to>
      <xdr:col>5</xdr:col>
      <xdr:colOff>141131</xdr:colOff>
      <xdr:row>43</xdr:row>
      <xdr:rowOff>57151</xdr:rowOff>
    </xdr:to>
    <xdr:graphicFrame macro="">
      <xdr:nvGraphicFramePr>
        <xdr:cNvPr id="7" name="Previsão Anual" descr="Year forecast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198491</xdr:colOff>
      <xdr:row>38</xdr:row>
      <xdr:rowOff>9526</xdr:rowOff>
    </xdr:from>
    <xdr:to>
      <xdr:col>8</xdr:col>
      <xdr:colOff>1057275</xdr:colOff>
      <xdr:row>43</xdr:row>
      <xdr:rowOff>64345</xdr:rowOff>
    </xdr:to>
    <xdr:graphicFrame macro="">
      <xdr:nvGraphicFramePr>
        <xdr:cNvPr id="8" name="Fluxo de Receitas" descr="Revenue stream chart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504825</xdr:colOff>
      <xdr:row>1</xdr:row>
      <xdr:rowOff>66675</xdr:rowOff>
    </xdr:from>
    <xdr:to>
      <xdr:col>6</xdr:col>
      <xdr:colOff>1228725</xdr:colOff>
      <xdr:row>1</xdr:row>
      <xdr:rowOff>314325</xdr:rowOff>
    </xdr:to>
    <xdr:sp macro="" textlink="">
      <xdr:nvSpPr>
        <xdr:cNvPr id="10" name="Relatório de Vendas" descr="Click to view Inserção de Dados sheet." title="Inserção de Dados navigation button">
          <a:hlinkClick xmlns:r="http://schemas.openxmlformats.org/officeDocument/2006/relationships" r:id="rId6" tooltip="Clique para ver a folha de Inserção de Dados"/>
        </xdr:cNvPr>
        <xdr:cNvSpPr/>
      </xdr:nvSpPr>
      <xdr:spPr>
        <a:xfrm>
          <a:off x="5038725" y="209550"/>
          <a:ext cx="1638300" cy="247650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  <a:latin typeface="+mn-lt"/>
            </a:rPr>
            <a:t>Introdução de Dados</a:t>
          </a:r>
        </a:p>
      </xdr:txBody>
    </xdr:sp>
    <xdr:clientData fPrintsWithSheet="0"/>
  </xdr:twoCellAnchor>
  <xdr:twoCellAnchor>
    <xdr:from>
      <xdr:col>7</xdr:col>
      <xdr:colOff>47626</xdr:colOff>
      <xdr:row>1</xdr:row>
      <xdr:rowOff>66675</xdr:rowOff>
    </xdr:from>
    <xdr:to>
      <xdr:col>8</xdr:col>
      <xdr:colOff>361951</xdr:colOff>
      <xdr:row>1</xdr:row>
      <xdr:rowOff>314326</xdr:rowOff>
    </xdr:to>
    <xdr:sp macro="" textlink="">
      <xdr:nvSpPr>
        <xdr:cNvPr id="11" name="Previsão de Vendas" descr="Click to view Relatório de Vendas sheet." title="Relatório de Vendas navigation button">
          <a:hlinkClick xmlns:r="http://schemas.openxmlformats.org/officeDocument/2006/relationships" r:id="rId7" tooltip="Clique para ver a Folha do Relatório de Vendas"/>
        </xdr:cNvPr>
        <xdr:cNvSpPr/>
      </xdr:nvSpPr>
      <xdr:spPr>
        <a:xfrm>
          <a:off x="6734176" y="209550"/>
          <a:ext cx="1771650" cy="247651"/>
        </a:xfrm>
        <a:prstGeom prst="roundRect">
          <a:avLst/>
        </a:prstGeom>
        <a:solidFill>
          <a:schemeClr val="accent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000">
              <a:solidFill>
                <a:schemeClr val="bg1"/>
              </a:solidFill>
            </a:rPr>
            <a:t>Relatório de Vendas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ice_Online/technicians/DChludil/work/100391/2070/Monthy%20Sales.xlt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Entry"/>
      <sheetName val="Sales Forecast"/>
    </sheetNames>
    <sheetDataSet>
      <sheetData sheetId="0" refreshError="1"/>
      <sheetData sheetId="1">
        <row r="3">
          <cell r="D3" t="e">
            <v>#VALUE!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rver Adminstrator" refreshedDate="41247.382724884257" createdVersion="5" refreshedVersion="5" minRefreshableVersion="3" recordCount="19">
  <cacheSource type="worksheet">
    <worksheetSource name="tblDados"/>
  </cacheSource>
  <cacheFields count="16">
    <cacheField name="DATA" numFmtId="168">
      <sharedItems containsSemiMixedTypes="0" containsNonDate="0" containsDate="1" containsString="0" minDate="2013-04-23T00:00:00" maxDate="2013-12-12T00:00:00"/>
    </cacheField>
    <cacheField name="EMPRESA" numFmtId="0">
      <sharedItems count="6">
        <s v="A. Datum Corporation"/>
        <s v="Farmacêutica Contoso"/>
        <s v="Mensageiro Consolidado"/>
        <s v="Proseware, Inc."/>
        <s v="Escola de Belas Artes"/>
        <s v="Trey Research"/>
      </sharedItems>
    </cacheField>
    <cacheField name="MONTANTE" numFmtId="167">
      <sharedItems containsSemiMixedTypes="0" containsString="0" containsNumber="1" containsInteger="1" minValue="4400" maxValue="9500" count="17">
        <n v="6400"/>
        <n v="8200"/>
        <n v="4400"/>
        <n v="5400"/>
        <n v="5800"/>
        <n v="6200"/>
        <n v="6900"/>
        <n v="7500"/>
        <n v="8700"/>
        <n v="8500"/>
        <n v="7900"/>
        <n v="9100"/>
        <n v="5600"/>
        <n v="9300"/>
        <n v="8800"/>
        <n v="9000"/>
        <n v="9500"/>
      </sharedItems>
    </cacheField>
    <cacheField name="PLANEADO" numFmtId="167">
      <sharedItems containsSemiMixedTypes="0" containsString="0" containsNumber="1" containsInteger="1" minValue="4200" maxValue="10000"/>
    </cacheField>
    <cacheField name="CUSTO" numFmtId="167">
      <sharedItems containsSemiMixedTypes="0" containsString="0" containsNumber="1" containsInteger="1" minValue="2600" maxValue="8500"/>
    </cacheField>
    <cacheField name="RECEITAS" numFmtId="167">
      <sharedItems containsSemiMixedTypes="0" containsString="0" containsNumber="1" containsInteger="1" minValue="900" maxValue="1950"/>
    </cacheField>
    <cacheField name="MÊS" numFmtId="165">
      <sharedItems containsSemiMixedTypes="0" containsNonDate="0" containsDate="1" containsString="0" minDate="2013-04-01T00:00:00" maxDate="2013-12-02T00:00:00" count="9"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</sharedItems>
    </cacheField>
    <cacheField name="TRIMESTRE" numFmtId="166">
      <sharedItems containsSemiMixedTypes="0" containsString="0" containsNumber="1" containsInteger="1" minValue="2" maxValue="4" count="3">
        <n v="2"/>
        <n v="3"/>
        <n v="4"/>
      </sharedItems>
    </cacheField>
    <cacheField name="ANO" numFmtId="0">
      <sharedItems containsSemiMixedTypes="0" containsString="0" containsNumber="1" containsInteger="1" minValue="2013" maxValue="2013" count="1">
        <n v="2013"/>
      </sharedItems>
    </cacheField>
    <cacheField name="NÚM MÊS (OCULTAR)" numFmtId="0">
      <sharedItems containsSemiMixedTypes="0" containsString="0" containsNumber="1" containsInteger="1" minValue="4" maxValue="12"/>
    </cacheField>
    <cacheField name="MÊS " numFmtId="167">
      <sharedItems containsSemiMixedTypes="0" containsString="0" containsNumber="1" containsInteger="1" minValue="8700" maxValue="25600"/>
    </cacheField>
    <cacheField name="TRIMESTRE " numFmtId="167">
      <sharedItems containsSemiMixedTypes="0" containsString="0" containsNumber="1" containsInteger="1" minValue="43900" maxValue="50800"/>
    </cacheField>
    <cacheField name="ANUALMENTE " numFmtId="167">
      <sharedItems containsSemiMixedTypes="0" containsString="0" containsNumber="1" containsInteger="1" minValue="143800" maxValue="143800"/>
    </cacheField>
    <cacheField name="MÊS  " numFmtId="167">
      <sharedItems containsSemiMixedTypes="0" containsString="0" containsNumber="1" minValue="10776.470588235294" maxValue="29000"/>
    </cacheField>
    <cacheField name="TRIMESTRE  " numFmtId="167">
      <sharedItems containsSemiMixedTypes="0" containsString="0" containsNumber="1" minValue="41288.23529411765" maxValue="50800"/>
    </cacheField>
    <cacheField name="ANO " numFmtId="167">
      <sharedItems containsSemiMixedTypes="0" containsString="0" containsNumber="1" containsInteger="1" minValue="143800" maxValue="143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d v="2013-04-23T00:00:00"/>
    <x v="0"/>
    <x v="0"/>
    <n v="6200"/>
    <n v="4450"/>
    <n v="1950"/>
    <x v="0"/>
    <x v="0"/>
    <x v="0"/>
    <n v="4"/>
    <n v="14600"/>
    <n v="50800"/>
    <n v="143800"/>
    <n v="14600"/>
    <n v="50800"/>
    <n v="143800"/>
  </r>
  <r>
    <d v="2013-04-25T00:00:00"/>
    <x v="1"/>
    <x v="1"/>
    <n v="8000"/>
    <n v="6400"/>
    <n v="1800"/>
    <x v="0"/>
    <x v="0"/>
    <x v="0"/>
    <n v="4"/>
    <n v="14600"/>
    <n v="50800"/>
    <n v="143800"/>
    <n v="14600"/>
    <n v="50800"/>
    <n v="143800"/>
  </r>
  <r>
    <d v="2013-05-07T00:00:00"/>
    <x v="2"/>
    <x v="2"/>
    <n v="4200"/>
    <n v="2600"/>
    <n v="1800"/>
    <x v="1"/>
    <x v="0"/>
    <x v="0"/>
    <n v="5"/>
    <n v="21800"/>
    <n v="50800"/>
    <n v="143800"/>
    <n v="28999.999999999996"/>
    <n v="50800"/>
    <n v="143800"/>
  </r>
  <r>
    <d v="2013-05-14T00:00:00"/>
    <x v="3"/>
    <x v="3"/>
    <n v="5500"/>
    <n v="4500"/>
    <n v="900"/>
    <x v="1"/>
    <x v="0"/>
    <x v="0"/>
    <n v="5"/>
    <n v="21800"/>
    <n v="50800"/>
    <n v="143800"/>
    <n v="29000"/>
    <n v="50800"/>
    <n v="143800"/>
  </r>
  <r>
    <d v="2013-05-14T00:00:00"/>
    <x v="4"/>
    <x v="4"/>
    <n v="6000"/>
    <n v="4500"/>
    <n v="1300"/>
    <x v="1"/>
    <x v="0"/>
    <x v="0"/>
    <n v="5"/>
    <n v="21800"/>
    <n v="50800"/>
    <n v="143800"/>
    <n v="29000"/>
    <n v="50800"/>
    <n v="143800"/>
  </r>
  <r>
    <d v="2013-05-29T00:00:00"/>
    <x v="5"/>
    <x v="5"/>
    <n v="6000"/>
    <n v="4500"/>
    <n v="1700"/>
    <x v="1"/>
    <x v="0"/>
    <x v="0"/>
    <n v="5"/>
    <n v="21800"/>
    <n v="50800"/>
    <n v="143800"/>
    <n v="29000"/>
    <n v="50800"/>
    <n v="143800"/>
  </r>
  <r>
    <d v="2013-06-10T00:00:00"/>
    <x v="0"/>
    <x v="6"/>
    <n v="7500"/>
    <n v="5400"/>
    <n v="1500"/>
    <x v="2"/>
    <x v="0"/>
    <x v="0"/>
    <n v="6"/>
    <n v="14400"/>
    <n v="50800"/>
    <n v="143800"/>
    <n v="21600.000000000004"/>
    <n v="50800"/>
    <n v="143800"/>
  </r>
  <r>
    <d v="2013-06-21T00:00:00"/>
    <x v="1"/>
    <x v="7"/>
    <n v="7200"/>
    <n v="6500"/>
    <n v="1000"/>
    <x v="2"/>
    <x v="0"/>
    <x v="0"/>
    <n v="6"/>
    <n v="14400"/>
    <n v="50800"/>
    <n v="143800"/>
    <n v="17950"/>
    <n v="50800"/>
    <n v="143800"/>
  </r>
  <r>
    <d v="2013-07-06T00:00:00"/>
    <x v="2"/>
    <x v="8"/>
    <n v="8500"/>
    <n v="7250"/>
    <n v="1450"/>
    <x v="3"/>
    <x v="1"/>
    <x v="0"/>
    <n v="7"/>
    <n v="8700"/>
    <n v="49100"/>
    <n v="143800"/>
    <n v="10776.470588235294"/>
    <n v="47400"/>
    <n v="143800"/>
  </r>
  <r>
    <d v="2013-08-05T00:00:00"/>
    <x v="3"/>
    <x v="9"/>
    <n v="8300"/>
    <n v="7100"/>
    <n v="1400"/>
    <x v="4"/>
    <x v="1"/>
    <x v="0"/>
    <n v="8"/>
    <n v="16400"/>
    <n v="49100"/>
    <n v="143800"/>
    <n v="12455.862068965516"/>
    <n v="47400"/>
    <n v="143800"/>
  </r>
  <r>
    <d v="2013-08-19T00:00:00"/>
    <x v="4"/>
    <x v="10"/>
    <n v="7700"/>
    <n v="6600"/>
    <n v="1300"/>
    <x v="4"/>
    <x v="1"/>
    <x v="0"/>
    <n v="8"/>
    <n v="16400"/>
    <n v="49100"/>
    <n v="143800"/>
    <n v="13667.567567567567"/>
    <n v="47400.000000000007"/>
    <n v="143800"/>
  </r>
  <r>
    <d v="2013-09-04T00:00:00"/>
    <x v="5"/>
    <x v="11"/>
    <n v="8900"/>
    <n v="7900"/>
    <n v="1200"/>
    <x v="5"/>
    <x v="1"/>
    <x v="0"/>
    <n v="9"/>
    <n v="24000"/>
    <n v="49100"/>
    <n v="143800"/>
    <n v="17651.666666666668"/>
    <n v="47400"/>
    <n v="143800"/>
  </r>
  <r>
    <d v="2013-09-20T00:00:00"/>
    <x v="1"/>
    <x v="12"/>
    <n v="5800"/>
    <n v="4500"/>
    <n v="1100"/>
    <x v="5"/>
    <x v="1"/>
    <x v="0"/>
    <n v="9"/>
    <n v="24000"/>
    <n v="49100"/>
    <n v="143800"/>
    <n v="19877.911646586344"/>
    <n v="47400"/>
    <n v="143800"/>
  </r>
  <r>
    <d v="2013-09-25T00:00:00"/>
    <x v="2"/>
    <x v="13"/>
    <n v="9100"/>
    <n v="7500"/>
    <n v="1800"/>
    <x v="5"/>
    <x v="1"/>
    <x v="0"/>
    <n v="9"/>
    <n v="24000"/>
    <n v="49100"/>
    <n v="143800"/>
    <n v="21138.050314465407"/>
    <n v="47400"/>
    <n v="143800"/>
  </r>
  <r>
    <d v="2013-10-15T00:00:00"/>
    <x v="3"/>
    <x v="14"/>
    <n v="9350"/>
    <n v="7100"/>
    <n v="1700"/>
    <x v="6"/>
    <x v="2"/>
    <x v="0"/>
    <n v="10"/>
    <n v="8800"/>
    <n v="43900"/>
    <n v="143800"/>
    <n v="17951.744186046511"/>
    <n v="43258.139534883725"/>
    <n v="143800"/>
  </r>
  <r>
    <d v="2013-11-05T00:00:00"/>
    <x v="4"/>
    <x v="11"/>
    <n v="9200"/>
    <n v="7850"/>
    <n v="1250"/>
    <x v="7"/>
    <x v="2"/>
    <x v="0"/>
    <n v="11"/>
    <n v="25600"/>
    <n v="43900"/>
    <n v="143800"/>
    <n v="20556.130108423687"/>
    <n v="42312.903225806447"/>
    <n v="143800"/>
  </r>
  <r>
    <d v="2013-11-26T00:00:00"/>
    <x v="5"/>
    <x v="15"/>
    <n v="10000"/>
    <n v="7575"/>
    <n v="1425"/>
    <x v="7"/>
    <x v="2"/>
    <x v="0"/>
    <n v="11"/>
    <n v="25600"/>
    <n v="43900"/>
    <n v="143800"/>
    <n v="21997.139141742522"/>
    <n v="41811.111111111109"/>
    <n v="143800"/>
  </r>
  <r>
    <d v="2013-11-30T00:00:00"/>
    <x v="5"/>
    <x v="7"/>
    <n v="8000"/>
    <n v="5850"/>
    <n v="1650"/>
    <x v="7"/>
    <x v="2"/>
    <x v="0"/>
    <n v="11"/>
    <n v="25600"/>
    <n v="43900"/>
    <n v="143800"/>
    <n v="22917.634523175278"/>
    <n v="41500"/>
    <n v="143800"/>
  </r>
  <r>
    <d v="2013-12-11T00:00:00"/>
    <x v="1"/>
    <x v="16"/>
    <n v="9200"/>
    <n v="8500"/>
    <n v="1000"/>
    <x v="8"/>
    <x v="2"/>
    <x v="0"/>
    <n v="12"/>
    <n v="9500"/>
    <n v="43900"/>
    <n v="143800"/>
    <n v="20504.314720812181"/>
    <n v="41288.23529411765"/>
    <n v="1438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26" applyNumberFormats="0" applyBorderFormats="0" applyFontFormats="0" applyPatternFormats="0" applyAlignmentFormats="0" applyWidthHeightFormats="1" dataCaption="Valores" updatedVersion="5" minRefreshableVersion="3" showDrill="0" useAutoFormatting="1" itemPrintTitles="1" createdVersion="5" indent="0" compact="0" compactData="0" multipleFieldFilters="0">
  <location ref="B5:F28" firstHeaderRow="1" firstDataRow="1" firstDataCol="4"/>
  <pivotFields count="16">
    <pivotField compact="0" numFmtId="168" outline="0" subtotalTop="0" showAll="0"/>
    <pivotField axis="axisRow" compact="0" outline="0" subtotalTop="0" showAll="0">
      <items count="7">
        <item x="0"/>
        <item x="4"/>
        <item x="1"/>
        <item x="2"/>
        <item x="3"/>
        <item x="5"/>
        <item t="default"/>
      </items>
    </pivotField>
    <pivotField dataField="1" compact="0" numFmtId="167" outline="0" subtotalTop="0" showAll="0">
      <items count="18">
        <item x="2"/>
        <item x="3"/>
        <item x="12"/>
        <item x="4"/>
        <item x="5"/>
        <item x="0"/>
        <item x="6"/>
        <item x="7"/>
        <item x="10"/>
        <item x="1"/>
        <item x="9"/>
        <item x="8"/>
        <item x="14"/>
        <item x="15"/>
        <item x="11"/>
        <item x="13"/>
        <item x="16"/>
        <item t="default"/>
      </items>
    </pivotField>
    <pivotField compact="0" numFmtId="167" outline="0" subtotalTop="0" showAll="0"/>
    <pivotField compact="0" numFmtId="167" outline="0" subtotalTop="0" showAll="0"/>
    <pivotField compact="0" numFmtId="167" outline="0" subtotalTop="0" showAll="0"/>
    <pivotField axis="axisRow" compact="0" numFmtId="165" outline="0" subtotalTop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axis="axisRow" compact="0" numFmtId="166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2">
        <item x="0"/>
        <item t="default"/>
      </items>
    </pivotField>
    <pivotField compact="0" outline="0" subtotalTop="0" showAll="0"/>
    <pivotField compact="0" numFmtId="167" outline="0" subtotalTop="0" showAll="0"/>
    <pivotField compact="0" numFmtId="167" outline="0" subtotalTop="0" showAll="0"/>
    <pivotField compact="0" numFmtId="167" outline="0" subtotalTop="0" showAll="0"/>
    <pivotField compact="0" numFmtId="167" outline="0" subtotalTop="0" showAll="0"/>
    <pivotField compact="0" numFmtId="167" outline="0" subtotalTop="0" showAll="0"/>
    <pivotField compact="0" numFmtId="167" outline="0" subtotalTop="0" showAll="0"/>
  </pivotFields>
  <rowFields count="4">
    <field x="8"/>
    <field x="7"/>
    <field x="6"/>
    <field x="1"/>
  </rowFields>
  <rowItems count="23">
    <i>
      <x/>
      <x/>
      <x/>
      <x/>
    </i>
    <i r="3">
      <x v="2"/>
    </i>
    <i r="2">
      <x v="1"/>
      <x v="1"/>
    </i>
    <i r="3">
      <x v="3"/>
    </i>
    <i r="3">
      <x v="4"/>
    </i>
    <i r="3">
      <x v="5"/>
    </i>
    <i r="2">
      <x v="2"/>
      <x/>
    </i>
    <i r="3">
      <x v="2"/>
    </i>
    <i t="default" r="1">
      <x/>
    </i>
    <i r="1">
      <x v="1"/>
      <x v="3"/>
      <x v="3"/>
    </i>
    <i r="2">
      <x v="4"/>
      <x v="1"/>
    </i>
    <i r="3">
      <x v="4"/>
    </i>
    <i r="2">
      <x v="5"/>
      <x v="2"/>
    </i>
    <i r="3">
      <x v="3"/>
    </i>
    <i r="3">
      <x v="5"/>
    </i>
    <i t="default" r="1">
      <x v="1"/>
    </i>
    <i r="1">
      <x v="2"/>
      <x v="6"/>
      <x v="4"/>
    </i>
    <i r="2">
      <x v="7"/>
      <x v="1"/>
    </i>
    <i r="3">
      <x v="5"/>
    </i>
    <i r="2">
      <x v="8"/>
      <x v="2"/>
    </i>
    <i t="default" r="1">
      <x v="2"/>
    </i>
    <i t="default">
      <x/>
    </i>
    <i t="grand">
      <x/>
    </i>
  </rowItems>
  <colItems count="1">
    <i/>
  </colItems>
  <dataFields count="1">
    <dataField name="Soma de MONTANTE" fld="2" baseField="0" baseItem="0" numFmtId="167"/>
  </dataFields>
  <formats count="10">
    <format dxfId="18">
      <pivotArea dataOnly="0" labelOnly="1" outline="0" fieldPosition="0">
        <references count="1">
          <reference field="8" count="0"/>
        </references>
      </pivotArea>
    </format>
    <format dxfId="17">
      <pivotArea dataOnly="0" labelOnly="1" outline="0" fieldPosition="0">
        <references count="1">
          <reference field="7" count="0"/>
        </references>
      </pivotArea>
    </format>
    <format dxfId="16">
      <pivotArea dataOnly="0" labelOnly="1" outline="0" fieldPosition="0">
        <references count="1">
          <reference field="6" count="0"/>
        </references>
      </pivotArea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field="8" type="button" dataOnly="0" labelOnly="1" outline="0" axis="axisRow" fieldPosition="0"/>
    </format>
    <format dxfId="12">
      <pivotArea field="8" type="button" dataOnly="0" labelOnly="1" outline="0" axis="axisRow" fieldPosition="0"/>
    </format>
    <format dxfId="11">
      <pivotArea dataOnly="0" labelOnly="1" outline="0" fieldPosition="0">
        <references count="1">
          <reference field="8" count="0" defaultSubtotal="1"/>
        </references>
      </pivotArea>
    </format>
    <format dxfId="10">
      <pivotArea outline="0" collapsedLevelsAreSubtotals="1" fieldPosition="0">
        <references count="1">
          <reference field="8" count="0" selected="0" defaultSubtotal="1"/>
        </references>
      </pivotArea>
    </format>
    <format dxfId="0">
      <pivotArea outline="0" collapsedLevelsAreSubtotals="1" fieldPosition="0"/>
    </format>
  </formats>
  <pivotTableStyleInfo name="Monthly Relatório de Vendas PivotTable Style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blDados" displayName="tblDados" ref="B5:Q24" totalsRowShown="0" headerRowDxfId="59" dataDxfId="58">
  <autoFilter ref="B5:Q24"/>
  <tableColumns count="16">
    <tableColumn id="1" name="DATA" dataDxfId="57"/>
    <tableColumn id="2" name="EMPRESA" dataDxfId="56"/>
    <tableColumn id="3" name="MONTANTE" dataDxfId="55"/>
    <tableColumn id="4" name="PLANEADO" dataDxfId="54"/>
    <tableColumn id="5" name="CUSTO" dataDxfId="53"/>
    <tableColumn id="6" name="RECEITAS" dataDxfId="52">
      <calculatedColumnFormula>'Introdução de Dados'!$D6-'Introdução de Dados'!$F6</calculatedColumnFormula>
    </tableColumn>
    <tableColumn id="7" name="MÊS" dataDxfId="51">
      <calculatedColumnFormula>DATE(YEAR('Introdução de Dados'!$B6),MONTH('Introdução de Dados'!$B6),1)</calculatedColumnFormula>
    </tableColumn>
    <tableColumn id="8" name="TRIMESTRE" dataDxfId="50">
      <calculatedColumnFormula>LOOKUP(MONTH('Introdução de Dados'!$H6),{1,1;2,1;3,1;4,2;5,2;6,2;7,3;8,3;9,3;10,4;11,4;12,4})</calculatedColumnFormula>
    </tableColumn>
    <tableColumn id="9" name="ANO" dataDxfId="49">
      <calculatedColumnFormula>YEAR('Introdução de Dados'!$B6)</calculatedColumnFormula>
    </tableColumn>
    <tableColumn id="10" name="NÚM MÊS (OCULTAR)" dataDxfId="48">
      <calculatedColumnFormula>MONTH('Introdução de Dados'!$B6)</calculatedColumnFormula>
    </tableColumn>
    <tableColumn id="11" name="MÊS " dataDxfId="47">
      <calculatedColumnFormula>SUMIFS('Introdução de Dados'!$D$6:$D$24,'Introdução de Dados'!$B$6:$B$24,"&gt;="&amp;EOMONTH('Introdução de Dados'!$B6,-1)+1,'Introdução de Dados'!$B$6:$B$24,"&lt;="&amp;EOMONTH('Introdução de Dados'!$B6,0))</calculatedColumnFormula>
    </tableColumn>
    <tableColumn id="12" name="TRIMESTRE " dataDxfId="46">
      <calculatedColumnFormula>SUMIFS('Introdução de Dados'!$D$6:$D$24,'Introdução de Dados'!$B$6:$B$24,"&gt;="&amp;DATE(YEAR('Introdução de Dados'!$B6),1,1),'Introdução de Dados'!$B$6:$B$24,"&lt;="&amp;DATE(YEAR('Introdução de Dados'!$B6),12,31),'Introdução de Dados'!$I$6:$I$24,'Introdução de Dados'!$I6)</calculatedColumnFormula>
    </tableColumn>
    <tableColumn id="13" name="ANUALMENTE " dataDxfId="45">
      <calculatedColumnFormula>SUMIFS('Introdução de Dados'!$D$6:$D$24,'Introdução de Dados'!$B$6:$B$24,"&gt;="&amp;DATE(YEAR('Introdução de Dados'!$B6),1,1),'Introdução de Dados'!$B$6:$B$24,"&lt;="&amp;DATE(YEAR('Introdução de Dados'!$B6),12,31))</calculatedColumnFormula>
    </tableColumn>
    <tableColumn id="14" name="MÊS  " dataDxfId="44">
      <calculatedColumnFormula>IFERROR(TREND($L$6:INDEX($L:$L,ROW(),1),$K$6:INDEX($K:$K,ROW(),1),IF(MONTH('Introdução de Dados'!$B6)=12,13,MONTH('Introdução de Dados'!$B6)+1)),"")</calculatedColumnFormula>
    </tableColumn>
    <tableColumn id="15" name="TRIMESTRE  " dataDxfId="43">
      <calculatedColumnFormula>IFERROR(TREND($M$6:INDEX($M:$M,ROW(),1),$I$6:INDEX($I:$I,ROW(),1),IF('Introdução de Dados'!$I6=4,5,'Introdução de Dados'!$I6+1)),"")</calculatedColumnFormula>
    </tableColumn>
    <tableColumn id="16" name="ANO " dataDxfId="42">
      <calculatedColumnFormula>IFERROR(TREND($N$6:INDEX($N:$N,ROW(),1),$J$6:INDEX($J:$J,ROW(),1),'Introdução de Dados'!$J6+1),"")</calculatedColumnFormula>
    </tableColumn>
  </tableColumns>
  <tableStyleInfo name="Monthly Relatório de Vendas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onthly Relatório de Vendas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Monthly Relatório de Vendas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Q24"/>
  <sheetViews>
    <sheetView showGridLines="0" tabSelected="1" zoomScaleNormal="100" workbookViewId="0"/>
  </sheetViews>
  <sheetFormatPr defaultRowHeight="17.25" customHeight="1" x14ac:dyDescent="0.2"/>
  <cols>
    <col min="1" max="1" width="2" style="3" customWidth="1"/>
    <col min="2" max="2" width="12.1640625" style="3" customWidth="1"/>
    <col min="3" max="3" width="28.83203125" style="3" customWidth="1"/>
    <col min="4" max="4" width="18.6640625" style="3" customWidth="1"/>
    <col min="5" max="5" width="18.5" style="3" customWidth="1"/>
    <col min="6" max="6" width="15.5" style="3" customWidth="1"/>
    <col min="7" max="7" width="16.83203125" style="3" customWidth="1"/>
    <col min="8" max="8" width="14.33203125" style="3" customWidth="1"/>
    <col min="9" max="9" width="18.1640625" style="3" customWidth="1"/>
    <col min="10" max="10" width="13.1640625" style="3" customWidth="1"/>
    <col min="11" max="11" width="0.33203125" style="3" customWidth="1"/>
    <col min="12" max="12" width="13.83203125" style="3" customWidth="1"/>
    <col min="13" max="13" width="17.5" style="3" customWidth="1"/>
    <col min="14" max="14" width="20.6640625" style="3" customWidth="1"/>
    <col min="15" max="15" width="11.6640625" style="3" customWidth="1"/>
    <col min="16" max="16" width="19.33203125" style="3" customWidth="1"/>
    <col min="17" max="17" width="12.6640625" style="3" customWidth="1"/>
    <col min="18" max="16384" width="9.33203125" style="3"/>
  </cols>
  <sheetData>
    <row r="1" spans="1:17" customFormat="1" ht="11.25" customHeight="1" x14ac:dyDescent="0.2">
      <c r="A1" s="64"/>
      <c r="J1">
        <f>365*2</f>
        <v>730</v>
      </c>
    </row>
    <row r="2" spans="1:17" customFormat="1" ht="33.75" customHeight="1" x14ac:dyDescent="0.2">
      <c r="B2" s="2" t="s">
        <v>15</v>
      </c>
    </row>
    <row r="3" spans="1:17" customFormat="1" ht="17.25" customHeight="1" x14ac:dyDescent="0.2">
      <c r="L3" s="19" t="s">
        <v>31</v>
      </c>
      <c r="M3" s="4"/>
      <c r="N3" s="4"/>
      <c r="O3" s="19" t="s">
        <v>30</v>
      </c>
      <c r="P3" s="4"/>
      <c r="Q3" s="4"/>
    </row>
    <row r="4" spans="1:17" customFormat="1" ht="11.25" customHeight="1" x14ac:dyDescent="0.2">
      <c r="L4" s="20"/>
      <c r="M4" s="21"/>
      <c r="N4" s="22"/>
      <c r="O4" s="20"/>
      <c r="P4" s="21"/>
      <c r="Q4" s="22"/>
    </row>
    <row r="5" spans="1:17" ht="17.25" customHeight="1" x14ac:dyDescent="0.2">
      <c r="B5" s="42" t="s">
        <v>23</v>
      </c>
      <c r="C5" s="42" t="s">
        <v>24</v>
      </c>
      <c r="D5" s="42" t="s">
        <v>25</v>
      </c>
      <c r="E5" s="42" t="s">
        <v>26</v>
      </c>
      <c r="F5" s="42" t="s">
        <v>27</v>
      </c>
      <c r="G5" s="42" t="s">
        <v>28</v>
      </c>
      <c r="H5" s="42" t="s">
        <v>16</v>
      </c>
      <c r="I5" s="42" t="s">
        <v>17</v>
      </c>
      <c r="J5" s="42" t="s">
        <v>21</v>
      </c>
      <c r="K5" s="42" t="s">
        <v>29</v>
      </c>
      <c r="L5" s="42" t="s">
        <v>18</v>
      </c>
      <c r="M5" s="42" t="s">
        <v>19</v>
      </c>
      <c r="N5" s="42" t="s">
        <v>20</v>
      </c>
      <c r="O5" s="42" t="s">
        <v>50</v>
      </c>
      <c r="P5" s="42" t="s">
        <v>51</v>
      </c>
      <c r="Q5" s="42" t="s">
        <v>22</v>
      </c>
    </row>
    <row r="6" spans="1:17" ht="17.25" customHeight="1" x14ac:dyDescent="0.2">
      <c r="B6" s="52">
        <f>40657+(365*2)</f>
        <v>41387</v>
      </c>
      <c r="C6" s="43" t="s">
        <v>0</v>
      </c>
      <c r="D6" s="44">
        <v>6400</v>
      </c>
      <c r="E6" s="44">
        <v>6200</v>
      </c>
      <c r="F6" s="44">
        <v>4450</v>
      </c>
      <c r="G6" s="45">
        <f>'Introdução de Dados'!$D6-'Introdução de Dados'!$F6</f>
        <v>1950</v>
      </c>
      <c r="H6" s="46">
        <f>DATE(YEAR('Introdução de Dados'!$B6),MONTH('Introdução de Dados'!$B6),1)</f>
        <v>41365</v>
      </c>
      <c r="I6" s="47">
        <f>LOOKUP(MONTH('Introdução de Dados'!$H6),{1,1;2,1;3,1;4,2;5,2;6,2;7,3;8,3;9,3;10,4;11,4;12,4})</f>
        <v>2</v>
      </c>
      <c r="J6" s="48">
        <f>YEAR('Introdução de Dados'!$B6)</f>
        <v>2013</v>
      </c>
      <c r="K6" s="49">
        <f>MONTH('Introdução de Dados'!$B6)</f>
        <v>4</v>
      </c>
      <c r="L6" s="50">
        <f>SUMIFS('Introdução de Dados'!$D$6:$D$24,'Introdução de Dados'!$B$6:$B$24,"&gt;="&amp;EOMONTH('Introdução de Dados'!$B6,-1)+1,'Introdução de Dados'!$B$6:$B$24,"&lt;="&amp;EOMONTH('Introdução de Dados'!$B6,0))</f>
        <v>14600</v>
      </c>
      <c r="M6" s="50">
        <f>SUMIFS('Introdução de Dados'!$D$6:$D$24,'Introdução de Dados'!$B$6:$B$24,"&gt;="&amp;DATE(YEAR('Introdução de Dados'!$B6),1,1),'Introdução de Dados'!$B$6:$B$24,"&lt;="&amp;DATE(YEAR('Introdução de Dados'!$B6),12,31),'Introdução de Dados'!$I$6:$I$24,'Introdução de Dados'!$I6)</f>
        <v>50800</v>
      </c>
      <c r="N6" s="50">
        <f>SUMIFS('Introdução de Dados'!$D$6:$D$24,'Introdução de Dados'!$B$6:$B$24,"&gt;="&amp;DATE(YEAR('Introdução de Dados'!$B6),1,1),'Introdução de Dados'!$B$6:$B$24,"&lt;="&amp;DATE(YEAR('Introdução de Dados'!$B6),12,31))</f>
        <v>143800</v>
      </c>
      <c r="O6" s="51">
        <f>IFERROR(TREND($L$6:INDEX($L:$L,ROW(),1),$K$6:INDEX($K:$K,ROW(),1),IF(MONTH('Introdução de Dados'!$B6)=12,13,MONTH('Introdução de Dados'!$B6)+1)),"")</f>
        <v>14600</v>
      </c>
      <c r="P6" s="51">
        <f>IFERROR(TREND($M$6:INDEX($M:$M,ROW(),1),$I$6:INDEX($I:$I,ROW(),1),IF('Introdução de Dados'!$I6=4,5,'Introdução de Dados'!$I6+1)),"")</f>
        <v>50800</v>
      </c>
      <c r="Q6" s="51">
        <f>IFERROR(TREND($N$6:INDEX($N:$N,ROW(),1),$J$6:INDEX($J:$J,ROW(),1),'Introdução de Dados'!$J6+1),"")</f>
        <v>143800</v>
      </c>
    </row>
    <row r="7" spans="1:17" ht="17.25" customHeight="1" x14ac:dyDescent="0.2">
      <c r="B7" s="52">
        <f>40659+(365*2)</f>
        <v>41389</v>
      </c>
      <c r="C7" s="43" t="s">
        <v>1</v>
      </c>
      <c r="D7" s="44">
        <v>8200</v>
      </c>
      <c r="E7" s="44">
        <v>8000</v>
      </c>
      <c r="F7" s="44">
        <v>6400</v>
      </c>
      <c r="G7" s="45">
        <f>'Introdução de Dados'!$D7-'Introdução de Dados'!$F7</f>
        <v>1800</v>
      </c>
      <c r="H7" s="46">
        <f>DATE(YEAR('Introdução de Dados'!$B7),MONTH('Introdução de Dados'!$B7),1)</f>
        <v>41365</v>
      </c>
      <c r="I7" s="47">
        <f>LOOKUP(MONTH('Introdução de Dados'!$H7),{1,1;2,1;3,1;4,2;5,2;6,2;7,3;8,3;9,3;10,4;11,4;12,4})</f>
        <v>2</v>
      </c>
      <c r="J7" s="48">
        <f>YEAR('Introdução de Dados'!$B7)</f>
        <v>2013</v>
      </c>
      <c r="K7" s="49">
        <f>MONTH('Introdução de Dados'!$B7)</f>
        <v>4</v>
      </c>
      <c r="L7" s="50">
        <f>SUMIFS('Introdução de Dados'!$D$6:$D$24,'Introdução de Dados'!$B$6:$B$24,"&gt;="&amp;EOMONTH('Introdução de Dados'!$B7,-1)+1,'Introdução de Dados'!$B$6:$B$24,"&lt;="&amp;EOMONTH('Introdução de Dados'!$B7,0))</f>
        <v>14600</v>
      </c>
      <c r="M7" s="50">
        <f>SUMIFS('Introdução de Dados'!$D$6:$D$24,'Introdução de Dados'!$B$6:$B$24,"&gt;="&amp;DATE(YEAR('Introdução de Dados'!$B7),1,1),'Introdução de Dados'!$B$6:$B$24,"&lt;="&amp;DATE(YEAR('Introdução de Dados'!$B7),12,31),'Introdução de Dados'!$I$6:$I$24,'Introdução de Dados'!$I7)</f>
        <v>50800</v>
      </c>
      <c r="N7" s="50">
        <f>SUMIFS('Introdução de Dados'!$D$6:$D$24,'Introdução de Dados'!$B$6:$B$24,"&gt;="&amp;DATE(YEAR('Introdução de Dados'!$B7),1,1),'Introdução de Dados'!$B$6:$B$24,"&lt;="&amp;DATE(YEAR('Introdução de Dados'!$B7),12,31))</f>
        <v>143800</v>
      </c>
      <c r="O7" s="51">
        <f>IFERROR(TREND($L$6:INDEX($L:$L,ROW(),1),$K$6:INDEX($K:$K,ROW(),1),IF(MONTH('Introdução de Dados'!$B7)=12,13,MONTH('Introdução de Dados'!$B7)+1)),"")</f>
        <v>14600</v>
      </c>
      <c r="P7" s="51">
        <f>IFERROR(TREND($M$6:INDEX($M:$M,ROW(),1),$I$6:INDEX($I:$I,ROW(),1),IF('Introdução de Dados'!$I7=4,5,'Introdução de Dados'!$I7+1)),"")</f>
        <v>50800</v>
      </c>
      <c r="Q7" s="51">
        <f>IFERROR(TREND($N$6:INDEX($N:$N,ROW(),1),$J$6:INDEX($J:$J,ROW(),1),'Introdução de Dados'!$J7+1),"")</f>
        <v>143800</v>
      </c>
    </row>
    <row r="8" spans="1:17" ht="17.25" customHeight="1" x14ac:dyDescent="0.2">
      <c r="B8" s="52">
        <f>40671+(365*2)</f>
        <v>41401</v>
      </c>
      <c r="C8" s="43" t="s">
        <v>2</v>
      </c>
      <c r="D8" s="44">
        <v>4400</v>
      </c>
      <c r="E8" s="44">
        <v>4200</v>
      </c>
      <c r="F8" s="44">
        <v>2600</v>
      </c>
      <c r="G8" s="45">
        <f>'Introdução de Dados'!$D8-'Introdução de Dados'!$F8</f>
        <v>1800</v>
      </c>
      <c r="H8" s="46">
        <f>DATE(YEAR('Introdução de Dados'!$B8),MONTH('Introdução de Dados'!$B8),1)</f>
        <v>41395</v>
      </c>
      <c r="I8" s="47">
        <f>LOOKUP(MONTH('Introdução de Dados'!$H8),{1,1;2,1;3,1;4,2;5,2;6,2;7,3;8,3;9,3;10,4;11,4;12,4})</f>
        <v>2</v>
      </c>
      <c r="J8" s="48">
        <f>YEAR('Introdução de Dados'!$B8)</f>
        <v>2013</v>
      </c>
      <c r="K8" s="49">
        <f>MONTH('Introdução de Dados'!$B8)</f>
        <v>5</v>
      </c>
      <c r="L8" s="50">
        <f>SUMIFS('Introdução de Dados'!$D$6:$D$24,'Introdução de Dados'!$B$6:$B$24,"&gt;="&amp;EOMONTH('Introdução de Dados'!$B8,-1)+1,'Introdução de Dados'!$B$6:$B$24,"&lt;="&amp;EOMONTH('Introdução de Dados'!$B8,0))</f>
        <v>21800</v>
      </c>
      <c r="M8" s="50">
        <f>SUMIFS('Introdução de Dados'!$D$6:$D$24,'Introdução de Dados'!$B$6:$B$24,"&gt;="&amp;DATE(YEAR('Introdução de Dados'!$B8),1,1),'Introdução de Dados'!$B$6:$B$24,"&lt;="&amp;DATE(YEAR('Introdução de Dados'!$B8),12,31),'Introdução de Dados'!$I$6:$I$24,'Introdução de Dados'!$I8)</f>
        <v>50800</v>
      </c>
      <c r="N8" s="50">
        <f>SUMIFS('Introdução de Dados'!$D$6:$D$24,'Introdução de Dados'!$B$6:$B$24,"&gt;="&amp;DATE(YEAR('Introdução de Dados'!$B8),1,1),'Introdução de Dados'!$B$6:$B$24,"&lt;="&amp;DATE(YEAR('Introdução de Dados'!$B8),12,31))</f>
        <v>143800</v>
      </c>
      <c r="O8" s="51">
        <f>IFERROR(TREND($L$6:INDEX($L:$L,ROW(),1),$K$6:INDEX($K:$K,ROW(),1),IF(MONTH('Introdução de Dados'!$B8)=12,13,MONTH('Introdução de Dados'!$B8)+1)),"")</f>
        <v>28999.999999999996</v>
      </c>
      <c r="P8" s="51">
        <f>IFERROR(TREND($M$6:INDEX($M:$M,ROW(),1),$I$6:INDEX($I:$I,ROW(),1),IF('Introdução de Dados'!$I8=4,5,'Introdução de Dados'!$I8+1)),"")</f>
        <v>50800</v>
      </c>
      <c r="Q8" s="51">
        <f>IFERROR(TREND($N$6:INDEX($N:$N,ROW(),1),$J$6:INDEX($J:$J,ROW(),1),'Introdução de Dados'!$J8+1),"")</f>
        <v>143800</v>
      </c>
    </row>
    <row r="9" spans="1:17" ht="17.25" customHeight="1" x14ac:dyDescent="0.2">
      <c r="B9" s="52">
        <f>40678+(365*2)</f>
        <v>41408</v>
      </c>
      <c r="C9" s="43" t="s">
        <v>3</v>
      </c>
      <c r="D9" s="44">
        <v>5400</v>
      </c>
      <c r="E9" s="44">
        <v>5500</v>
      </c>
      <c r="F9" s="44">
        <v>4500</v>
      </c>
      <c r="G9" s="45">
        <f>'Introdução de Dados'!$D9-'Introdução de Dados'!$F9</f>
        <v>900</v>
      </c>
      <c r="H9" s="46">
        <f>DATE(YEAR('Introdução de Dados'!$B9),MONTH('Introdução de Dados'!$B9),1)</f>
        <v>41395</v>
      </c>
      <c r="I9" s="47">
        <f>LOOKUP(MONTH('Introdução de Dados'!$H9),{1,1;2,1;3,1;4,2;5,2;6,2;7,3;8,3;9,3;10,4;11,4;12,4})</f>
        <v>2</v>
      </c>
      <c r="J9" s="48">
        <f>YEAR('Introdução de Dados'!$B9)</f>
        <v>2013</v>
      </c>
      <c r="K9" s="49">
        <f>MONTH('Introdução de Dados'!$B9)</f>
        <v>5</v>
      </c>
      <c r="L9" s="50">
        <f>SUMIFS('Introdução de Dados'!$D$6:$D$24,'Introdução de Dados'!$B$6:$B$24,"&gt;="&amp;EOMONTH('Introdução de Dados'!$B9,-1)+1,'Introdução de Dados'!$B$6:$B$24,"&lt;="&amp;EOMONTH('Introdução de Dados'!$B9,0))</f>
        <v>21800</v>
      </c>
      <c r="M9" s="50">
        <f>SUMIFS('Introdução de Dados'!$D$6:$D$24,'Introdução de Dados'!$B$6:$B$24,"&gt;="&amp;DATE(YEAR('Introdução de Dados'!$B9),1,1),'Introdução de Dados'!$B$6:$B$24,"&lt;="&amp;DATE(YEAR('Introdução de Dados'!$B9),12,31),'Introdução de Dados'!$I$6:$I$24,'Introdução de Dados'!$I9)</f>
        <v>50800</v>
      </c>
      <c r="N9" s="50">
        <f>SUMIFS('Introdução de Dados'!$D$6:$D$24,'Introdução de Dados'!$B$6:$B$24,"&gt;="&amp;DATE(YEAR('Introdução de Dados'!$B9),1,1),'Introdução de Dados'!$B$6:$B$24,"&lt;="&amp;DATE(YEAR('Introdução de Dados'!$B9),12,31))</f>
        <v>143800</v>
      </c>
      <c r="O9" s="51">
        <f>IFERROR(TREND($L$6:INDEX($L:$L,ROW(),1),$K$6:INDEX($K:$K,ROW(),1),IF(MONTH('Introdução de Dados'!$B9)=12,13,MONTH('Introdução de Dados'!$B9)+1)),"")</f>
        <v>29000</v>
      </c>
      <c r="P9" s="51">
        <f>IFERROR(TREND($M$6:INDEX($M:$M,ROW(),1),$I$6:INDEX($I:$I,ROW(),1),IF('Introdução de Dados'!$I9=4,5,'Introdução de Dados'!$I9+1)),"")</f>
        <v>50800</v>
      </c>
      <c r="Q9" s="51">
        <f>IFERROR(TREND($N$6:INDEX($N:$N,ROW(),1),$J$6:INDEX($J:$J,ROW(),1),'Introdução de Dados'!$J9+1),"")</f>
        <v>143800</v>
      </c>
    </row>
    <row r="10" spans="1:17" ht="17.25" customHeight="1" x14ac:dyDescent="0.2">
      <c r="B10" s="52">
        <f>40678+(365*2)</f>
        <v>41408</v>
      </c>
      <c r="C10" s="43" t="s">
        <v>4</v>
      </c>
      <c r="D10" s="44">
        <v>5800</v>
      </c>
      <c r="E10" s="44">
        <v>6000</v>
      </c>
      <c r="F10" s="44">
        <v>4500</v>
      </c>
      <c r="G10" s="45">
        <f>'Introdução de Dados'!$D10-'Introdução de Dados'!$F10</f>
        <v>1300</v>
      </c>
      <c r="H10" s="46">
        <f>DATE(YEAR('Introdução de Dados'!$B10),MONTH('Introdução de Dados'!$B10),1)</f>
        <v>41395</v>
      </c>
      <c r="I10" s="47">
        <f>LOOKUP(MONTH('Introdução de Dados'!$H10),{1,1;2,1;3,1;4,2;5,2;6,2;7,3;8,3;9,3;10,4;11,4;12,4})</f>
        <v>2</v>
      </c>
      <c r="J10" s="48">
        <f>YEAR('Introdução de Dados'!$B10)</f>
        <v>2013</v>
      </c>
      <c r="K10" s="49">
        <f>MONTH('Introdução de Dados'!$B10)</f>
        <v>5</v>
      </c>
      <c r="L10" s="50">
        <f>SUMIFS('Introdução de Dados'!$D$6:$D$24,'Introdução de Dados'!$B$6:$B$24,"&gt;="&amp;EOMONTH('Introdução de Dados'!$B10,-1)+1,'Introdução de Dados'!$B$6:$B$24,"&lt;="&amp;EOMONTH('Introdução de Dados'!$B10,0))</f>
        <v>21800</v>
      </c>
      <c r="M10" s="50">
        <f>SUMIFS('Introdução de Dados'!$D$6:$D$24,'Introdução de Dados'!$B$6:$B$24,"&gt;="&amp;DATE(YEAR('Introdução de Dados'!$B10),1,1),'Introdução de Dados'!$B$6:$B$24,"&lt;="&amp;DATE(YEAR('Introdução de Dados'!$B10),12,31),'Introdução de Dados'!$I$6:$I$24,'Introdução de Dados'!$I10)</f>
        <v>50800</v>
      </c>
      <c r="N10" s="50">
        <f>SUMIFS('Introdução de Dados'!$D$6:$D$24,'Introdução de Dados'!$B$6:$B$24,"&gt;="&amp;DATE(YEAR('Introdução de Dados'!$B10),1,1),'Introdução de Dados'!$B$6:$B$24,"&lt;="&amp;DATE(YEAR('Introdução de Dados'!$B10),12,31))</f>
        <v>143800</v>
      </c>
      <c r="O10" s="51">
        <f>IFERROR(TREND($L$6:INDEX($L:$L,ROW(),1),$K$6:INDEX($K:$K,ROW(),1),IF(MONTH('Introdução de Dados'!$B10)=12,13,MONTH('Introdução de Dados'!$B10)+1)),"")</f>
        <v>29000</v>
      </c>
      <c r="P10" s="51">
        <f>IFERROR(TREND($M$6:INDEX($M:$M,ROW(),1),$I$6:INDEX($I:$I,ROW(),1),IF('Introdução de Dados'!$I10=4,5,'Introdução de Dados'!$I10+1)),"")</f>
        <v>50800</v>
      </c>
      <c r="Q10" s="51">
        <f>IFERROR(TREND($N$6:INDEX($N:$N,ROW(),1),$J$6:INDEX($J:$J,ROW(),1),'Introdução de Dados'!$J10+1),"")</f>
        <v>143800</v>
      </c>
    </row>
    <row r="11" spans="1:17" ht="17.25" customHeight="1" x14ac:dyDescent="0.2">
      <c r="B11" s="52">
        <f>40693+(365*2)</f>
        <v>41423</v>
      </c>
      <c r="C11" s="43" t="s">
        <v>5</v>
      </c>
      <c r="D11" s="44">
        <v>6200</v>
      </c>
      <c r="E11" s="44">
        <v>6000</v>
      </c>
      <c r="F11" s="44">
        <v>4500</v>
      </c>
      <c r="G11" s="45">
        <f>'Introdução de Dados'!$D11-'Introdução de Dados'!$F11</f>
        <v>1700</v>
      </c>
      <c r="H11" s="46">
        <f>DATE(YEAR('Introdução de Dados'!$B11),MONTH('Introdução de Dados'!$B11),1)</f>
        <v>41395</v>
      </c>
      <c r="I11" s="47">
        <f>LOOKUP(MONTH('Introdução de Dados'!$H11),{1,1;2,1;3,1;4,2;5,2;6,2;7,3;8,3;9,3;10,4;11,4;12,4})</f>
        <v>2</v>
      </c>
      <c r="J11" s="48">
        <f>YEAR('Introdução de Dados'!$B11)</f>
        <v>2013</v>
      </c>
      <c r="K11" s="49">
        <f>MONTH('Introdução de Dados'!$B11)</f>
        <v>5</v>
      </c>
      <c r="L11" s="50">
        <f>SUMIFS('Introdução de Dados'!$D$6:$D$24,'Introdução de Dados'!$B$6:$B$24,"&gt;="&amp;EOMONTH('Introdução de Dados'!$B11,-1)+1,'Introdução de Dados'!$B$6:$B$24,"&lt;="&amp;EOMONTH('Introdução de Dados'!$B11,0))</f>
        <v>21800</v>
      </c>
      <c r="M11" s="50">
        <f>SUMIFS('Introdução de Dados'!$D$6:$D$24,'Introdução de Dados'!$B$6:$B$24,"&gt;="&amp;DATE(YEAR('Introdução de Dados'!$B11),1,1),'Introdução de Dados'!$B$6:$B$24,"&lt;="&amp;DATE(YEAR('Introdução de Dados'!$B11),12,31),'Introdução de Dados'!$I$6:$I$24,'Introdução de Dados'!$I11)</f>
        <v>50800</v>
      </c>
      <c r="N11" s="50">
        <f>SUMIFS('Introdução de Dados'!$D$6:$D$24,'Introdução de Dados'!$B$6:$B$24,"&gt;="&amp;DATE(YEAR('Introdução de Dados'!$B11),1,1),'Introdução de Dados'!$B$6:$B$24,"&lt;="&amp;DATE(YEAR('Introdução de Dados'!$B11),12,31))</f>
        <v>143800</v>
      </c>
      <c r="O11" s="51">
        <f>IFERROR(TREND($L$6:INDEX($L:$L,ROW(),1),$K$6:INDEX($K:$K,ROW(),1),IF(MONTH('Introdução de Dados'!$B11)=12,13,MONTH('Introdução de Dados'!$B11)+1)),"")</f>
        <v>29000</v>
      </c>
      <c r="P11" s="51">
        <f>IFERROR(TREND($M$6:INDEX($M:$M,ROW(),1),$I$6:INDEX($I:$I,ROW(),1),IF('Introdução de Dados'!$I11=4,5,'Introdução de Dados'!$I11+1)),"")</f>
        <v>50800</v>
      </c>
      <c r="Q11" s="51">
        <f>IFERROR(TREND($N$6:INDEX($N:$N,ROW(),1),$J$6:INDEX($J:$J,ROW(),1),'Introdução de Dados'!$J11+1),"")</f>
        <v>143800</v>
      </c>
    </row>
    <row r="12" spans="1:17" ht="17.25" customHeight="1" x14ac:dyDescent="0.2">
      <c r="B12" s="52">
        <f>40705+(365*2)</f>
        <v>41435</v>
      </c>
      <c r="C12" s="43" t="s">
        <v>0</v>
      </c>
      <c r="D12" s="44">
        <v>6900</v>
      </c>
      <c r="E12" s="44">
        <v>7500</v>
      </c>
      <c r="F12" s="44">
        <v>5400</v>
      </c>
      <c r="G12" s="45">
        <f>'Introdução de Dados'!$D12-'Introdução de Dados'!$F12</f>
        <v>1500</v>
      </c>
      <c r="H12" s="46">
        <f>DATE(YEAR('Introdução de Dados'!$B12),MONTH('Introdução de Dados'!$B12),1)</f>
        <v>41426</v>
      </c>
      <c r="I12" s="47">
        <f>LOOKUP(MONTH('Introdução de Dados'!$H12),{1,1;2,1;3,1;4,2;5,2;6,2;7,3;8,3;9,3;10,4;11,4;12,4})</f>
        <v>2</v>
      </c>
      <c r="J12" s="48">
        <f>YEAR('Introdução de Dados'!$B12)</f>
        <v>2013</v>
      </c>
      <c r="K12" s="49">
        <f>MONTH('Introdução de Dados'!$B12)</f>
        <v>6</v>
      </c>
      <c r="L12" s="50">
        <f>SUMIFS('Introdução de Dados'!$D$6:$D$24,'Introdução de Dados'!$B$6:$B$24,"&gt;="&amp;EOMONTH('Introdução de Dados'!$B12,-1)+1,'Introdução de Dados'!$B$6:$B$24,"&lt;="&amp;EOMONTH('Introdução de Dados'!$B12,0))</f>
        <v>14400</v>
      </c>
      <c r="M12" s="50">
        <f>SUMIFS('Introdução de Dados'!$D$6:$D$24,'Introdução de Dados'!$B$6:$B$24,"&gt;="&amp;DATE(YEAR('Introdução de Dados'!$B12),1,1),'Introdução de Dados'!$B$6:$B$24,"&lt;="&amp;DATE(YEAR('Introdução de Dados'!$B12),12,31),'Introdução de Dados'!$I$6:$I$24,'Introdução de Dados'!$I12)</f>
        <v>50800</v>
      </c>
      <c r="N12" s="50">
        <f>SUMIFS('Introdução de Dados'!$D$6:$D$24,'Introdução de Dados'!$B$6:$B$24,"&gt;="&amp;DATE(YEAR('Introdução de Dados'!$B12),1,1),'Introdução de Dados'!$B$6:$B$24,"&lt;="&amp;DATE(YEAR('Introdução de Dados'!$B12),12,31))</f>
        <v>143800</v>
      </c>
      <c r="O12" s="51">
        <f>IFERROR(TREND($L$6:INDEX($L:$L,ROW(),1),$K$6:INDEX($K:$K,ROW(),1),IF(MONTH('Introdução de Dados'!$B12)=12,13,MONTH('Introdução de Dados'!$B12)+1)),"")</f>
        <v>21600.000000000004</v>
      </c>
      <c r="P12" s="51">
        <f>IFERROR(TREND($M$6:INDEX($M:$M,ROW(),1),$I$6:INDEX($I:$I,ROW(),1),IF('Introdução de Dados'!$I12=4,5,'Introdução de Dados'!$I12+1)),"")</f>
        <v>50800</v>
      </c>
      <c r="Q12" s="51">
        <f>IFERROR(TREND($N$6:INDEX($N:$N,ROW(),1),$J$6:INDEX($J:$J,ROW(),1),'Introdução de Dados'!$J12+1),"")</f>
        <v>143800</v>
      </c>
    </row>
    <row r="13" spans="1:17" ht="17.25" customHeight="1" x14ac:dyDescent="0.2">
      <c r="B13" s="52">
        <f>40716+(365*2)</f>
        <v>41446</v>
      </c>
      <c r="C13" s="43" t="s">
        <v>1</v>
      </c>
      <c r="D13" s="44">
        <v>7500</v>
      </c>
      <c r="E13" s="44">
        <v>7200</v>
      </c>
      <c r="F13" s="44">
        <v>6500</v>
      </c>
      <c r="G13" s="45">
        <f>'Introdução de Dados'!$D13-'Introdução de Dados'!$F13</f>
        <v>1000</v>
      </c>
      <c r="H13" s="46">
        <f>DATE(YEAR('Introdução de Dados'!$B13),MONTH('Introdução de Dados'!$B13),1)</f>
        <v>41426</v>
      </c>
      <c r="I13" s="47">
        <f>LOOKUP(MONTH('Introdução de Dados'!$H13),{1,1;2,1;3,1;4,2;5,2;6,2;7,3;8,3;9,3;10,4;11,4;12,4})</f>
        <v>2</v>
      </c>
      <c r="J13" s="48">
        <f>YEAR('Introdução de Dados'!$B13)</f>
        <v>2013</v>
      </c>
      <c r="K13" s="49">
        <f>MONTH('Introdução de Dados'!$B13)</f>
        <v>6</v>
      </c>
      <c r="L13" s="50">
        <f>SUMIFS('Introdução de Dados'!$D$6:$D$24,'Introdução de Dados'!$B$6:$B$24,"&gt;="&amp;EOMONTH('Introdução de Dados'!$B13,-1)+1,'Introdução de Dados'!$B$6:$B$24,"&lt;="&amp;EOMONTH('Introdução de Dados'!$B13,0))</f>
        <v>14400</v>
      </c>
      <c r="M13" s="50">
        <f>SUMIFS('Introdução de Dados'!$D$6:$D$24,'Introdução de Dados'!$B$6:$B$24,"&gt;="&amp;DATE(YEAR('Introdução de Dados'!$B13),1,1),'Introdução de Dados'!$B$6:$B$24,"&lt;="&amp;DATE(YEAR('Introdução de Dados'!$B13),12,31),'Introdução de Dados'!$I$6:$I$24,'Introdução de Dados'!$I13)</f>
        <v>50800</v>
      </c>
      <c r="N13" s="50">
        <f>SUMIFS('Introdução de Dados'!$D$6:$D$24,'Introdução de Dados'!$B$6:$B$24,"&gt;="&amp;DATE(YEAR('Introdução de Dados'!$B13),1,1),'Introdução de Dados'!$B$6:$B$24,"&lt;="&amp;DATE(YEAR('Introdução de Dados'!$B13),12,31))</f>
        <v>143800</v>
      </c>
      <c r="O13" s="51">
        <f>IFERROR(TREND($L$6:INDEX($L:$L,ROW(),1),$K$6:INDEX($K:$K,ROW(),1),IF(MONTH('Introdução de Dados'!$B13)=12,13,MONTH('Introdução de Dados'!$B13)+1)),"")</f>
        <v>17950</v>
      </c>
      <c r="P13" s="51">
        <f>IFERROR(TREND($M$6:INDEX($M:$M,ROW(),1),$I$6:INDEX($I:$I,ROW(),1),IF('Introdução de Dados'!$I13=4,5,'Introdução de Dados'!$I13+1)),"")</f>
        <v>50800</v>
      </c>
      <c r="Q13" s="51">
        <f>IFERROR(TREND($N$6:INDEX($N:$N,ROW(),1),$J$6:INDEX($J:$J,ROW(),1),'Introdução de Dados'!$J13+1),"")</f>
        <v>143800</v>
      </c>
    </row>
    <row r="14" spans="1:17" ht="17.25" customHeight="1" x14ac:dyDescent="0.2">
      <c r="B14" s="52">
        <f>40731+(365*2)</f>
        <v>41461</v>
      </c>
      <c r="C14" s="43" t="s">
        <v>2</v>
      </c>
      <c r="D14" s="44">
        <v>8700</v>
      </c>
      <c r="E14" s="44">
        <v>8500</v>
      </c>
      <c r="F14" s="44">
        <v>7250</v>
      </c>
      <c r="G14" s="45">
        <f>'Introdução de Dados'!$D14-'Introdução de Dados'!$F14</f>
        <v>1450</v>
      </c>
      <c r="H14" s="46">
        <f>DATE(YEAR('Introdução de Dados'!$B14),MONTH('Introdução de Dados'!$B14),1)</f>
        <v>41456</v>
      </c>
      <c r="I14" s="47">
        <f>LOOKUP(MONTH('Introdução de Dados'!$H14),{1,1;2,1;3,1;4,2;5,2;6,2;7,3;8,3;9,3;10,4;11,4;12,4})</f>
        <v>3</v>
      </c>
      <c r="J14" s="48">
        <f>YEAR('Introdução de Dados'!$B14)</f>
        <v>2013</v>
      </c>
      <c r="K14" s="49">
        <f>MONTH('Introdução de Dados'!$B14)</f>
        <v>7</v>
      </c>
      <c r="L14" s="50">
        <f>SUMIFS('Introdução de Dados'!$D$6:$D$24,'Introdução de Dados'!$B$6:$B$24,"&gt;="&amp;EOMONTH('Introdução de Dados'!$B14,-1)+1,'Introdução de Dados'!$B$6:$B$24,"&lt;="&amp;EOMONTH('Introdução de Dados'!$B14,0))</f>
        <v>8700</v>
      </c>
      <c r="M14" s="50">
        <f>SUMIFS('Introdução de Dados'!$D$6:$D$24,'Introdução de Dados'!$B$6:$B$24,"&gt;="&amp;DATE(YEAR('Introdução de Dados'!$B14),1,1),'Introdução de Dados'!$B$6:$B$24,"&lt;="&amp;DATE(YEAR('Introdução de Dados'!$B14),12,31),'Introdução de Dados'!$I$6:$I$24,'Introdução de Dados'!$I14)</f>
        <v>49100</v>
      </c>
      <c r="N14" s="50">
        <f>SUMIFS('Introdução de Dados'!$D$6:$D$24,'Introdução de Dados'!$B$6:$B$24,"&gt;="&amp;DATE(YEAR('Introdução de Dados'!$B14),1,1),'Introdução de Dados'!$B$6:$B$24,"&lt;="&amp;DATE(YEAR('Introdução de Dados'!$B14),12,31))</f>
        <v>143800</v>
      </c>
      <c r="O14" s="51">
        <f>IFERROR(TREND($L$6:INDEX($L:$L,ROW(),1),$K$6:INDEX($K:$K,ROW(),1),IF(MONTH('Introdução de Dados'!$B14)=12,13,MONTH('Introdução de Dados'!$B14)+1)),"")</f>
        <v>10776.470588235294</v>
      </c>
      <c r="P14" s="51">
        <f>IFERROR(TREND($M$6:INDEX($M:$M,ROW(),1),$I$6:INDEX($I:$I,ROW(),1),IF('Introdução de Dados'!$I14=4,5,'Introdução de Dados'!$I14+1)),"")</f>
        <v>47400</v>
      </c>
      <c r="Q14" s="51">
        <f>IFERROR(TREND($N$6:INDEX($N:$N,ROW(),1),$J$6:INDEX($J:$J,ROW(),1),'Introdução de Dados'!$J14+1),"")</f>
        <v>143800</v>
      </c>
    </row>
    <row r="15" spans="1:17" ht="17.25" customHeight="1" x14ac:dyDescent="0.2">
      <c r="B15" s="52">
        <f>40761+(365*2)</f>
        <v>41491</v>
      </c>
      <c r="C15" s="43" t="s">
        <v>3</v>
      </c>
      <c r="D15" s="44">
        <v>8500</v>
      </c>
      <c r="E15" s="44">
        <v>8300</v>
      </c>
      <c r="F15" s="44">
        <v>7100</v>
      </c>
      <c r="G15" s="45">
        <f>'Introdução de Dados'!$D15-'Introdução de Dados'!$F15</f>
        <v>1400</v>
      </c>
      <c r="H15" s="46">
        <f>DATE(YEAR('Introdução de Dados'!$B15),MONTH('Introdução de Dados'!$B15),1)</f>
        <v>41487</v>
      </c>
      <c r="I15" s="47">
        <f>LOOKUP(MONTH('Introdução de Dados'!$H15),{1,1;2,1;3,1;4,2;5,2;6,2;7,3;8,3;9,3;10,4;11,4;12,4})</f>
        <v>3</v>
      </c>
      <c r="J15" s="48">
        <f>YEAR('Introdução de Dados'!$B15)</f>
        <v>2013</v>
      </c>
      <c r="K15" s="49">
        <f>MONTH('Introdução de Dados'!$B15)</f>
        <v>8</v>
      </c>
      <c r="L15" s="50">
        <f>SUMIFS('Introdução de Dados'!$D$6:$D$24,'Introdução de Dados'!$B$6:$B$24,"&gt;="&amp;EOMONTH('Introdução de Dados'!$B15,-1)+1,'Introdução de Dados'!$B$6:$B$24,"&lt;="&amp;EOMONTH('Introdução de Dados'!$B15,0))</f>
        <v>16400</v>
      </c>
      <c r="M15" s="50">
        <f>SUMIFS('Introdução de Dados'!$D$6:$D$24,'Introdução de Dados'!$B$6:$B$24,"&gt;="&amp;DATE(YEAR('Introdução de Dados'!$B15),1,1),'Introdução de Dados'!$B$6:$B$24,"&lt;="&amp;DATE(YEAR('Introdução de Dados'!$B15),12,31),'Introdução de Dados'!$I$6:$I$24,'Introdução de Dados'!$I15)</f>
        <v>49100</v>
      </c>
      <c r="N15" s="50">
        <f>SUMIFS('Introdução de Dados'!$D$6:$D$24,'Introdução de Dados'!$B$6:$B$24,"&gt;="&amp;DATE(YEAR('Introdução de Dados'!$B15),1,1),'Introdução de Dados'!$B$6:$B$24,"&lt;="&amp;DATE(YEAR('Introdução de Dados'!$B15),12,31))</f>
        <v>143800</v>
      </c>
      <c r="O15" s="51">
        <f>IFERROR(TREND($L$6:INDEX($L:$L,ROW(),1),$K$6:INDEX($K:$K,ROW(),1),IF(MONTH('Introdução de Dados'!$B15)=12,13,MONTH('Introdução de Dados'!$B15)+1)),"")</f>
        <v>12455.862068965516</v>
      </c>
      <c r="P15" s="51">
        <f>IFERROR(TREND($M$6:INDEX($M:$M,ROW(),1),$I$6:INDEX($I:$I,ROW(),1),IF('Introdução de Dados'!$I15=4,5,'Introdução de Dados'!$I15+1)),"")</f>
        <v>47400</v>
      </c>
      <c r="Q15" s="51">
        <f>IFERROR(TREND($N$6:INDEX($N:$N,ROW(),1),$J$6:INDEX($J:$J,ROW(),1),'Introdução de Dados'!$J15+1),"")</f>
        <v>143800</v>
      </c>
    </row>
    <row r="16" spans="1:17" ht="17.25" customHeight="1" x14ac:dyDescent="0.2">
      <c r="B16" s="52">
        <f>40775+(365*2)</f>
        <v>41505</v>
      </c>
      <c r="C16" s="43" t="s">
        <v>4</v>
      </c>
      <c r="D16" s="44">
        <v>7900</v>
      </c>
      <c r="E16" s="44">
        <v>7700</v>
      </c>
      <c r="F16" s="44">
        <v>6600</v>
      </c>
      <c r="G16" s="45">
        <f>'Introdução de Dados'!$D16-'Introdução de Dados'!$F16</f>
        <v>1300</v>
      </c>
      <c r="H16" s="46">
        <f>DATE(YEAR('Introdução de Dados'!$B16),MONTH('Introdução de Dados'!$B16),1)</f>
        <v>41487</v>
      </c>
      <c r="I16" s="47">
        <f>LOOKUP(MONTH('Introdução de Dados'!$H16),{1,1;2,1;3,1;4,2;5,2;6,2;7,3;8,3;9,3;10,4;11,4;12,4})</f>
        <v>3</v>
      </c>
      <c r="J16" s="48">
        <f>YEAR('Introdução de Dados'!$B16)</f>
        <v>2013</v>
      </c>
      <c r="K16" s="49">
        <f>MONTH('Introdução de Dados'!$B16)</f>
        <v>8</v>
      </c>
      <c r="L16" s="50">
        <f>SUMIFS('Introdução de Dados'!$D$6:$D$24,'Introdução de Dados'!$B$6:$B$24,"&gt;="&amp;EOMONTH('Introdução de Dados'!$B16,-1)+1,'Introdução de Dados'!$B$6:$B$24,"&lt;="&amp;EOMONTH('Introdução de Dados'!$B16,0))</f>
        <v>16400</v>
      </c>
      <c r="M16" s="50">
        <f>SUMIFS('Introdução de Dados'!$D$6:$D$24,'Introdução de Dados'!$B$6:$B$24,"&gt;="&amp;DATE(YEAR('Introdução de Dados'!$B16),1,1),'Introdução de Dados'!$B$6:$B$24,"&lt;="&amp;DATE(YEAR('Introdução de Dados'!$B16),12,31),'Introdução de Dados'!$I$6:$I$24,'Introdução de Dados'!$I16)</f>
        <v>49100</v>
      </c>
      <c r="N16" s="50">
        <f>SUMIFS('Introdução de Dados'!$D$6:$D$24,'Introdução de Dados'!$B$6:$B$24,"&gt;="&amp;DATE(YEAR('Introdução de Dados'!$B16),1,1),'Introdução de Dados'!$B$6:$B$24,"&lt;="&amp;DATE(YEAR('Introdução de Dados'!$B16),12,31))</f>
        <v>143800</v>
      </c>
      <c r="O16" s="51">
        <f>IFERROR(TREND($L$6:INDEX($L:$L,ROW(),1),$K$6:INDEX($K:$K,ROW(),1),IF(MONTH('Introdução de Dados'!$B16)=12,13,MONTH('Introdução de Dados'!$B16)+1)),"")</f>
        <v>13667.567567567567</v>
      </c>
      <c r="P16" s="51">
        <f>IFERROR(TREND($M$6:INDEX($M:$M,ROW(),1),$I$6:INDEX($I:$I,ROW(),1),IF('Introdução de Dados'!$I16=4,5,'Introdução de Dados'!$I16+1)),"")</f>
        <v>47400.000000000007</v>
      </c>
      <c r="Q16" s="51">
        <f>IFERROR(TREND($N$6:INDEX($N:$N,ROW(),1),$J$6:INDEX($J:$J,ROW(),1),'Introdução de Dados'!$J16+1),"")</f>
        <v>143800</v>
      </c>
    </row>
    <row r="17" spans="2:17" ht="17.25" customHeight="1" x14ac:dyDescent="0.2">
      <c r="B17" s="52">
        <f>40791+(365*2)</f>
        <v>41521</v>
      </c>
      <c r="C17" s="43" t="s">
        <v>5</v>
      </c>
      <c r="D17" s="44">
        <v>9100</v>
      </c>
      <c r="E17" s="44">
        <v>8900</v>
      </c>
      <c r="F17" s="44">
        <v>7900</v>
      </c>
      <c r="G17" s="45">
        <f>'Introdução de Dados'!$D17-'Introdução de Dados'!$F17</f>
        <v>1200</v>
      </c>
      <c r="H17" s="46">
        <f>DATE(YEAR('Introdução de Dados'!$B17),MONTH('Introdução de Dados'!$B17),1)</f>
        <v>41518</v>
      </c>
      <c r="I17" s="47">
        <f>LOOKUP(MONTH('Introdução de Dados'!$H17),{1,1;2,1;3,1;4,2;5,2;6,2;7,3;8,3;9,3;10,4;11,4;12,4})</f>
        <v>3</v>
      </c>
      <c r="J17" s="48">
        <f>YEAR('Introdução de Dados'!$B17)</f>
        <v>2013</v>
      </c>
      <c r="K17" s="49">
        <f>MONTH('Introdução de Dados'!$B17)</f>
        <v>9</v>
      </c>
      <c r="L17" s="50">
        <f>SUMIFS('Introdução de Dados'!$D$6:$D$24,'Introdução de Dados'!$B$6:$B$24,"&gt;="&amp;EOMONTH('Introdução de Dados'!$B17,-1)+1,'Introdução de Dados'!$B$6:$B$24,"&lt;="&amp;EOMONTH('Introdução de Dados'!$B17,0))</f>
        <v>24000</v>
      </c>
      <c r="M17" s="50">
        <f>SUMIFS('Introdução de Dados'!$D$6:$D$24,'Introdução de Dados'!$B$6:$B$24,"&gt;="&amp;DATE(YEAR('Introdução de Dados'!$B17),1,1),'Introdução de Dados'!$B$6:$B$24,"&lt;="&amp;DATE(YEAR('Introdução de Dados'!$B17),12,31),'Introdução de Dados'!$I$6:$I$24,'Introdução de Dados'!$I17)</f>
        <v>49100</v>
      </c>
      <c r="N17" s="50">
        <f>SUMIFS('Introdução de Dados'!$D$6:$D$24,'Introdução de Dados'!$B$6:$B$24,"&gt;="&amp;DATE(YEAR('Introdução de Dados'!$B17),1,1),'Introdução de Dados'!$B$6:$B$24,"&lt;="&amp;DATE(YEAR('Introdução de Dados'!$B17),12,31))</f>
        <v>143800</v>
      </c>
      <c r="O17" s="51">
        <f>IFERROR(TREND($L$6:INDEX($L:$L,ROW(),1),$K$6:INDEX($K:$K,ROW(),1),IF(MONTH('Introdução de Dados'!$B17)=12,13,MONTH('Introdução de Dados'!$B17)+1)),"")</f>
        <v>17651.666666666668</v>
      </c>
      <c r="P17" s="51">
        <f>IFERROR(TREND($M$6:INDEX($M:$M,ROW(),1),$I$6:INDEX($I:$I,ROW(),1),IF('Introdução de Dados'!$I17=4,5,'Introdução de Dados'!$I17+1)),"")</f>
        <v>47400</v>
      </c>
      <c r="Q17" s="51">
        <f>IFERROR(TREND($N$6:INDEX($N:$N,ROW(),1),$J$6:INDEX($J:$J,ROW(),1),'Introdução de Dados'!$J17+1),"")</f>
        <v>143800</v>
      </c>
    </row>
    <row r="18" spans="2:17" ht="17.25" customHeight="1" x14ac:dyDescent="0.2">
      <c r="B18" s="52">
        <f>40807+(365*2)</f>
        <v>41537</v>
      </c>
      <c r="C18" s="43" t="s">
        <v>1</v>
      </c>
      <c r="D18" s="44">
        <v>5600</v>
      </c>
      <c r="E18" s="44">
        <v>5800</v>
      </c>
      <c r="F18" s="44">
        <v>4500</v>
      </c>
      <c r="G18" s="45">
        <f>'Introdução de Dados'!$D18-'Introdução de Dados'!$F18</f>
        <v>1100</v>
      </c>
      <c r="H18" s="46">
        <f>DATE(YEAR('Introdução de Dados'!$B18),MONTH('Introdução de Dados'!$B18),1)</f>
        <v>41518</v>
      </c>
      <c r="I18" s="47">
        <f>LOOKUP(MONTH('Introdução de Dados'!$H18),{1,1;2,1;3,1;4,2;5,2;6,2;7,3;8,3;9,3;10,4;11,4;12,4})</f>
        <v>3</v>
      </c>
      <c r="J18" s="48">
        <f>YEAR('Introdução de Dados'!$B18)</f>
        <v>2013</v>
      </c>
      <c r="K18" s="49">
        <f>MONTH('Introdução de Dados'!$B18)</f>
        <v>9</v>
      </c>
      <c r="L18" s="50">
        <f>SUMIFS('Introdução de Dados'!$D$6:$D$24,'Introdução de Dados'!$B$6:$B$24,"&gt;="&amp;EOMONTH('Introdução de Dados'!$B18,-1)+1,'Introdução de Dados'!$B$6:$B$24,"&lt;="&amp;EOMONTH('Introdução de Dados'!$B18,0))</f>
        <v>24000</v>
      </c>
      <c r="M18" s="50">
        <f>SUMIFS('Introdução de Dados'!$D$6:$D$24,'Introdução de Dados'!$B$6:$B$24,"&gt;="&amp;DATE(YEAR('Introdução de Dados'!$B18),1,1),'Introdução de Dados'!$B$6:$B$24,"&lt;="&amp;DATE(YEAR('Introdução de Dados'!$B18),12,31),'Introdução de Dados'!$I$6:$I$24,'Introdução de Dados'!$I18)</f>
        <v>49100</v>
      </c>
      <c r="N18" s="50">
        <f>SUMIFS('Introdução de Dados'!$D$6:$D$24,'Introdução de Dados'!$B$6:$B$24,"&gt;="&amp;DATE(YEAR('Introdução de Dados'!$B18),1,1),'Introdução de Dados'!$B$6:$B$24,"&lt;="&amp;DATE(YEAR('Introdução de Dados'!$B18),12,31))</f>
        <v>143800</v>
      </c>
      <c r="O18" s="51">
        <f>IFERROR(TREND($L$6:INDEX($L:$L,ROW(),1),$K$6:INDEX($K:$K,ROW(),1),IF(MONTH('Introdução de Dados'!$B18)=12,13,MONTH('Introdução de Dados'!$B18)+1)),"")</f>
        <v>19877.911646586344</v>
      </c>
      <c r="P18" s="51">
        <f>IFERROR(TREND($M$6:INDEX($M:$M,ROW(),1),$I$6:INDEX($I:$I,ROW(),1),IF('Introdução de Dados'!$I18=4,5,'Introdução de Dados'!$I18+1)),"")</f>
        <v>47400</v>
      </c>
      <c r="Q18" s="51">
        <f>IFERROR(TREND($N$6:INDEX($N:$N,ROW(),1),$J$6:INDEX($J:$J,ROW(),1),'Introdução de Dados'!$J18+1),"")</f>
        <v>143800</v>
      </c>
    </row>
    <row r="19" spans="2:17" ht="17.25" customHeight="1" x14ac:dyDescent="0.2">
      <c r="B19" s="52">
        <f>40812+(365*2)</f>
        <v>41542</v>
      </c>
      <c r="C19" s="43" t="s">
        <v>2</v>
      </c>
      <c r="D19" s="44">
        <v>9300</v>
      </c>
      <c r="E19" s="44">
        <v>9100</v>
      </c>
      <c r="F19" s="44">
        <v>7500</v>
      </c>
      <c r="G19" s="45">
        <f>'Introdução de Dados'!$D19-'Introdução de Dados'!$F19</f>
        <v>1800</v>
      </c>
      <c r="H19" s="46">
        <f>DATE(YEAR('Introdução de Dados'!$B19),MONTH('Introdução de Dados'!$B19),1)</f>
        <v>41518</v>
      </c>
      <c r="I19" s="47">
        <f>LOOKUP(MONTH('Introdução de Dados'!$H19),{1,1;2,1;3,1;4,2;5,2;6,2;7,3;8,3;9,3;10,4;11,4;12,4})</f>
        <v>3</v>
      </c>
      <c r="J19" s="48">
        <f>YEAR('Introdução de Dados'!$B19)</f>
        <v>2013</v>
      </c>
      <c r="K19" s="49">
        <f>MONTH('Introdução de Dados'!$B19)</f>
        <v>9</v>
      </c>
      <c r="L19" s="50">
        <f>SUMIFS('Introdução de Dados'!$D$6:$D$24,'Introdução de Dados'!$B$6:$B$24,"&gt;="&amp;EOMONTH('Introdução de Dados'!$B19,-1)+1,'Introdução de Dados'!$B$6:$B$24,"&lt;="&amp;EOMONTH('Introdução de Dados'!$B19,0))</f>
        <v>24000</v>
      </c>
      <c r="M19" s="50">
        <f>SUMIFS('Introdução de Dados'!$D$6:$D$24,'Introdução de Dados'!$B$6:$B$24,"&gt;="&amp;DATE(YEAR('Introdução de Dados'!$B19),1,1),'Introdução de Dados'!$B$6:$B$24,"&lt;="&amp;DATE(YEAR('Introdução de Dados'!$B19),12,31),'Introdução de Dados'!$I$6:$I$24,'Introdução de Dados'!$I19)</f>
        <v>49100</v>
      </c>
      <c r="N19" s="50">
        <f>SUMIFS('Introdução de Dados'!$D$6:$D$24,'Introdução de Dados'!$B$6:$B$24,"&gt;="&amp;DATE(YEAR('Introdução de Dados'!$B19),1,1),'Introdução de Dados'!$B$6:$B$24,"&lt;="&amp;DATE(YEAR('Introdução de Dados'!$B19),12,31))</f>
        <v>143800</v>
      </c>
      <c r="O19" s="51">
        <f>IFERROR(TREND($L$6:INDEX($L:$L,ROW(),1),$K$6:INDEX($K:$K,ROW(),1),IF(MONTH('Introdução de Dados'!$B19)=12,13,MONTH('Introdução de Dados'!$B19)+1)),"")</f>
        <v>21138.050314465407</v>
      </c>
      <c r="P19" s="51">
        <f>IFERROR(TREND($M$6:INDEX($M:$M,ROW(),1),$I$6:INDEX($I:$I,ROW(),1),IF('Introdução de Dados'!$I19=4,5,'Introdução de Dados'!$I19+1)),"")</f>
        <v>47400</v>
      </c>
      <c r="Q19" s="51">
        <f>IFERROR(TREND($N$6:INDEX($N:$N,ROW(),1),$J$6:INDEX($J:$J,ROW(),1),'Introdução de Dados'!$J19+1),"")</f>
        <v>143800</v>
      </c>
    </row>
    <row r="20" spans="2:17" ht="17.25" customHeight="1" x14ac:dyDescent="0.2">
      <c r="B20" s="52">
        <f>40832+(365*2)</f>
        <v>41562</v>
      </c>
      <c r="C20" s="43" t="s">
        <v>3</v>
      </c>
      <c r="D20" s="44">
        <v>8800</v>
      </c>
      <c r="E20" s="44">
        <v>9350</v>
      </c>
      <c r="F20" s="44">
        <v>7100</v>
      </c>
      <c r="G20" s="45">
        <f>'Introdução de Dados'!$D20-'Introdução de Dados'!$F20</f>
        <v>1700</v>
      </c>
      <c r="H20" s="46">
        <f>DATE(YEAR('Introdução de Dados'!$B20),MONTH('Introdução de Dados'!$B20),1)</f>
        <v>41548</v>
      </c>
      <c r="I20" s="47">
        <f>LOOKUP(MONTH('Introdução de Dados'!$H20),{1,1;2,1;3,1;4,2;5,2;6,2;7,3;8,3;9,3;10,4;11,4;12,4})</f>
        <v>4</v>
      </c>
      <c r="J20" s="48">
        <f>YEAR('Introdução de Dados'!$B20)</f>
        <v>2013</v>
      </c>
      <c r="K20" s="49">
        <f>MONTH('Introdução de Dados'!$B20)</f>
        <v>10</v>
      </c>
      <c r="L20" s="50">
        <f>SUMIFS('Introdução de Dados'!$D$6:$D$24,'Introdução de Dados'!$B$6:$B$24,"&gt;="&amp;EOMONTH('Introdução de Dados'!$B20,-1)+1,'Introdução de Dados'!$B$6:$B$24,"&lt;="&amp;EOMONTH('Introdução de Dados'!$B20,0))</f>
        <v>8800</v>
      </c>
      <c r="M20" s="50">
        <f>SUMIFS('Introdução de Dados'!$D$6:$D$24,'Introdução de Dados'!$B$6:$B$24,"&gt;="&amp;DATE(YEAR('Introdução de Dados'!$B20),1,1),'Introdução de Dados'!$B$6:$B$24,"&lt;="&amp;DATE(YEAR('Introdução de Dados'!$B20),12,31),'Introdução de Dados'!$I$6:$I$24,'Introdução de Dados'!$I20)</f>
        <v>43900</v>
      </c>
      <c r="N20" s="50">
        <f>SUMIFS('Introdução de Dados'!$D$6:$D$24,'Introdução de Dados'!$B$6:$B$24,"&gt;="&amp;DATE(YEAR('Introdução de Dados'!$B20),1,1),'Introdução de Dados'!$B$6:$B$24,"&lt;="&amp;DATE(YEAR('Introdução de Dados'!$B20),12,31))</f>
        <v>143800</v>
      </c>
      <c r="O20" s="51">
        <f>IFERROR(TREND($L$6:INDEX($L:$L,ROW(),1),$K$6:INDEX($K:$K,ROW(),1),IF(MONTH('Introdução de Dados'!$B20)=12,13,MONTH('Introdução de Dados'!$B20)+1)),"")</f>
        <v>17951.744186046511</v>
      </c>
      <c r="P20" s="51">
        <f>IFERROR(TREND($M$6:INDEX($M:$M,ROW(),1),$I$6:INDEX($I:$I,ROW(),1),IF('Introdução de Dados'!$I20=4,5,'Introdução de Dados'!$I20+1)),"")</f>
        <v>43258.139534883725</v>
      </c>
      <c r="Q20" s="51">
        <f>IFERROR(TREND($N$6:INDEX($N:$N,ROW(),1),$J$6:INDEX($J:$J,ROW(),1),'Introdução de Dados'!$J20+1),"")</f>
        <v>143800</v>
      </c>
    </row>
    <row r="21" spans="2:17" ht="17.25" customHeight="1" x14ac:dyDescent="0.2">
      <c r="B21" s="52">
        <f>40853+(365*2)</f>
        <v>41583</v>
      </c>
      <c r="C21" s="43" t="s">
        <v>4</v>
      </c>
      <c r="D21" s="44">
        <v>9100</v>
      </c>
      <c r="E21" s="44">
        <v>9200</v>
      </c>
      <c r="F21" s="44">
        <v>7850</v>
      </c>
      <c r="G21" s="45">
        <f>'Introdução de Dados'!$D21-'Introdução de Dados'!$F21</f>
        <v>1250</v>
      </c>
      <c r="H21" s="46">
        <f>DATE(YEAR('Introdução de Dados'!$B21),MONTH('Introdução de Dados'!$B21),1)</f>
        <v>41579</v>
      </c>
      <c r="I21" s="47">
        <f>LOOKUP(MONTH('Introdução de Dados'!$H21),{1,1;2,1;3,1;4,2;5,2;6,2;7,3;8,3;9,3;10,4;11,4;12,4})</f>
        <v>4</v>
      </c>
      <c r="J21" s="48">
        <f>YEAR('Introdução de Dados'!$B21)</f>
        <v>2013</v>
      </c>
      <c r="K21" s="49">
        <f>MONTH('Introdução de Dados'!$B21)</f>
        <v>11</v>
      </c>
      <c r="L21" s="50">
        <f>SUMIFS('Introdução de Dados'!$D$6:$D$24,'Introdução de Dados'!$B$6:$B$24,"&gt;="&amp;EOMONTH('Introdução de Dados'!$B21,-1)+1,'Introdução de Dados'!$B$6:$B$24,"&lt;="&amp;EOMONTH('Introdução de Dados'!$B21,0))</f>
        <v>25600</v>
      </c>
      <c r="M21" s="50">
        <f>SUMIFS('Introdução de Dados'!$D$6:$D$24,'Introdução de Dados'!$B$6:$B$24,"&gt;="&amp;DATE(YEAR('Introdução de Dados'!$B21),1,1),'Introdução de Dados'!$B$6:$B$24,"&lt;="&amp;DATE(YEAR('Introdução de Dados'!$B21),12,31),'Introdução de Dados'!$I$6:$I$24,'Introdução de Dados'!$I21)</f>
        <v>43900</v>
      </c>
      <c r="N21" s="50">
        <f>SUMIFS('Introdução de Dados'!$D$6:$D$24,'Introdução de Dados'!$B$6:$B$24,"&gt;="&amp;DATE(YEAR('Introdução de Dados'!$B21),1,1),'Introdução de Dados'!$B$6:$B$24,"&lt;="&amp;DATE(YEAR('Introdução de Dados'!$B21),12,31))</f>
        <v>143800</v>
      </c>
      <c r="O21" s="51">
        <f>IFERROR(TREND($L$6:INDEX($L:$L,ROW(),1),$K$6:INDEX($K:$K,ROW(),1),IF(MONTH('Introdução de Dados'!$B21)=12,13,MONTH('Introdução de Dados'!$B21)+1)),"")</f>
        <v>20556.130108423687</v>
      </c>
      <c r="P21" s="51">
        <f>IFERROR(TREND($M$6:INDEX($M:$M,ROW(),1),$I$6:INDEX($I:$I,ROW(),1),IF('Introdução de Dados'!$I21=4,5,'Introdução de Dados'!$I21+1)),"")</f>
        <v>42312.903225806447</v>
      </c>
      <c r="Q21" s="51">
        <f>IFERROR(TREND($N$6:INDEX($N:$N,ROW(),1),$J$6:INDEX($J:$J,ROW(),1),'Introdução de Dados'!$J21+1),"")</f>
        <v>143800</v>
      </c>
    </row>
    <row r="22" spans="2:17" ht="17.25" customHeight="1" x14ac:dyDescent="0.2">
      <c r="B22" s="52">
        <f>40874+(365*2)</f>
        <v>41604</v>
      </c>
      <c r="C22" s="43" t="s">
        <v>5</v>
      </c>
      <c r="D22" s="44">
        <v>9000</v>
      </c>
      <c r="E22" s="44">
        <v>10000</v>
      </c>
      <c r="F22" s="44">
        <v>7575</v>
      </c>
      <c r="G22" s="45">
        <f>'Introdução de Dados'!$D22-'Introdução de Dados'!$F22</f>
        <v>1425</v>
      </c>
      <c r="H22" s="46">
        <f>DATE(YEAR('Introdução de Dados'!$B22),MONTH('Introdução de Dados'!$B22),1)</f>
        <v>41579</v>
      </c>
      <c r="I22" s="47">
        <f>LOOKUP(MONTH('Introdução de Dados'!$H22),{1,1;2,1;3,1;4,2;5,2;6,2;7,3;8,3;9,3;10,4;11,4;12,4})</f>
        <v>4</v>
      </c>
      <c r="J22" s="48">
        <f>YEAR('Introdução de Dados'!$B22)</f>
        <v>2013</v>
      </c>
      <c r="K22" s="49">
        <f>MONTH('Introdução de Dados'!$B22)</f>
        <v>11</v>
      </c>
      <c r="L22" s="50">
        <f>SUMIFS('Introdução de Dados'!$D$6:$D$24,'Introdução de Dados'!$B$6:$B$24,"&gt;="&amp;EOMONTH('Introdução de Dados'!$B22,-1)+1,'Introdução de Dados'!$B$6:$B$24,"&lt;="&amp;EOMONTH('Introdução de Dados'!$B22,0))</f>
        <v>25600</v>
      </c>
      <c r="M22" s="50">
        <f>SUMIFS('Introdução de Dados'!$D$6:$D$24,'Introdução de Dados'!$B$6:$B$24,"&gt;="&amp;DATE(YEAR('Introdução de Dados'!$B22),1,1),'Introdução de Dados'!$B$6:$B$24,"&lt;="&amp;DATE(YEAR('Introdução de Dados'!$B22),12,31),'Introdução de Dados'!$I$6:$I$24,'Introdução de Dados'!$I22)</f>
        <v>43900</v>
      </c>
      <c r="N22" s="50">
        <f>SUMIFS('Introdução de Dados'!$D$6:$D$24,'Introdução de Dados'!$B$6:$B$24,"&gt;="&amp;DATE(YEAR('Introdução de Dados'!$B22),1,1),'Introdução de Dados'!$B$6:$B$24,"&lt;="&amp;DATE(YEAR('Introdução de Dados'!$B22),12,31))</f>
        <v>143800</v>
      </c>
      <c r="O22" s="51">
        <f>IFERROR(TREND($L$6:INDEX($L:$L,ROW(),1),$K$6:INDEX($K:$K,ROW(),1),IF(MONTH('Introdução de Dados'!$B22)=12,13,MONTH('Introdução de Dados'!$B22)+1)),"")</f>
        <v>21997.139141742522</v>
      </c>
      <c r="P22" s="51">
        <f>IFERROR(TREND($M$6:INDEX($M:$M,ROW(),1),$I$6:INDEX($I:$I,ROW(),1),IF('Introdução de Dados'!$I22=4,5,'Introdução de Dados'!$I22+1)),"")</f>
        <v>41811.111111111109</v>
      </c>
      <c r="Q22" s="51">
        <f>IFERROR(TREND($N$6:INDEX($N:$N,ROW(),1),$J$6:INDEX($J:$J,ROW(),1),'Introdução de Dados'!$J22+1),"")</f>
        <v>143800</v>
      </c>
    </row>
    <row r="23" spans="2:17" ht="17.25" customHeight="1" x14ac:dyDescent="0.2">
      <c r="B23" s="52">
        <f>40878+(365*2)</f>
        <v>41608</v>
      </c>
      <c r="C23" s="43" t="s">
        <v>5</v>
      </c>
      <c r="D23" s="44">
        <v>7500</v>
      </c>
      <c r="E23" s="44">
        <v>8000</v>
      </c>
      <c r="F23" s="44">
        <v>5850</v>
      </c>
      <c r="G23" s="45">
        <f>'Introdução de Dados'!$D23-'Introdução de Dados'!$F23</f>
        <v>1650</v>
      </c>
      <c r="H23" s="46">
        <f>DATE(YEAR('Introdução de Dados'!$B23),MONTH('Introdução de Dados'!$B23),1)</f>
        <v>41579</v>
      </c>
      <c r="I23" s="47">
        <f>LOOKUP(MONTH('Introdução de Dados'!$H23),{1,1;2,1;3,1;4,2;5,2;6,2;7,3;8,3;9,3;10,4;11,4;12,4})</f>
        <v>4</v>
      </c>
      <c r="J23" s="48">
        <f>YEAR('Introdução de Dados'!$B23)</f>
        <v>2013</v>
      </c>
      <c r="K23" s="49">
        <f>MONTH('Introdução de Dados'!$B23)</f>
        <v>11</v>
      </c>
      <c r="L23" s="50">
        <f>SUMIFS('Introdução de Dados'!$D$6:$D$24,'Introdução de Dados'!$B$6:$B$24,"&gt;="&amp;EOMONTH('Introdução de Dados'!$B23,-1)+1,'Introdução de Dados'!$B$6:$B$24,"&lt;="&amp;EOMONTH('Introdução de Dados'!$B23,0))</f>
        <v>25600</v>
      </c>
      <c r="M23" s="50">
        <f>SUMIFS('Introdução de Dados'!$D$6:$D$24,'Introdução de Dados'!$B$6:$B$24,"&gt;="&amp;DATE(YEAR('Introdução de Dados'!$B23),1,1),'Introdução de Dados'!$B$6:$B$24,"&lt;="&amp;DATE(YEAR('Introdução de Dados'!$B23),12,31),'Introdução de Dados'!$I$6:$I$24,'Introdução de Dados'!$I23)</f>
        <v>43900</v>
      </c>
      <c r="N23" s="50">
        <f>SUMIFS('Introdução de Dados'!$D$6:$D$24,'Introdução de Dados'!$B$6:$B$24,"&gt;="&amp;DATE(YEAR('Introdução de Dados'!$B23),1,1),'Introdução de Dados'!$B$6:$B$24,"&lt;="&amp;DATE(YEAR('Introdução de Dados'!$B23),12,31))</f>
        <v>143800</v>
      </c>
      <c r="O23" s="51">
        <f>IFERROR(TREND($L$6:INDEX($L:$L,ROW(),1),$K$6:INDEX($K:$K,ROW(),1),IF(MONTH('Introdução de Dados'!$B23)=12,13,MONTH('Introdução de Dados'!$B23)+1)),"")</f>
        <v>22917.634523175278</v>
      </c>
      <c r="P23" s="51">
        <f>IFERROR(TREND($M$6:INDEX($M:$M,ROW(),1),$I$6:INDEX($I:$I,ROW(),1),IF('Introdução de Dados'!$I23=4,5,'Introdução de Dados'!$I23+1)),"")</f>
        <v>41500</v>
      </c>
      <c r="Q23" s="51">
        <f>IFERROR(TREND($N$6:INDEX($N:$N,ROW(),1),$J$6:INDEX($J:$J,ROW(),1),'Introdução de Dados'!$J23+1),"")</f>
        <v>143800</v>
      </c>
    </row>
    <row r="24" spans="2:17" ht="17.25" customHeight="1" x14ac:dyDescent="0.2">
      <c r="B24" s="52">
        <f>40889+(365*2)</f>
        <v>41619</v>
      </c>
      <c r="C24" s="43" t="s">
        <v>1</v>
      </c>
      <c r="D24" s="44">
        <v>9500</v>
      </c>
      <c r="E24" s="44">
        <v>9200</v>
      </c>
      <c r="F24" s="44">
        <v>8500</v>
      </c>
      <c r="G24" s="45">
        <f>'Introdução de Dados'!$D24-'Introdução de Dados'!$F24</f>
        <v>1000</v>
      </c>
      <c r="H24" s="46">
        <f>DATE(YEAR('Introdução de Dados'!$B24),MONTH('Introdução de Dados'!$B24),1)</f>
        <v>41609</v>
      </c>
      <c r="I24" s="47">
        <f>LOOKUP(MONTH('Introdução de Dados'!$H24),{1,1;2,1;3,1;4,2;5,2;6,2;7,3;8,3;9,3;10,4;11,4;12,4})</f>
        <v>4</v>
      </c>
      <c r="J24" s="48">
        <f>YEAR('Introdução de Dados'!$B24)</f>
        <v>2013</v>
      </c>
      <c r="K24" s="49">
        <f>MONTH('Introdução de Dados'!$B24)</f>
        <v>12</v>
      </c>
      <c r="L24" s="50">
        <f>SUMIFS('Introdução de Dados'!$D$6:$D$24,'Introdução de Dados'!$B$6:$B$24,"&gt;="&amp;EOMONTH('Introdução de Dados'!$B24,-1)+1,'Introdução de Dados'!$B$6:$B$24,"&lt;="&amp;EOMONTH('Introdução de Dados'!$B24,0))</f>
        <v>9500</v>
      </c>
      <c r="M24" s="50">
        <f>SUMIFS('Introdução de Dados'!$D$6:$D$24,'Introdução de Dados'!$B$6:$B$24,"&gt;="&amp;DATE(YEAR('Introdução de Dados'!$B24),1,1),'Introdução de Dados'!$B$6:$B$24,"&lt;="&amp;DATE(YEAR('Introdução de Dados'!$B24),12,31),'Introdução de Dados'!$I$6:$I$24,'Introdução de Dados'!$I24)</f>
        <v>43900</v>
      </c>
      <c r="N24" s="50">
        <f>SUMIFS('Introdução de Dados'!$D$6:$D$24,'Introdução de Dados'!$B$6:$B$24,"&gt;="&amp;DATE(YEAR('Introdução de Dados'!$B24),1,1),'Introdução de Dados'!$B$6:$B$24,"&lt;="&amp;DATE(YEAR('Introdução de Dados'!$B24),12,31))</f>
        <v>143800</v>
      </c>
      <c r="O24" s="51">
        <f>IFERROR(TREND($L$6:INDEX($L:$L,ROW(),1),$K$6:INDEX($K:$K,ROW(),1),IF(MONTH('Introdução de Dados'!$B24)=12,13,MONTH('Introdução de Dados'!$B24)+1)),"")</f>
        <v>20504.314720812181</v>
      </c>
      <c r="P24" s="51">
        <f>IFERROR(TREND($M$6:INDEX($M:$M,ROW(),1),$I$6:INDEX($I:$I,ROW(),1),IF('Introdução de Dados'!$I24=4,5,'Introdução de Dados'!$I24+1)),"")</f>
        <v>41288.23529411765</v>
      </c>
      <c r="Q24" s="51">
        <f>IFERROR(TREND($N$6:INDEX($N:$N,ROW(),1),$J$6:INDEX($J:$J,ROW(),1),'Introdução de Dados'!$J24+1),"")</f>
        <v>143800</v>
      </c>
    </row>
  </sheetData>
  <printOptions horizontalCentered="1"/>
  <pageMargins left="0.25" right="0.25" top="0.75" bottom="0.75" header="0.3" footer="0.3"/>
  <pageSetup paperSize="9" fitToHeight="0" orientation="landscape" horizontalDpi="120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F38"/>
  <sheetViews>
    <sheetView showGridLines="0" zoomScaleNormal="100" workbookViewId="0"/>
  </sheetViews>
  <sheetFormatPr defaultRowHeight="17.25" customHeight="1" x14ac:dyDescent="0.2"/>
  <cols>
    <col min="1" max="1" width="2" style="27" customWidth="1"/>
    <col min="2" max="2" width="15.5" style="24" customWidth="1"/>
    <col min="3" max="3" width="15.83203125" style="24" customWidth="1"/>
    <col min="4" max="4" width="14.1640625" style="25" customWidth="1"/>
    <col min="5" max="5" width="45.83203125" style="25" customWidth="1"/>
    <col min="6" max="6" width="26.33203125" style="26" customWidth="1"/>
    <col min="7" max="16384" width="9.33203125" style="27"/>
  </cols>
  <sheetData>
    <row r="1" spans="1:6" s="23" customFormat="1" ht="11.25" customHeight="1" x14ac:dyDescent="0.2">
      <c r="A1" s="58"/>
      <c r="B1" s="24"/>
      <c r="C1" s="24"/>
      <c r="D1" s="25"/>
      <c r="E1" s="25"/>
      <c r="F1" s="26"/>
    </row>
    <row r="2" spans="1:6" customFormat="1" ht="33.75" x14ac:dyDescent="0.2">
      <c r="B2" s="2" t="s">
        <v>48</v>
      </c>
    </row>
    <row r="3" spans="1:6" ht="17.25" customHeight="1" x14ac:dyDescent="0.2">
      <c r="A3" s="23"/>
    </row>
    <row r="4" spans="1:6" ht="17.25" customHeight="1" x14ac:dyDescent="0.2">
      <c r="A4" s="23"/>
    </row>
    <row r="5" spans="1:6" ht="15" x14ac:dyDescent="0.2">
      <c r="B5" s="62" t="s">
        <v>21</v>
      </c>
      <c r="C5" s="53" t="s">
        <v>17</v>
      </c>
      <c r="D5" s="53" t="s">
        <v>16</v>
      </c>
      <c r="E5" s="53" t="s">
        <v>24</v>
      </c>
      <c r="F5" s="61" t="s">
        <v>52</v>
      </c>
    </row>
    <row r="6" spans="1:6" ht="17.25" customHeight="1" x14ac:dyDescent="0.2">
      <c r="B6" s="54">
        <v>2013</v>
      </c>
      <c r="C6" s="59">
        <v>2</v>
      </c>
      <c r="D6" s="60">
        <v>41365</v>
      </c>
      <c r="E6" t="s">
        <v>0</v>
      </c>
      <c r="F6" s="56">
        <v>6400</v>
      </c>
    </row>
    <row r="7" spans="1:6" ht="17.25" customHeight="1" x14ac:dyDescent="0.2">
      <c r="B7"/>
      <c r="C7" s="54"/>
      <c r="D7" s="54"/>
      <c r="E7" t="s">
        <v>1</v>
      </c>
      <c r="F7" s="56">
        <v>8200</v>
      </c>
    </row>
    <row r="8" spans="1:6" ht="17.25" customHeight="1" x14ac:dyDescent="0.2">
      <c r="B8"/>
      <c r="C8" s="54"/>
      <c r="D8" s="60">
        <v>41395</v>
      </c>
      <c r="E8" t="s">
        <v>4</v>
      </c>
      <c r="F8" s="56">
        <v>5800</v>
      </c>
    </row>
    <row r="9" spans="1:6" ht="17.25" customHeight="1" x14ac:dyDescent="0.2">
      <c r="B9"/>
      <c r="C9" s="54"/>
      <c r="D9" s="54"/>
      <c r="E9" t="s">
        <v>2</v>
      </c>
      <c r="F9" s="56">
        <v>4400</v>
      </c>
    </row>
    <row r="10" spans="1:6" ht="17.25" customHeight="1" x14ac:dyDescent="0.2">
      <c r="B10"/>
      <c r="C10" s="54"/>
      <c r="D10" s="54"/>
      <c r="E10" t="s">
        <v>3</v>
      </c>
      <c r="F10" s="56">
        <v>5400</v>
      </c>
    </row>
    <row r="11" spans="1:6" ht="17.25" customHeight="1" x14ac:dyDescent="0.2">
      <c r="B11"/>
      <c r="C11" s="54"/>
      <c r="D11" s="54"/>
      <c r="E11" t="s">
        <v>5</v>
      </c>
      <c r="F11" s="56">
        <v>6200</v>
      </c>
    </row>
    <row r="12" spans="1:6" ht="17.25" customHeight="1" x14ac:dyDescent="0.2">
      <c r="B12"/>
      <c r="C12" s="54"/>
      <c r="D12" s="60">
        <v>41426</v>
      </c>
      <c r="E12" t="s">
        <v>0</v>
      </c>
      <c r="F12" s="56">
        <v>6900</v>
      </c>
    </row>
    <row r="13" spans="1:6" ht="17.25" customHeight="1" x14ac:dyDescent="0.2">
      <c r="B13"/>
      <c r="C13" s="54"/>
      <c r="D13" s="54"/>
      <c r="E13" t="s">
        <v>1</v>
      </c>
      <c r="F13" s="56">
        <v>7500</v>
      </c>
    </row>
    <row r="14" spans="1:6" ht="17.25" customHeight="1" x14ac:dyDescent="0.2">
      <c r="B14"/>
      <c r="C14" s="55" t="s">
        <v>53</v>
      </c>
      <c r="D14"/>
      <c r="E14"/>
      <c r="F14" s="56">
        <v>50800</v>
      </c>
    </row>
    <row r="15" spans="1:6" ht="17.25" customHeight="1" x14ac:dyDescent="0.2">
      <c r="B15"/>
      <c r="C15" s="59">
        <v>3</v>
      </c>
      <c r="D15" s="60">
        <v>41456</v>
      </c>
      <c r="E15" t="s">
        <v>2</v>
      </c>
      <c r="F15" s="56">
        <v>8700</v>
      </c>
    </row>
    <row r="16" spans="1:6" ht="17.25" customHeight="1" x14ac:dyDescent="0.2">
      <c r="B16"/>
      <c r="C16" s="54"/>
      <c r="D16" s="60">
        <v>41487</v>
      </c>
      <c r="E16" t="s">
        <v>4</v>
      </c>
      <c r="F16" s="56">
        <v>7900</v>
      </c>
    </row>
    <row r="17" spans="2:6" ht="17.25" customHeight="1" x14ac:dyDescent="0.2">
      <c r="B17"/>
      <c r="C17" s="54"/>
      <c r="D17" s="54"/>
      <c r="E17" t="s">
        <v>3</v>
      </c>
      <c r="F17" s="56">
        <v>8500</v>
      </c>
    </row>
    <row r="18" spans="2:6" ht="17.25" customHeight="1" x14ac:dyDescent="0.2">
      <c r="B18"/>
      <c r="C18" s="54"/>
      <c r="D18" s="60">
        <v>41518</v>
      </c>
      <c r="E18" t="s">
        <v>1</v>
      </c>
      <c r="F18" s="56">
        <v>5600</v>
      </c>
    </row>
    <row r="19" spans="2:6" ht="17.25" customHeight="1" x14ac:dyDescent="0.2">
      <c r="B19"/>
      <c r="C19" s="54"/>
      <c r="D19" s="54"/>
      <c r="E19" t="s">
        <v>2</v>
      </c>
      <c r="F19" s="56">
        <v>9300</v>
      </c>
    </row>
    <row r="20" spans="2:6" ht="17.25" customHeight="1" x14ac:dyDescent="0.2">
      <c r="B20"/>
      <c r="C20" s="54"/>
      <c r="D20" s="54"/>
      <c r="E20" t="s">
        <v>5</v>
      </c>
      <c r="F20" s="56">
        <v>9100</v>
      </c>
    </row>
    <row r="21" spans="2:6" ht="17.25" customHeight="1" x14ac:dyDescent="0.2">
      <c r="B21"/>
      <c r="C21" s="55" t="s">
        <v>54</v>
      </c>
      <c r="D21"/>
      <c r="E21"/>
      <c r="F21" s="56">
        <v>49100</v>
      </c>
    </row>
    <row r="22" spans="2:6" ht="17.25" customHeight="1" x14ac:dyDescent="0.2">
      <c r="B22"/>
      <c r="C22" s="59">
        <v>4</v>
      </c>
      <c r="D22" s="60">
        <v>41548</v>
      </c>
      <c r="E22" t="s">
        <v>3</v>
      </c>
      <c r="F22" s="56">
        <v>8800</v>
      </c>
    </row>
    <row r="23" spans="2:6" ht="17.25" customHeight="1" x14ac:dyDescent="0.2">
      <c r="B23"/>
      <c r="C23" s="54"/>
      <c r="D23" s="60">
        <v>41579</v>
      </c>
      <c r="E23" t="s">
        <v>4</v>
      </c>
      <c r="F23" s="56">
        <v>9100</v>
      </c>
    </row>
    <row r="24" spans="2:6" ht="17.25" customHeight="1" x14ac:dyDescent="0.2">
      <c r="B24"/>
      <c r="C24" s="54"/>
      <c r="D24" s="54"/>
      <c r="E24" t="s">
        <v>5</v>
      </c>
      <c r="F24" s="56">
        <v>16500</v>
      </c>
    </row>
    <row r="25" spans="2:6" ht="17.25" customHeight="1" x14ac:dyDescent="0.2">
      <c r="B25"/>
      <c r="C25" s="54"/>
      <c r="D25" s="60">
        <v>41609</v>
      </c>
      <c r="E25" t="s">
        <v>1</v>
      </c>
      <c r="F25" s="56">
        <v>9500</v>
      </c>
    </row>
    <row r="26" spans="2:6" ht="17.25" customHeight="1" x14ac:dyDescent="0.2">
      <c r="B26"/>
      <c r="C26" s="55" t="s">
        <v>55</v>
      </c>
      <c r="D26"/>
      <c r="E26"/>
      <c r="F26" s="56">
        <v>43900</v>
      </c>
    </row>
    <row r="27" spans="2:6" ht="11.25" x14ac:dyDescent="0.2">
      <c r="B27" s="57" t="s">
        <v>56</v>
      </c>
      <c r="C27"/>
      <c r="D27"/>
      <c r="E27"/>
      <c r="F27" s="63">
        <v>143800</v>
      </c>
    </row>
    <row r="28" spans="2:6" ht="11.25" x14ac:dyDescent="0.2">
      <c r="B28" t="s">
        <v>6</v>
      </c>
      <c r="C28"/>
      <c r="D28"/>
      <c r="E28"/>
      <c r="F28" s="56">
        <v>143800</v>
      </c>
    </row>
    <row r="29" spans="2:6" ht="17.25" customHeight="1" x14ac:dyDescent="0.2">
      <c r="B29"/>
      <c r="C29"/>
      <c r="D29"/>
      <c r="E29"/>
      <c r="F29"/>
    </row>
    <row r="30" spans="2:6" ht="11.25" x14ac:dyDescent="0.2">
      <c r="B30"/>
      <c r="C30"/>
      <c r="D30"/>
      <c r="E30"/>
      <c r="F30"/>
    </row>
    <row r="31" spans="2:6" ht="11.25" x14ac:dyDescent="0.2">
      <c r="B31"/>
      <c r="C31"/>
      <c r="D31"/>
      <c r="E31"/>
      <c r="F31"/>
    </row>
    <row r="32" spans="2:6" ht="11.25" x14ac:dyDescent="0.2">
      <c r="B32"/>
      <c r="C32"/>
      <c r="D32"/>
      <c r="E32"/>
      <c r="F32"/>
    </row>
    <row r="33" spans="2:6" ht="11.25" x14ac:dyDescent="0.2">
      <c r="B33"/>
      <c r="C33"/>
      <c r="D33"/>
      <c r="E33"/>
      <c r="F33"/>
    </row>
    <row r="34" spans="2:6" ht="11.25" x14ac:dyDescent="0.2">
      <c r="B34"/>
      <c r="C34"/>
      <c r="D34"/>
      <c r="E34"/>
      <c r="F34"/>
    </row>
    <row r="35" spans="2:6" ht="11.25" x14ac:dyDescent="0.2">
      <c r="B35"/>
      <c r="C35"/>
      <c r="D35"/>
      <c r="E35"/>
      <c r="F35"/>
    </row>
    <row r="36" spans="2:6" ht="11.25" x14ac:dyDescent="0.2">
      <c r="B36"/>
      <c r="C36"/>
      <c r="D36"/>
      <c r="E36"/>
      <c r="F36"/>
    </row>
    <row r="37" spans="2:6" ht="11.25" x14ac:dyDescent="0.2">
      <c r="B37"/>
      <c r="C37"/>
      <c r="D37"/>
      <c r="E37"/>
      <c r="F37"/>
    </row>
    <row r="38" spans="2:6" ht="11.25" x14ac:dyDescent="0.2">
      <c r="B38"/>
      <c r="C38"/>
      <c r="D38"/>
      <c r="E38"/>
      <c r="F38"/>
    </row>
  </sheetData>
  <conditionalFormatting sqref="E1:E4 E30:E1048553">
    <cfRule type="expression" dxfId="22" priority="3">
      <formula>(LEN($E1)&gt;0)*(LEN($D2)&gt;0)</formula>
    </cfRule>
  </conditionalFormatting>
  <conditionalFormatting sqref="D1:D4 D29:D1048576 F39:F1048576">
    <cfRule type="expression" dxfId="21" priority="2">
      <formula>(LEN($D1)&gt;0)*(LEN($C1)=0)</formula>
    </cfRule>
  </conditionalFormatting>
  <conditionalFormatting sqref="F1:F4">
    <cfRule type="expression" dxfId="20" priority="1">
      <formula>(LEN($D1)&gt;0)*(LEN($C1)=0)</formula>
    </cfRule>
  </conditionalFormatting>
  <conditionalFormatting sqref="E1048554:E1048576">
    <cfRule type="expression" dxfId="19" priority="4">
      <formula>(LEN($E1048554)&gt;0)*(LEN($D1)&gt;0)</formula>
    </cfRule>
  </conditionalFormatting>
  <printOptions horizontalCentered="1"/>
  <pageMargins left="0.25" right="0.25" top="0.75" bottom="0.75" header="0.3" footer="0.3"/>
  <pageSetup fitToHeight="0" orientation="portrait" horizont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  <pageSetUpPr autoPageBreaks="0" fitToPage="1"/>
  </sheetPr>
  <dimension ref="B2:J43"/>
  <sheetViews>
    <sheetView showGridLines="0" zoomScaleNormal="100" workbookViewId="0"/>
  </sheetViews>
  <sheetFormatPr defaultRowHeight="11.25" x14ac:dyDescent="0.2"/>
  <cols>
    <col min="1" max="1" width="2" customWidth="1"/>
    <col min="2" max="2" width="29.33203125" customWidth="1"/>
    <col min="3" max="6" width="16" customWidth="1"/>
    <col min="7" max="7" width="21.6640625" customWidth="1"/>
    <col min="8" max="8" width="25.5" customWidth="1"/>
    <col min="9" max="9" width="30.5" customWidth="1"/>
    <col min="10" max="10" width="19" customWidth="1"/>
  </cols>
  <sheetData>
    <row r="2" spans="2:10" ht="33.75" x14ac:dyDescent="0.2">
      <c r="B2" s="2" t="s">
        <v>32</v>
      </c>
    </row>
    <row r="3" spans="2:10" ht="27.75" customHeight="1" x14ac:dyDescent="0.2">
      <c r="B3" s="16" t="str">
        <f ca="1">"DATA DE HOJE: "&amp;UPPER(TEXT(TODAY(),"d mmm, aaaa"))</f>
        <v>DATA DE HOJE: 4 DEZ, 2012</v>
      </c>
      <c r="D3" s="18">
        <f ca="1">--TRIM(RIGHT(B3,LEN(B3)-FIND(":",B3)))</f>
        <v>41247</v>
      </c>
    </row>
    <row r="4" spans="2:10" ht="15" customHeight="1" x14ac:dyDescent="0.2"/>
    <row r="5" spans="2:10" ht="18.75" customHeight="1" x14ac:dyDescent="0.2">
      <c r="B5" s="39" t="s">
        <v>33</v>
      </c>
      <c r="C5" s="38" t="s">
        <v>34</v>
      </c>
      <c r="D5" s="38" t="s">
        <v>35</v>
      </c>
      <c r="E5" s="38" t="s">
        <v>36</v>
      </c>
      <c r="F5" s="38" t="s">
        <v>7</v>
      </c>
      <c r="G5" s="38" t="s">
        <v>37</v>
      </c>
      <c r="H5" s="38" t="s">
        <v>38</v>
      </c>
      <c r="I5" s="38" t="s">
        <v>39</v>
      </c>
      <c r="J5" s="29" t="s">
        <v>14</v>
      </c>
    </row>
    <row r="6" spans="2:10" s="3" customFormat="1" ht="15" customHeight="1" x14ac:dyDescent="0.2">
      <c r="B6" s="5" t="s">
        <v>8</v>
      </c>
      <c r="C6" s="34">
        <f ca="1">COUNTIF('Introdução de Dados'!$B$6:$B$24,"&gt;="&amp;DATE(fAno,MONTH(fData),1))-COUNTIF('Introdução de Dados'!$B$6:$B$24,"&gt;"&amp;EOMONTH(fData,0))</f>
        <v>0</v>
      </c>
      <c r="D6" s="37"/>
      <c r="E6" s="7"/>
      <c r="F6" s="8"/>
      <c r="G6" s="34">
        <f ca="1">COUNTIF('Introdução de Dados'!$B$6:$B$24,"&lt;="&amp;EOMONTH(fData,0))</f>
        <v>0</v>
      </c>
      <c r="H6" s="6"/>
      <c r="I6" s="6"/>
      <c r="J6" s="9"/>
    </row>
    <row r="7" spans="2:10" s="3" customFormat="1" ht="15" customHeight="1" x14ac:dyDescent="0.2">
      <c r="B7" s="10" t="s">
        <v>13</v>
      </c>
      <c r="C7" s="40">
        <f ca="1">SUMIF('Introdução de Dados'!$B$6:$B$24,"&gt;="&amp;DATE(fAno,MONTH(fData),1),'Introdução de Dados'!$D$6:$D$24)-SUMIF('Introdução de Dados'!$B$6:$B$24,"&gt;"&amp;EOMONTH(fData,0),'Introdução de Dados'!$D$6:$D$24)</f>
        <v>0</v>
      </c>
      <c r="D7" s="40">
        <f ca="1">SUMIF('Introdução de Dados'!$B$6:$B$24,"&gt;="&amp;DATE(fAno,MONTH(fData),1),'Introdução de Dados'!$E$6:$E$24)-SUMIF('Introdução de Dados'!$B$6:$B$24,"&gt;"&amp;EOMONTH(fData,0),'Introdução de Dados'!$E$6:$E$24)</f>
        <v>0</v>
      </c>
      <c r="E7" s="40">
        <f ca="1">D7-C7</f>
        <v>0</v>
      </c>
      <c r="F7" s="35" t="str">
        <f ca="1">IFERROR(D7/C7,"-")</f>
        <v>-</v>
      </c>
      <c r="G7" s="40">
        <f ca="1">SUMIF('Introdução de Dados'!$B$6:$B$24,"&lt;="&amp;EOMONTH(fData,0),'Introdução de Dados'!$D$6:$D$24)</f>
        <v>0</v>
      </c>
      <c r="H7" s="40">
        <f ca="1">SUMIF('Introdução de Dados'!$B$6:$B$24,"&lt;="&amp;EOMONTH(fData,0),'Introdução de Dados'!$E$6:$E$24)</f>
        <v>0</v>
      </c>
      <c r="I7" s="40">
        <f ca="1">H7-G7</f>
        <v>0</v>
      </c>
      <c r="J7" s="11" t="str">
        <f ca="1">IFERROR(H7/G7,"")</f>
        <v/>
      </c>
    </row>
    <row r="8" spans="2:10" s="3" customFormat="1" ht="15" customHeight="1" x14ac:dyDescent="0.2">
      <c r="B8" s="10" t="s">
        <v>9</v>
      </c>
      <c r="C8" s="40">
        <f ca="1">(SUMIF('Introdução de Dados'!$B$6:$B$24,"&gt;="&amp;DATE(fAno,MONTH(fData),1),'Introdução de Dados'!$D$6:$D$24)-SUMIF('Introdução de Dados'!$B$6:$B$24,"&gt;"&amp;EOMONTH(fData,0),'Introdução de Dados'!$D$6:$D$24))-(SUMIF('Introdução de Dados'!$B$6:$B$24,"&gt;="&amp;DATE(fAno,MONTH(fData),1),'Introdução de Dados'!$F$6:$F$24)-SUMIF('Introdução de Dados'!$B$6:$B$24,"&gt;"&amp;EOMONTH(fData,0),'Introdução de Dados'!$F$6:$F$24))</f>
        <v>0</v>
      </c>
      <c r="D8" s="40">
        <f ca="1">(SUMIF('Introdução de Dados'!$B$6:$B$24,"&gt;="&amp;DATE(fAno,MONTH(fData),1),'Introdução de Dados'!$E$6:$E$24)-SUMIF('Introdução de Dados'!$B$6:$B$24,"&gt;"&amp;EOMONTH(fData,0),'Introdução de Dados'!$E$6:$E$24))-(SUMIF('Introdução de Dados'!$B$6:$B$24,"&gt;="&amp;DATE(fAno,MONTH(fData),1),'Introdução de Dados'!$F$6:$F$24)-SUMIF('Introdução de Dados'!$B$6:$B$24,"&gt;"&amp;EOMONTH(fData,0),'Introdução de Dados'!$F$6:$F$24))</f>
        <v>0</v>
      </c>
      <c r="E8" s="40">
        <f ca="1">D8-C8</f>
        <v>0</v>
      </c>
      <c r="F8" s="35" t="str">
        <f ca="1">IFERROR(D8/C8,"-")</f>
        <v>-</v>
      </c>
      <c r="G8" s="40">
        <f ca="1">SUMIF('Introdução de Dados'!$B$6:$B$24,"&lt;="&amp;EOMONTH(fData,0),'Introdução de Dados'!$F$6:$F$24)</f>
        <v>0</v>
      </c>
      <c r="H8" s="40">
        <f ca="1">SUMIF('Introdução de Dados'!$B$6:$B$24,"&lt;="&amp;EOMONTH(fData,0),'Introdução de Dados'!$F$6:$F$24)</f>
        <v>0</v>
      </c>
      <c r="I8" s="40">
        <f ca="1">H8-G8</f>
        <v>0</v>
      </c>
      <c r="J8" s="11" t="str">
        <f ca="1">IFERROR(H8/G8,"")</f>
        <v/>
      </c>
    </row>
    <row r="9" spans="2:10" s="3" customFormat="1" ht="15" customHeight="1" x14ac:dyDescent="0.2">
      <c r="B9" s="10" t="s">
        <v>10</v>
      </c>
      <c r="C9" s="35" t="str">
        <f ca="1">IFERROR(C8/C7,"-")</f>
        <v>-</v>
      </c>
      <c r="D9" s="35" t="str">
        <f ca="1">IFERROR(D8/D7,"-")</f>
        <v>-</v>
      </c>
      <c r="E9" s="35"/>
      <c r="F9" s="35" t="str">
        <f ca="1">IFERROR(F8/F7,"-")</f>
        <v>-</v>
      </c>
      <c r="G9" s="35" t="str">
        <f ca="1">IFERROR(G8/G7,"")</f>
        <v/>
      </c>
      <c r="H9" s="35" t="str">
        <f ca="1">IFERROR(H8/H7,"")</f>
        <v/>
      </c>
      <c r="I9" s="35"/>
      <c r="J9" s="11" t="str">
        <f ca="1">IFERROR(J8/J7,"")</f>
        <v/>
      </c>
    </row>
    <row r="10" spans="2:10" s="3" customFormat="1" ht="15" customHeight="1" x14ac:dyDescent="0.2">
      <c r="B10" s="10" t="s">
        <v>11</v>
      </c>
      <c r="C10" s="36">
        <f ca="1">COUNTIF('Introdução de Dados'!$B$6:$B$24,"&gt;="&amp;DATE(fAno,MONTH(fData),1))-COUNTIF('Introdução de Dados'!$B$6:$B$24,"&gt;"&amp;EOMONTH(fData,0))</f>
        <v>0</v>
      </c>
      <c r="D10" s="12"/>
      <c r="E10" s="12"/>
      <c r="F10" s="12"/>
      <c r="G10" s="36">
        <f ca="1">COUNTIF('Introdução de Dados'!$B$6:$B$24,"&gt;"&amp;EOMONTH(fData,0))</f>
        <v>19</v>
      </c>
      <c r="H10" s="12"/>
      <c r="I10" s="12"/>
      <c r="J10" s="13"/>
    </row>
    <row r="11" spans="2:10" s="3" customFormat="1" ht="15" customHeight="1" x14ac:dyDescent="0.2">
      <c r="B11" s="10" t="s">
        <v>12</v>
      </c>
      <c r="C11" s="40" t="str">
        <f ca="1">IFERROR(C7/C10,"-")</f>
        <v>-</v>
      </c>
      <c r="D11" s="12"/>
      <c r="E11" s="12"/>
      <c r="F11" s="12"/>
      <c r="G11" s="40">
        <f ca="1">IFERROR(G7/G10,"-")</f>
        <v>0</v>
      </c>
      <c r="H11" s="12"/>
      <c r="I11" s="12"/>
      <c r="J11" s="13"/>
    </row>
    <row r="12" spans="2:10" ht="27" customHeight="1" x14ac:dyDescent="0.2">
      <c r="B12" s="1"/>
      <c r="C12" s="1"/>
      <c r="D12" s="1"/>
      <c r="E12" s="1"/>
      <c r="F12" s="1"/>
      <c r="G12" s="1"/>
      <c r="H12" s="1"/>
      <c r="I12" s="1"/>
      <c r="J12" s="1"/>
    </row>
    <row r="13" spans="2:10" ht="15.75" customHeight="1" x14ac:dyDescent="0.2">
      <c r="B13" s="28" t="s">
        <v>30</v>
      </c>
      <c r="C13" s="28"/>
      <c r="D13" s="28" t="s">
        <v>40</v>
      </c>
      <c r="E13" s="33"/>
      <c r="F13" s="28" t="s">
        <v>41</v>
      </c>
      <c r="G13" s="33"/>
      <c r="H13" s="28"/>
      <c r="I13" s="28" t="s">
        <v>42</v>
      </c>
      <c r="J13" s="14"/>
    </row>
    <row r="14" spans="2:10" x14ac:dyDescent="0.2">
      <c r="B14" s="30" t="s">
        <v>13</v>
      </c>
      <c r="C14" s="30"/>
      <c r="D14" s="41">
        <f ca="1">TREND(tblDados[[MÊS ]],tblDados[NÚM MÊS (OCULTAR)],IF(MONTH(fData)=12,13,MONTH(fData)+1))</f>
        <v>20504.314720812181</v>
      </c>
      <c r="E14" s="32"/>
      <c r="F14" s="41">
        <f ca="1">TREND(tblDados[[TRIMESTRE ]],tblDados[NÚM MÊS (OCULTAR)],IF(MONTH(fData)=12,13,MONTH(fData)+1))</f>
        <v>43124.365482233508</v>
      </c>
      <c r="G14" s="32"/>
      <c r="H14" s="31"/>
      <c r="I14" s="41">
        <f ca="1">TREND(tblDados[[ANUALMENTE ]],tblDados[NÚM MÊS (OCULTAR)],IF(MONTH(fData)=12,13,MONTH(fData)+1))</f>
        <v>143800</v>
      </c>
      <c r="J14" s="15"/>
    </row>
    <row r="15" spans="2:10" ht="27" customHeight="1" x14ac:dyDescent="0.2"/>
    <row r="16" spans="2:10" s="17" customFormat="1" ht="27" customHeight="1" x14ac:dyDescent="0.2">
      <c r="B16" s="17" t="s">
        <v>43</v>
      </c>
    </row>
    <row r="30" spans="2:6" s="17" customFormat="1" ht="27" customHeight="1" x14ac:dyDescent="0.2">
      <c r="B30" s="17" t="s">
        <v>46</v>
      </c>
      <c r="F30" s="17" t="s">
        <v>47</v>
      </c>
    </row>
    <row r="38" spans="2:10" s="17" customFormat="1" ht="27" customHeight="1" x14ac:dyDescent="0.2">
      <c r="B38" s="17" t="s">
        <v>44</v>
      </c>
      <c r="F38" s="17" t="s">
        <v>45</v>
      </c>
    </row>
    <row r="43" spans="2:10" x14ac:dyDescent="0.2">
      <c r="J43" t="s">
        <v>49</v>
      </c>
    </row>
  </sheetData>
  <conditionalFormatting sqref="E2">
    <cfRule type="expression" dxfId="25" priority="3">
      <formula>(LEN($E2)&gt;0)*(LEN($D3)&gt;0)</formula>
    </cfRule>
  </conditionalFormatting>
  <conditionalFormatting sqref="D2">
    <cfRule type="expression" dxfId="24" priority="2">
      <formula>(LEN($D2)&gt;0)*(LEN($C2)=0)</formula>
    </cfRule>
  </conditionalFormatting>
  <conditionalFormatting sqref="F2">
    <cfRule type="expression" dxfId="23" priority="1">
      <formula>(LEN($D2)&gt;0)*(LEN($C2)=0)</formula>
    </cfRule>
  </conditionalFormatting>
  <printOptions horizontalCentered="1" verticalCentered="1"/>
  <pageMargins left="0.25" right="0.25" top="0.75" bottom="0.75" header="0.3" footer="0.3"/>
  <pageSetup paperSize="9" orientation="landscape" horizont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845880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 xsi:nil="true"/>
    <Markets xmlns="8289c1ac-6532-4c62-99f0-6d047703163c"/>
    <OriginAsset xmlns="8289c1ac-6532-4c62-99f0-6d047703163c" xsi:nil="true"/>
    <AssetStart xmlns="8289c1ac-6532-4c62-99f0-6d047703163c">2012-06-28T22:27:47+00:00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330309</Value>
    </PublishStatusLookup>
    <APAuthor xmlns="8289c1ac-6532-4c62-99f0-6d047703163c">
      <UserInfo>
        <DisplayName/>
        <AccountId>2566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 xsi:nil="true"/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false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TP102929974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Props1.xml><?xml version="1.0" encoding="utf-8"?>
<ds:datastoreItem xmlns:ds="http://schemas.openxmlformats.org/officeDocument/2006/customXml" ds:itemID="{89823CFE-D424-4B0C-97EB-EA1E0D200961}"/>
</file>

<file path=customXml/itemProps2.xml><?xml version="1.0" encoding="utf-8"?>
<ds:datastoreItem xmlns:ds="http://schemas.openxmlformats.org/officeDocument/2006/customXml" ds:itemID="{0AEE7169-E8EC-4E19-BA48-3F46D4C38897}"/>
</file>

<file path=customXml/itemProps3.xml><?xml version="1.0" encoding="utf-8"?>
<ds:datastoreItem xmlns:ds="http://schemas.openxmlformats.org/officeDocument/2006/customXml" ds:itemID="{C8DE6788-D1FD-452D-A3B7-55A6390F72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7</vt:i4>
      </vt:variant>
    </vt:vector>
  </HeadingPairs>
  <TitlesOfParts>
    <vt:vector size="10" baseType="lpstr">
      <vt:lpstr>Introdução de Dados</vt:lpstr>
      <vt:lpstr>Relatório de Vendas</vt:lpstr>
      <vt:lpstr>Previsão de Vendas</vt:lpstr>
      <vt:lpstr>'Previsão de Vendas'!Área_de_Impressão</vt:lpstr>
      <vt:lpstr>DataDaPrevisão</vt:lpstr>
      <vt:lpstr>fAno</vt:lpstr>
      <vt:lpstr>fData</vt:lpstr>
      <vt:lpstr>fDia</vt:lpstr>
      <vt:lpstr>fMês</vt:lpstr>
      <vt:lpstr>'Relatório de Vendas'!Títulos_de_Impressão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Hosek</dc:creator>
  <cp:lastModifiedBy>Server Adminstrator</cp:lastModifiedBy>
  <dcterms:created xsi:type="dcterms:W3CDTF">2012-06-20T20:17:06Z</dcterms:created>
  <dcterms:modified xsi:type="dcterms:W3CDTF">2012-12-04T08:37:54Z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