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16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B69400B8-2E2E-4CD5-AC83-8E062EB6C351}" xr6:coauthVersionLast="43" xr6:coauthVersionMax="43" xr10:uidLastSave="{00000000-0000-0000-0000-000000000000}"/>
  <bookViews>
    <workbookView xWindow="-120" yWindow="-120" windowWidth="28860" windowHeight="16110" tabRatio="686" xr2:uid="{00000000-000D-0000-FFFF-FFFF00000000}"/>
  </bookViews>
  <sheets>
    <sheet name="ינואר" sheetId="4" r:id="rId1"/>
    <sheet name="פברואר" sheetId="5" r:id="rId2"/>
    <sheet name="מרץ" sheetId="17" r:id="rId3"/>
    <sheet name="אפריל" sheetId="18" r:id="rId4"/>
    <sheet name="מאי" sheetId="19" r:id="rId5"/>
    <sheet name="יוני" sheetId="20" r:id="rId6"/>
    <sheet name="יולי" sheetId="21" r:id="rId7"/>
    <sheet name="אוגוסט" sheetId="22" r:id="rId8"/>
    <sheet name="ספטמבר" sheetId="23" r:id="rId9"/>
    <sheet name="אוקטובר" sheetId="24" r:id="rId10"/>
    <sheet name="נובמבר" sheetId="25" r:id="rId11"/>
    <sheet name="דצמבר" sheetId="15" r:id="rId12"/>
    <sheet name="שמות העובדים" sheetId="16" r:id="rId13"/>
  </sheets>
  <definedNames>
    <definedName name="CalendarYear">ינואר!$AH$4</definedName>
    <definedName name="ColumnTitle13">שמות_העובדים[[#Headers],[שמות העובדים]]</definedName>
    <definedName name="Employee_Absence_Title">ינואר!$B$1</definedName>
    <definedName name="Key_name">ינואר!$B$2</definedName>
    <definedName name="KeyCustom1">ינואר!$N$2</definedName>
    <definedName name="KeyCustom1Label">ינואר!$O$2</definedName>
    <definedName name="KeyCustom2">ינואר!$R$2</definedName>
    <definedName name="KeyCustom2Label">ינואר!$S$2</definedName>
    <definedName name="KeyPersonal">ינואר!$G$2</definedName>
    <definedName name="KeyPersonalLabel">ינואר!$H$2</definedName>
    <definedName name="KeySick">ינואר!$K$2</definedName>
    <definedName name="KeySickLabel">ינואר!$L$2</definedName>
    <definedName name="KeyVacation">ינואר!$C$2</definedName>
    <definedName name="KeyVacationLabel">ינואר!$D$2</definedName>
    <definedName name="MonthName" localSheetId="7">אוגוסט!$B$4</definedName>
    <definedName name="MonthName" localSheetId="9">אוקטובר!$B$4</definedName>
    <definedName name="MonthName" localSheetId="3">אפריל!$B$4</definedName>
    <definedName name="MonthName" localSheetId="11">דצמבר!$B$4</definedName>
    <definedName name="MonthName" localSheetId="6">יולי!$B$4</definedName>
    <definedName name="MonthName" localSheetId="5">יוני!$B$4</definedName>
    <definedName name="MonthName" localSheetId="0">ינואר!$B$4</definedName>
    <definedName name="MonthName" localSheetId="4">מאי!$B$4</definedName>
    <definedName name="MonthName" localSheetId="2">מרץ!$B$4</definedName>
    <definedName name="MonthName" localSheetId="10">נובמבר!$B$4</definedName>
    <definedName name="MonthName" localSheetId="8">ספטמבר!$B$4</definedName>
    <definedName name="MonthName" localSheetId="1">פברואר!$B$4</definedName>
    <definedName name="_xlnm.Print_Titles" localSheetId="7">אוגוסט!$4:$6</definedName>
    <definedName name="_xlnm.Print_Titles" localSheetId="9">אוקטובר!$4:$6</definedName>
    <definedName name="_xlnm.Print_Titles" localSheetId="3">אפריל!$4:$6</definedName>
    <definedName name="_xlnm.Print_Titles" localSheetId="11">דצמבר!$4:$6</definedName>
    <definedName name="_xlnm.Print_Titles" localSheetId="6">יולי!$4:$6</definedName>
    <definedName name="_xlnm.Print_Titles" localSheetId="5">יוני!$4:$6</definedName>
    <definedName name="_xlnm.Print_Titles" localSheetId="0">ינואר!$4:$6</definedName>
    <definedName name="_xlnm.Print_Titles" localSheetId="4">מאי!$4:$6</definedName>
    <definedName name="_xlnm.Print_Titles" localSheetId="2">מרץ!$4:$6</definedName>
    <definedName name="_xlnm.Print_Titles" localSheetId="10">נובמבר!$4:$6</definedName>
    <definedName name="_xlnm.Print_Titles" localSheetId="8">ספטמבר!$4:$6</definedName>
    <definedName name="_xlnm.Print_Titles" localSheetId="1">פברואר!$4:$6</definedName>
    <definedName name="כותרת1">ינואר[[#Headers],[שם העובד]]</definedName>
    <definedName name="כותרת10">אוקטובר[[#Headers],[שם העובד]]</definedName>
    <definedName name="כותרת11">נובמבר[[#Headers],[שם העובד]]</definedName>
    <definedName name="כותרת12">דצמבר[[#Headers],[שם העובד]]</definedName>
    <definedName name="כותרת2">פברואר[[#Headers],[שם העובד]]</definedName>
    <definedName name="כותרת3">מרץ[[#Headers],[שם העובד]]</definedName>
    <definedName name="כותרת4">אפריל[[#Headers],[שם העובד]]</definedName>
    <definedName name="כותרת5">מאי[[#Headers],[שם העובד]]</definedName>
    <definedName name="כותרת6">יוני[[#Headers],[שם העובד]]</definedName>
    <definedName name="כותרת7">יולי[[#Headers],[שם העובד]]</definedName>
    <definedName name="כותרת8">אוגוסט[[#Headers],[שם העובד]]</definedName>
    <definedName name="כותרת9">ספטמבר[[#Headers],[שם העובד]]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5" l="1"/>
  <c r="B12" i="25"/>
  <c r="B12" i="24"/>
  <c r="B12" i="23"/>
  <c r="B12" i="22"/>
  <c r="B12" i="21"/>
  <c r="B12" i="20"/>
  <c r="B12" i="19"/>
  <c r="B12" i="18"/>
  <c r="B12" i="17"/>
  <c r="B12" i="5"/>
  <c r="B12" i="4"/>
  <c r="AH7" i="25" l="1"/>
  <c r="AH8" i="25"/>
  <c r="AH9" i="25"/>
  <c r="AH10" i="25"/>
  <c r="AH11" i="25"/>
  <c r="AH7" i="23"/>
  <c r="AH8" i="23"/>
  <c r="AH9" i="23"/>
  <c r="AH10" i="23"/>
  <c r="AH11" i="23"/>
  <c r="AH7" i="20"/>
  <c r="AH8" i="20"/>
  <c r="AH9" i="20"/>
  <c r="AH10" i="20"/>
  <c r="AH11" i="20"/>
  <c r="AH7" i="18"/>
  <c r="AH8" i="18"/>
  <c r="AH9" i="18"/>
  <c r="AH10" i="18"/>
  <c r="AH11" i="18"/>
  <c r="AD12" i="15"/>
  <c r="AE12" i="15"/>
  <c r="AF12" i="15"/>
  <c r="AG12" i="15"/>
  <c r="AE12" i="25"/>
  <c r="AF12" i="25"/>
  <c r="AG12" i="25"/>
  <c r="AE12" i="24"/>
  <c r="AF12" i="24"/>
  <c r="AG12" i="24"/>
  <c r="AE12" i="23"/>
  <c r="AF12" i="23"/>
  <c r="AG12" i="23"/>
  <c r="AF12" i="22"/>
  <c r="AG12" i="22"/>
  <c r="AF12" i="21"/>
  <c r="AG12" i="21"/>
  <c r="AF12" i="20"/>
  <c r="AG12" i="20"/>
  <c r="AF12" i="19"/>
  <c r="AG12" i="19"/>
  <c r="AG12" i="18"/>
  <c r="AF12" i="18"/>
  <c r="AF12" i="17"/>
  <c r="AG12" i="17"/>
  <c r="AH9" i="4" l="1"/>
  <c r="AH10" i="4"/>
  <c r="AF5" i="25" l="1"/>
  <c r="AE5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AH4" i="25"/>
  <c r="B1" i="25"/>
  <c r="AG5" i="24"/>
  <c r="AF5" i="24"/>
  <c r="AE5" i="24"/>
  <c r="AD5" i="24"/>
  <c r="AC5" i="24"/>
  <c r="AB5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AD12" i="24"/>
  <c r="AC12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AH11" i="24"/>
  <c r="AH10" i="24"/>
  <c r="AH9" i="24"/>
  <c r="AH8" i="24"/>
  <c r="AH7" i="24"/>
  <c r="AH4" i="24"/>
  <c r="B1" i="24"/>
  <c r="AF5" i="23"/>
  <c r="AE5" i="23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AH12" i="23"/>
  <c r="AH4" i="23"/>
  <c r="B1" i="23"/>
  <c r="AG5" i="22"/>
  <c r="AF5" i="22"/>
  <c r="AE5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AH11" i="22"/>
  <c r="AH10" i="22"/>
  <c r="AH9" i="22"/>
  <c r="AH8" i="22"/>
  <c r="AH7" i="22"/>
  <c r="AH4" i="22"/>
  <c r="B1" i="22"/>
  <c r="AG5" i="21"/>
  <c r="AF5" i="21"/>
  <c r="AE5" i="21"/>
  <c r="AD5" i="21"/>
  <c r="AC5" i="2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AH11" i="21"/>
  <c r="AH10" i="21"/>
  <c r="AH9" i="21"/>
  <c r="AH8" i="21"/>
  <c r="AH7" i="21"/>
  <c r="AH4" i="21"/>
  <c r="B1" i="21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AH4" i="20"/>
  <c r="B1" i="20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AH11" i="19"/>
  <c r="AH10" i="19"/>
  <c r="AH9" i="19"/>
  <c r="AH8" i="19"/>
  <c r="AH7" i="19"/>
  <c r="AH4" i="19"/>
  <c r="B1" i="19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AH12" i="18"/>
  <c r="AH4" i="18"/>
  <c r="B1" i="18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AH11" i="17"/>
  <c r="AH10" i="17"/>
  <c r="AH9" i="17"/>
  <c r="AH8" i="17"/>
  <c r="AH7" i="17"/>
  <c r="AH4" i="17"/>
  <c r="B1" i="17"/>
  <c r="B1" i="15"/>
  <c r="B1" i="5"/>
  <c r="AH12" i="17" l="1"/>
  <c r="AH12" i="21"/>
  <c r="AH12" i="22"/>
  <c r="AH12" i="25"/>
  <c r="AH12" i="20"/>
  <c r="AH12" i="19"/>
  <c r="AH12" i="24"/>
  <c r="AB5" i="5"/>
  <c r="AH4" i="5" l="1"/>
  <c r="AH4" i="15" l="1"/>
  <c r="C12" i="4" l="1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7" i="15" l="1"/>
  <c r="AH8" i="15"/>
  <c r="AH9" i="15"/>
  <c r="AH10" i="15"/>
  <c r="AH11" i="15"/>
  <c r="AH12" i="15" l="1"/>
  <c r="C12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A12" i="15"/>
  <c r="AB12" i="15"/>
  <c r="AC12" i="15"/>
  <c r="AG5" i="15" l="1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AH11" i="5" l="1"/>
  <c r="AH10" i="5"/>
  <c r="AH9" i="5"/>
  <c r="AH11" i="4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AH8" i="5"/>
  <c r="AH7" i="5"/>
  <c r="AE5" i="5"/>
  <c r="AD5" i="5"/>
  <c r="AC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AH12" i="5" l="1"/>
  <c r="AH7" i="4"/>
  <c r="AH8" i="4"/>
  <c r="AH12" i="4" l="1"/>
  <c r="AE5" i="4"/>
  <c r="AA5" i="4"/>
  <c r="W5" i="4"/>
  <c r="O5" i="4"/>
  <c r="G5" i="4"/>
  <c r="AD5" i="4"/>
  <c r="Z5" i="4"/>
  <c r="R5" i="4"/>
  <c r="N5" i="4"/>
  <c r="F5" i="4"/>
  <c r="M5" i="4"/>
  <c r="AG5" i="4"/>
  <c r="AC5" i="4"/>
  <c r="Y5" i="4"/>
  <c r="S5" i="4"/>
  <c r="K5" i="4"/>
  <c r="E5" i="4"/>
  <c r="AF5" i="4"/>
  <c r="AB5" i="4"/>
  <c r="X5" i="4"/>
  <c r="T5" i="4"/>
  <c r="P5" i="4"/>
  <c r="L5" i="4"/>
  <c r="H5" i="4"/>
  <c r="D5" i="4"/>
  <c r="Q5" i="4"/>
  <c r="I5" i="4"/>
  <c r="C5" i="4"/>
  <c r="V5" i="4"/>
  <c r="J5" i="4"/>
  <c r="U5" i="4"/>
</calcChain>
</file>

<file path=xl/sharedStrings.xml><?xml version="1.0" encoding="utf-8"?>
<sst xmlns="http://schemas.openxmlformats.org/spreadsheetml/2006/main" count="643" uniqueCount="65">
  <si>
    <t>לוח זמנים לניהול היעדרות העובדים</t>
  </si>
  <si>
    <t>מפתח סוג היעדרות</t>
  </si>
  <si>
    <t>ינואר</t>
  </si>
  <si>
    <t>שם העובד</t>
  </si>
  <si>
    <t>עובד 1</t>
  </si>
  <si>
    <t>עובד 2</t>
  </si>
  <si>
    <t>עובד 3</t>
  </si>
  <si>
    <t>עובד 4</t>
  </si>
  <si>
    <t>עובד 5</t>
  </si>
  <si>
    <t>ח</t>
  </si>
  <si>
    <t>תאריכי היעדרות</t>
  </si>
  <si>
    <t>1</t>
  </si>
  <si>
    <t>חופשה</t>
  </si>
  <si>
    <t>2</t>
  </si>
  <si>
    <t>3</t>
  </si>
  <si>
    <t>א</t>
  </si>
  <si>
    <t>4</t>
  </si>
  <si>
    <t>מ</t>
  </si>
  <si>
    <t>5</t>
  </si>
  <si>
    <t>אישי</t>
  </si>
  <si>
    <t>6</t>
  </si>
  <si>
    <t>7</t>
  </si>
  <si>
    <t>8</t>
  </si>
  <si>
    <t>9</t>
  </si>
  <si>
    <t>שעות</t>
  </si>
  <si>
    <t>10</t>
  </si>
  <si>
    <t>11</t>
  </si>
  <si>
    <t>12</t>
  </si>
  <si>
    <t>מותאם אישית 1</t>
  </si>
  <si>
    <t>13</t>
  </si>
  <si>
    <t>14</t>
  </si>
  <si>
    <t>15</t>
  </si>
  <si>
    <t>16</t>
  </si>
  <si>
    <t>מותאם אישית 2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</si>
  <si>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</si>
  <si>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</si>
  <si>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</si>
  <si>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</si>
  <si>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</si>
  <si>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</si>
  <si>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</si>
  <si>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</si>
  <si>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</si>
  <si>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</si>
  <si>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</si>
  <si>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</si>
  <si>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</si>
  <si>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</si>
  <si>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</si>
  <si>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הזן שנה:</t>
  </si>
  <si>
    <t>סה"כ ימים</t>
  </si>
  <si>
    <t>פברואר</t>
  </si>
  <si>
    <t xml:space="preserve"> </t>
  </si>
  <si>
    <t xml:space="preserve">  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</si>
  <si>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</si>
  <si>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</si>
  <si>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</si>
  <si>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</si>
  <si>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</si>
  <si>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</si>
  <si>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</si>
  <si>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</si>
  <si>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</si>
  <si>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</si>
  <si>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שמות העובדים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</si>
</sst>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 &quot;₪&quot;\ * #,##0_ ;_ &quot;₪&quot;\ * \-#,##0_ ;_ &quot;₪&quot;\ * &quot;-&quot;_ ;_ @_ "/>
    <numFmt numFmtId="44" formatCode="_ &quot;₪&quot;\ * #,##0.00_ ;_ &quot;₪&quot;\ * \-#,##0.00_ ;_ &quot;₪&quot;\ * &quot;-&quot;??_ ;_ @_ "/>
    <numFmt numFmtId="164" formatCode="_(* #,##0_);_(* \(#,##0\);_(* &quot;-&quot;_);_(@_)"/>
    <numFmt numFmtId="165" formatCode="_(* #,##0.00_);_(* \(#,##0.00\);_(* &quot;-&quot;??_);_(@_)"/>
    <numFmt numFmtId="166" formatCode="0;0;"/>
  </numFmts>
  <fonts count="19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sz val="11"/>
      <color theme="4" tint="-0.499984740745262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b/>
      <sz val="26"/>
      <color theme="3"/>
      <name val="Tahoma"/>
      <family val="2"/>
    </font>
    <font>
      <b/>
      <sz val="26"/>
      <color theme="3" tint="-0.24994659260841701"/>
      <name val="Tahoma"/>
      <family val="2"/>
    </font>
    <font>
      <b/>
      <sz val="18"/>
      <color theme="4" tint="-0.24994659260841701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  <font>
      <sz val="11"/>
      <color theme="3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8E3E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horizontal="left" vertical="center"/>
    </xf>
    <xf numFmtId="0" fontId="7" fillId="0" borderId="0" applyNumberFormat="0" applyFill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2" borderId="0" applyNumberFormat="0" applyBorder="0" applyProtection="0">
      <alignment horizontal="center" vertical="center" readingOrder="2"/>
    </xf>
    <xf numFmtId="0" fontId="2" fillId="20" borderId="0" applyNumberFormat="0" applyProtection="0">
      <alignment horizontal="right" vertical="center" indent="1"/>
    </xf>
    <xf numFmtId="0" fontId="1" fillId="0" borderId="0" applyNumberFormat="0" applyFill="0" applyBorder="0" applyProtection="0">
      <alignment horizontal="left" vertical="center" indent="2"/>
    </xf>
    <xf numFmtId="0" fontId="3" fillId="3" borderId="0" applyNumberFormat="0" applyBorder="0" applyAlignment="0" applyProtection="0"/>
    <xf numFmtId="0" fontId="1" fillId="4" borderId="0" applyNumberFormat="0" applyBorder="0" applyProtection="0">
      <alignment horizontal="center" vertical="center"/>
    </xf>
    <xf numFmtId="0" fontId="2" fillId="9" borderId="0" applyNumberFormat="0" applyBorder="0" applyAlignment="0" applyProtection="0"/>
    <xf numFmtId="0" fontId="1" fillId="5" borderId="0" applyNumberFormat="0" applyBorder="0" applyAlignment="0" applyProtection="0"/>
    <xf numFmtId="0" fontId="3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15" borderId="0" applyNumberFormat="0" applyBorder="0" applyAlignment="0" applyProtection="0"/>
    <xf numFmtId="0" fontId="1" fillId="8" borderId="0" applyNumberFormat="0" applyBorder="0" applyAlignment="0" applyProtection="0"/>
    <xf numFmtId="0" fontId="3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1" fillId="2" borderId="0" applyNumberFormat="0" applyBorder="0" applyAlignment="0" applyProtection="0">
      <alignment readingOrder="2"/>
    </xf>
    <xf numFmtId="0" fontId="2" fillId="12" borderId="0" applyNumberFormat="0" applyBorder="0" applyProtection="0">
      <alignment horizontal="left" vertical="center" indent="1"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1" fontId="1" fillId="0" borderId="0" applyFill="0" applyBorder="0" applyProtection="0">
      <alignment horizontal="center" vertical="center"/>
    </xf>
    <xf numFmtId="0" fontId="1" fillId="0" borderId="0" applyNumberFormat="0" applyFill="0" applyBorder="0">
      <alignment horizontal="left" vertical="center" wrapText="1" indent="2"/>
    </xf>
    <xf numFmtId="0" fontId="4" fillId="0" borderId="0">
      <alignment horizont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16" fillId="23" borderId="0" applyNumberFormat="0" applyBorder="0" applyAlignment="0" applyProtection="0"/>
    <xf numFmtId="0" fontId="14" fillId="24" borderId="1" applyNumberFormat="0" applyAlignment="0" applyProtection="0"/>
    <xf numFmtId="0" fontId="15" fillId="25" borderId="2" applyNumberFormat="0" applyAlignment="0" applyProtection="0"/>
    <xf numFmtId="0" fontId="13" fillId="25" borderId="1" applyNumberFormat="0" applyAlignment="0" applyProtection="0"/>
    <xf numFmtId="0" fontId="17" fillId="0" borderId="3" applyNumberFormat="0" applyFill="0" applyAlignment="0" applyProtection="0"/>
    <xf numFmtId="0" fontId="10" fillId="26" borderId="4" applyNumberFormat="0" applyAlignment="0" applyProtection="0"/>
    <xf numFmtId="0" fontId="12" fillId="0" borderId="0" applyNumberFormat="0" applyFill="0" applyBorder="0" applyAlignment="0" applyProtection="0"/>
    <xf numFmtId="0" fontId="1" fillId="27" borderId="5" applyNumberFormat="0" applyFont="0" applyAlignment="0" applyProtection="0"/>
    <xf numFmtId="0" fontId="11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>
      <alignment horizontal="left" vertical="center"/>
    </xf>
    <xf numFmtId="0" fontId="0" fillId="0" borderId="0" xfId="0" applyProtection="1">
      <alignment horizontal="left" vertical="center"/>
    </xf>
    <xf numFmtId="0" fontId="0" fillId="0" borderId="0" xfId="0" applyAlignment="1" applyProtection="1">
      <alignment horizontal="right" vertical="center" wrapText="1" readingOrder="2"/>
    </xf>
    <xf numFmtId="0" fontId="7" fillId="0" borderId="0" xfId="1" applyAlignment="1" applyProtection="1">
      <alignment horizontal="right" vertical="top" readingOrder="2"/>
    </xf>
    <xf numFmtId="0" fontId="0" fillId="0" borderId="0" xfId="0" applyAlignment="1" applyProtection="1">
      <alignment horizontal="right" vertical="center" readingOrder="2"/>
    </xf>
    <xf numFmtId="0" fontId="2" fillId="20" borderId="0" xfId="4" applyAlignment="1" applyProtection="1">
      <alignment horizontal="left" vertical="center" indent="1" readingOrder="2"/>
    </xf>
    <xf numFmtId="0" fontId="2" fillId="15" borderId="0" xfId="12" applyAlignment="1" applyProtection="1">
      <alignment horizontal="center" vertical="center" readingOrder="2"/>
    </xf>
    <xf numFmtId="0" fontId="2" fillId="10" borderId="0" xfId="19" applyAlignment="1" applyProtection="1">
      <alignment horizontal="center" vertical="center" readingOrder="2"/>
    </xf>
    <xf numFmtId="0" fontId="4" fillId="0" borderId="0" xfId="27" applyAlignment="1" applyProtection="1">
      <alignment horizontal="center" readingOrder="2"/>
    </xf>
    <xf numFmtId="0" fontId="9" fillId="2" borderId="0" xfId="3" applyAlignment="1" applyProtection="1">
      <alignment horizontal="center" vertical="center" readingOrder="2"/>
    </xf>
    <xf numFmtId="0" fontId="0" fillId="0" borderId="0" xfId="0" applyAlignment="1" applyProtection="1">
      <alignment horizontal="center" vertical="center" readingOrder="2"/>
    </xf>
    <xf numFmtId="0" fontId="1" fillId="2" borderId="0" xfId="21" applyBorder="1" applyAlignment="1" applyProtection="1">
      <alignment horizontal="right" vertical="center" indent="1" readingOrder="2"/>
    </xf>
    <xf numFmtId="0" fontId="0" fillId="0" borderId="0" xfId="0" applyFont="1" applyFill="1" applyBorder="1" applyAlignment="1" applyProtection="1">
      <alignment horizontal="center" vertical="center" readingOrder="2"/>
    </xf>
    <xf numFmtId="0" fontId="0" fillId="0" borderId="0" xfId="21" applyFont="1" applyFill="1" applyBorder="1" applyAlignment="1" applyProtection="1">
      <alignment horizontal="center" vertical="center" readingOrder="2"/>
    </xf>
    <xf numFmtId="0" fontId="1" fillId="0" borderId="0" xfId="26" applyFill="1" applyBorder="1" applyAlignment="1">
      <alignment horizontal="right" vertical="center" wrapText="1" indent="2" readingOrder="2"/>
    </xf>
    <xf numFmtId="1" fontId="1" fillId="0" borderId="0" xfId="25" applyFill="1" applyBorder="1" applyAlignment="1" applyProtection="1">
      <alignment horizontal="center" vertical="center" readingOrder="2"/>
    </xf>
    <xf numFmtId="0" fontId="0" fillId="0" borderId="0" xfId="0" applyFont="1" applyFill="1" applyBorder="1" applyAlignment="1" applyProtection="1">
      <alignment horizontal="right" vertical="center" indent="1" readingOrder="2"/>
    </xf>
    <xf numFmtId="166" fontId="0" fillId="0" borderId="0" xfId="0" applyNumberFormat="1" applyFont="1" applyFill="1" applyBorder="1" applyAlignment="1" applyProtection="1">
      <alignment horizontal="center" vertical="center" readingOrder="2"/>
    </xf>
    <xf numFmtId="0" fontId="0" fillId="0" borderId="0" xfId="0" applyAlignment="1">
      <alignment horizontal="right" vertical="center" readingOrder="2"/>
    </xf>
    <xf numFmtId="0" fontId="1" fillId="0" borderId="0" xfId="26" applyFill="1" applyBorder="1" applyAlignment="1" applyProtection="1">
      <alignment horizontal="right" vertical="center" wrapText="1" indent="2" readingOrder="2"/>
    </xf>
    <xf numFmtId="0" fontId="7" fillId="0" borderId="0" xfId="1" applyAlignment="1">
      <alignment horizontal="right" vertical="top" readingOrder="2"/>
    </xf>
    <xf numFmtId="0" fontId="1" fillId="0" borderId="0" xfId="26" applyAlignment="1">
      <alignment horizontal="right" vertical="center" wrapText="1" indent="2" readingOrder="2"/>
    </xf>
    <xf numFmtId="0" fontId="2" fillId="13" borderId="0" xfId="23" applyFont="1" applyAlignment="1" applyProtection="1">
      <alignment horizontal="center" vertical="center" readingOrder="2"/>
    </xf>
    <xf numFmtId="166" fontId="2" fillId="9" borderId="0" xfId="8" applyNumberFormat="1" applyFont="1" applyAlignment="1" applyProtection="1">
      <alignment horizontal="center" vertical="center" readingOrder="2"/>
    </xf>
    <xf numFmtId="166" fontId="2" fillId="14" borderId="0" xfId="24" applyNumberFormat="1" applyFont="1" applyAlignment="1" applyProtection="1">
      <alignment horizontal="center" vertical="center" readingOrder="2"/>
    </xf>
    <xf numFmtId="0" fontId="18" fillId="0" borderId="0" xfId="0" applyFont="1" applyFill="1" applyBorder="1" applyAlignment="1" applyProtection="1">
      <alignment horizontal="center" vertical="center" readingOrder="2"/>
    </xf>
    <xf numFmtId="0" fontId="9" fillId="2" borderId="0" xfId="3" applyAlignment="1" applyProtection="1">
      <alignment horizontal="center" vertical="center" readingOrder="2"/>
    </xf>
    <xf numFmtId="0" fontId="1" fillId="2" borderId="0" xfId="21" applyAlignment="1" applyProtection="1">
      <alignment horizontal="right" vertical="center" readingOrder="2"/>
    </xf>
  </cellXfs>
  <cellStyles count="49">
    <cellStyle name="20% - הדגשה1" xfId="15" builtinId="30" customBuiltin="1"/>
    <cellStyle name="20% - הדגשה2" xfId="44" builtinId="34" customBuiltin="1"/>
    <cellStyle name="20% - הדגשה3" xfId="21" builtinId="38" customBuiltin="1"/>
    <cellStyle name="20% - הדגשה4" xfId="7" builtinId="42" customBuiltin="1"/>
    <cellStyle name="20% - הדגשה5" xfId="47" builtinId="46" customBuiltin="1"/>
    <cellStyle name="20% - הדגשה6" xfId="11" builtinId="50" customBuiltin="1"/>
    <cellStyle name="40% - הדגשה1" xfId="16" builtinId="31" customBuiltin="1"/>
    <cellStyle name="40% - הדגשה2" xfId="19" builtinId="35" customBuiltin="1"/>
    <cellStyle name="40% - הדגשה3" xfId="22" builtinId="39" customBuiltin="1"/>
    <cellStyle name="40% - הדגשה4" xfId="8" builtinId="43" customBuiltin="1"/>
    <cellStyle name="40% - הדגשה5" xfId="24" builtinId="47" customBuiltin="1"/>
    <cellStyle name="40% - הדגשה6" xfId="12" builtinId="51" customBuiltin="1"/>
    <cellStyle name="60% - הדגשה1" xfId="17" builtinId="32" customBuiltin="1"/>
    <cellStyle name="60% - הדגשה2" xfId="45" builtinId="36" customBuiltin="1"/>
    <cellStyle name="60% - הדגשה3" xfId="23" builtinId="40" customBuiltin="1"/>
    <cellStyle name="60% - הדגשה4" xfId="9" builtinId="44" customBuiltin="1"/>
    <cellStyle name="60% - הדגשה5" xfId="48" builtinId="48" customBuiltin="1"/>
    <cellStyle name="60% - הדגשה6" xfId="13" builtinId="52" customBuiltin="1"/>
    <cellStyle name="Comma" xfId="28" builtinId="3" customBuiltin="1"/>
    <cellStyle name="Currency" xfId="30" builtinId="4" customBuiltin="1"/>
    <cellStyle name="Normal" xfId="0" builtinId="0" customBuiltin="1"/>
    <cellStyle name="Percent" xfId="32" builtinId="5" customBuiltin="1"/>
    <cellStyle name="הדגשה1" xfId="14" builtinId="29" customBuiltin="1"/>
    <cellStyle name="הדגשה2" xfId="18" builtinId="33" customBuiltin="1"/>
    <cellStyle name="הדגשה3" xfId="20" builtinId="37" customBuiltin="1"/>
    <cellStyle name="הדגשה4" xfId="6" builtinId="41" customBuiltin="1"/>
    <cellStyle name="הדגשה5" xfId="46" builtinId="45" customBuiltin="1"/>
    <cellStyle name="הדגשה6" xfId="10" builtinId="49" customBuiltin="1"/>
    <cellStyle name="הערה" xfId="42" builtinId="10" customBuiltin="1"/>
    <cellStyle name="חישוב" xfId="38" builtinId="22" customBuiltin="1"/>
    <cellStyle name="טוב" xfId="33" builtinId="26" customBuiltin="1"/>
    <cellStyle name="טקסט אזהרה" xfId="41" builtinId="11" customBuiltin="1"/>
    <cellStyle name="טקסט הסברי" xfId="43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מטבע [0]" xfId="31" builtinId="7" customBuiltin="1"/>
    <cellStyle name="ניטראלי" xfId="35" builtinId="28" customBuiltin="1"/>
    <cellStyle name="סה&quot;כ" xfId="25" builtinId="25" customBuiltin="1"/>
    <cellStyle name="עובד" xfId="26" xr:uid="{00000000-0005-0000-0000-000013000000}"/>
    <cellStyle name="פלט" xfId="37" builtinId="21" customBuiltin="1"/>
    <cellStyle name="פסיק [0]" xfId="29" builtinId="6" customBuiltin="1"/>
    <cellStyle name="קלט" xfId="36" builtinId="20" customBuiltin="1"/>
    <cellStyle name="רע" xfId="34" builtinId="27" customBuiltin="1"/>
    <cellStyle name="תא מסומן" xfId="40" builtinId="23" customBuiltin="1"/>
    <cellStyle name="תא מקושר" xfId="39" builtinId="24" customBuiltin="1"/>
    <cellStyle name="תווית" xfId="27" xr:uid="{00000000-0005-0000-0000-000018000000}"/>
  </cellStyles>
  <dxfs count="905">
    <dxf>
      <alignment horizontal="right" vertical="center" textRotation="0" wrapText="1" indent="2" justifyLastLine="0" shrinkToFit="0" readingOrder="2"/>
    </dxf>
    <dxf>
      <alignment horizontal="right" vertical="center" textRotation="0" wrapText="1" indent="2" justifyLastLine="0" shrinkToFit="0" readingOrder="2"/>
    </dxf>
    <dxf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numFmt numFmtId="1" formatCode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numFmt numFmtId="1" formatCode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numFmt numFmtId="1" formatCode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numFmt numFmtId="1" formatCode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0"/>
      </font>
      <border>
        <vertical/>
        <horizontal/>
      </border>
    </dxf>
    <dxf>
      <font>
        <b val="0"/>
        <i val="0"/>
        <color theme="3"/>
      </font>
      <border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indexed="65"/>
        </patternFill>
      </fill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ill>
        <patternFill patternType="solid">
          <bgColor theme="6" tint="0.79998168889431442"/>
        </patternFill>
      </fill>
      <border diagonalUp="0" diagonalDown="0">
        <left/>
        <right/>
        <top style="thin">
          <color theme="0" tint="-0.14996795556505021"/>
        </top>
        <bottom style="medium">
          <color theme="2" tint="-0.499984740745262"/>
        </bottom>
        <vertical/>
        <horizontal/>
      </border>
    </dxf>
    <dxf>
      <font>
        <color theme="1"/>
      </font>
      <fill>
        <patternFill patternType="solid">
          <bgColor theme="6" tint="0.79998168889431442"/>
        </patternFill>
      </fill>
      <border diagonalUp="0" diagonalDown="0">
        <left/>
        <right/>
        <top style="thin">
          <color theme="0" tint="-0.14993743705557422"/>
        </top>
        <bottom style="medium">
          <color theme="2" tint="-0.499984740745262"/>
        </bottom>
        <vertical/>
        <horizontal style="thin">
          <color theme="0" tint="-0.14993743705557422"/>
        </horizontal>
      </border>
    </dxf>
    <dxf>
      <font>
        <color theme="1"/>
      </font>
      <fill>
        <patternFill patternType="solid">
          <bgColor theme="2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/>
      </border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3743705557422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0" tint="-4.9989318521683403E-2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0" tint="-0.14996795556505021"/>
        </patternFill>
      </fill>
    </dxf>
    <dxf>
      <fill>
        <patternFill patternType="solid">
          <fgColor theme="4" tint="0.79992065187536243"/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color theme="1"/>
      </font>
      <fill>
        <patternFill patternType="none">
          <bgColor auto="1"/>
        </patternFill>
      </fill>
      <border>
        <left/>
        <right/>
        <top style="thin">
          <color theme="2" tint="-9.9917600024414813E-2"/>
        </top>
        <bottom style="thin">
          <color theme="2" tint="-9.9948118533890809E-2"/>
        </bottom>
        <vertical/>
        <horizontal style="thin">
          <color theme="2" tint="-9.9917600024414813E-2"/>
        </horizontal>
      </border>
    </dxf>
    <dxf>
      <font>
        <color theme="1"/>
      </font>
      <fill>
        <patternFill>
          <bgColor theme="6" tint="0.79998168889431442"/>
        </patternFill>
      </fill>
      <border diagonalUp="0" diagonalDown="0">
        <left style="thin">
          <color theme="0"/>
        </left>
        <right style="thin">
          <color theme="0"/>
        </right>
        <top/>
        <bottom style="medium">
          <color theme="2" tint="-0.499984740745262"/>
        </bottom>
        <vertical style="thin">
          <color theme="0"/>
        </vertical>
        <horizontal/>
      </border>
    </dxf>
    <dxf>
      <font>
        <color theme="0"/>
      </font>
      <fill>
        <patternFill>
          <bgColor theme="3"/>
        </patternFill>
      </fill>
    </dxf>
    <dxf>
      <font>
        <color theme="1"/>
      </font>
      <border diagonalUp="0" diagonalDown="0">
        <left/>
        <right/>
        <top/>
        <bottom/>
        <vertical style="thin">
          <color theme="0"/>
        </vertical>
        <horizontal/>
      </border>
    </dxf>
  </dxfs>
  <tableStyles count="1" defaultPivotStyle="PivotStyleLight16">
    <tableStyle name="טבלת היעדרויות עובדים" pivot="0" count="13" xr9:uid="{00000000-0011-0000-FFFF-FFFF00000000}">
      <tableStyleElement type="wholeTable" dxfId="904"/>
      <tableStyleElement type="headerRow" dxfId="903"/>
      <tableStyleElement type="totalRow" dxfId="902"/>
      <tableStyleElement type="firstColumn" dxfId="901"/>
      <tableStyleElement type="lastColumn" dxfId="900"/>
      <tableStyleElement type="firstRowStripe" dxfId="899"/>
      <tableStyleElement type="secondRowStripe" dxfId="898"/>
      <tableStyleElement type="firstColumnStripe" dxfId="897"/>
      <tableStyleElement type="secondColumnStripe" dxfId="896"/>
      <tableStyleElement type="firstHeaderCell" dxfId="895"/>
      <tableStyleElement type="lastHeaderCell" dxfId="894"/>
      <tableStyleElement type="firstTotalCell" dxfId="893"/>
      <tableStyleElement type="lastTotalCell" dxfId="89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ינואר" displayName="ינואר" ref="B6:AH12" totalsRowCount="1" headerRowDxfId="886" dataDxfId="885" totalsRowDxfId="884">
  <autoFilter ref="B6:AH1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</autoFilter>
  <tableColumns count="33">
    <tableColumn id="1" xr3:uid="{00000000-0010-0000-0000-000001000000}" name="שם העובד" totalsRowFunction="custom" dataDxfId="883" totalsRowDxfId="882" dataCellStyle="עובד">
      <totalsRowFormula>"סך הכל "&amp;MonthName</totalsRowFormula>
    </tableColumn>
    <tableColumn id="2" xr3:uid="{00000000-0010-0000-0000-000002000000}" name="1" totalsRowFunction="custom" dataDxfId="881" totalsRowDxfId="880">
      <totalsRowFormula>SUBTOTAL(103,ינואר!$C$7:$C$11)</totalsRowFormula>
    </tableColumn>
    <tableColumn id="3" xr3:uid="{00000000-0010-0000-0000-000003000000}" name="2" totalsRowFunction="custom" dataDxfId="879" totalsRowDxfId="878">
      <totalsRowFormula>SUBTOTAL(103,ינואר!$D$7:$D$11)</totalsRowFormula>
    </tableColumn>
    <tableColumn id="4" xr3:uid="{00000000-0010-0000-0000-000004000000}" name="3" totalsRowFunction="custom" dataDxfId="877" totalsRowDxfId="876">
      <totalsRowFormula>SUBTOTAL(103,ינואר!$E$7:$E$11)</totalsRowFormula>
    </tableColumn>
    <tableColumn id="5" xr3:uid="{00000000-0010-0000-0000-000005000000}" name="4" totalsRowFunction="custom" dataDxfId="875" totalsRowDxfId="874">
      <totalsRowFormula>SUBTOTAL(103,ינואר!$F$7:$F$11)</totalsRowFormula>
    </tableColumn>
    <tableColumn id="6" xr3:uid="{00000000-0010-0000-0000-000006000000}" name="5" totalsRowFunction="custom" totalsRowDxfId="873">
      <totalsRowFormula>SUBTOTAL(103,ינואר!$G$7:$G$11)</totalsRowFormula>
    </tableColumn>
    <tableColumn id="7" xr3:uid="{00000000-0010-0000-0000-000007000000}" name="6" totalsRowFunction="custom" dataDxfId="872" totalsRowDxfId="871">
      <totalsRowFormula>SUBTOTAL(103,ינואר!$H$7:$H$11)</totalsRowFormula>
    </tableColumn>
    <tableColumn id="8" xr3:uid="{00000000-0010-0000-0000-000008000000}" name="7" totalsRowFunction="custom" dataDxfId="870" totalsRowDxfId="869">
      <totalsRowFormula>SUBTOTAL(103,ינואר!$I$7:$I$11)</totalsRowFormula>
    </tableColumn>
    <tableColumn id="9" xr3:uid="{00000000-0010-0000-0000-000009000000}" name="8" totalsRowFunction="custom" dataDxfId="868" totalsRowDxfId="867">
      <totalsRowFormula>SUBTOTAL(103,ינואר!$J$7:$J$11)</totalsRowFormula>
    </tableColumn>
    <tableColumn id="10" xr3:uid="{00000000-0010-0000-0000-00000A000000}" name="9" totalsRowFunction="custom" dataDxfId="866" totalsRowDxfId="865">
      <totalsRowFormula>SUBTOTAL(103,ינואר!$K$7:$K$11)</totalsRowFormula>
    </tableColumn>
    <tableColumn id="11" xr3:uid="{00000000-0010-0000-0000-00000B000000}" name="10" totalsRowFunction="custom" dataDxfId="864" totalsRowDxfId="863">
      <totalsRowFormula>SUBTOTAL(103,ינואר!$L$7:$L$11)</totalsRowFormula>
    </tableColumn>
    <tableColumn id="12" xr3:uid="{00000000-0010-0000-0000-00000C000000}" name="11" totalsRowFunction="custom" dataDxfId="862" totalsRowDxfId="861">
      <totalsRowFormula>SUBTOTAL(103,ינואר!$M$7:$M$11)</totalsRowFormula>
    </tableColumn>
    <tableColumn id="13" xr3:uid="{00000000-0010-0000-0000-00000D000000}" name="12" totalsRowFunction="custom" dataDxfId="860" totalsRowDxfId="859">
      <totalsRowFormula>SUBTOTAL(103,ינואר!$N$7:$N$11)</totalsRowFormula>
    </tableColumn>
    <tableColumn id="14" xr3:uid="{00000000-0010-0000-0000-00000E000000}" name="13" totalsRowFunction="custom" dataDxfId="858" totalsRowDxfId="857">
      <totalsRowFormula>SUBTOTAL(103,ינואר!$O$7:$O$11)</totalsRowFormula>
    </tableColumn>
    <tableColumn id="15" xr3:uid="{00000000-0010-0000-0000-00000F000000}" name="14" totalsRowFunction="custom" dataDxfId="856" totalsRowDxfId="855">
      <totalsRowFormula>SUBTOTAL(103,ינואר!$P$7:$P$11)</totalsRowFormula>
    </tableColumn>
    <tableColumn id="16" xr3:uid="{00000000-0010-0000-0000-000010000000}" name="15" totalsRowFunction="custom" dataDxfId="854" totalsRowDxfId="853">
      <totalsRowFormula>SUBTOTAL(103,ינואר!$Q$7:$Q$11)</totalsRowFormula>
    </tableColumn>
    <tableColumn id="17" xr3:uid="{00000000-0010-0000-0000-000011000000}" name="16" totalsRowFunction="custom" dataDxfId="852" totalsRowDxfId="851">
      <totalsRowFormula>SUBTOTAL(103,ינואר!$R$7:$R$11)</totalsRowFormula>
    </tableColumn>
    <tableColumn id="18" xr3:uid="{00000000-0010-0000-0000-000012000000}" name="17" totalsRowFunction="custom" dataDxfId="850" totalsRowDxfId="849">
      <totalsRowFormula>SUBTOTAL(103,ינואר!$S$7:$S$11)</totalsRowFormula>
    </tableColumn>
    <tableColumn id="19" xr3:uid="{00000000-0010-0000-0000-000013000000}" name="18" totalsRowFunction="custom" dataDxfId="848" totalsRowDxfId="847">
      <totalsRowFormula>SUBTOTAL(103,ינואר!$T$7:$T$11)</totalsRowFormula>
    </tableColumn>
    <tableColumn id="20" xr3:uid="{00000000-0010-0000-0000-000014000000}" name="19" totalsRowFunction="custom" dataDxfId="846" totalsRowDxfId="845">
      <totalsRowFormula>SUBTOTAL(103,ינואר!$U$7:$U$11)</totalsRowFormula>
    </tableColumn>
    <tableColumn id="21" xr3:uid="{00000000-0010-0000-0000-000015000000}" name="20" totalsRowFunction="custom" dataDxfId="844" totalsRowDxfId="843">
      <totalsRowFormula>SUBTOTAL(103,ינואר!$V$7:$V$11)</totalsRowFormula>
    </tableColumn>
    <tableColumn id="22" xr3:uid="{00000000-0010-0000-0000-000016000000}" name="21" totalsRowFunction="custom" dataDxfId="842" totalsRowDxfId="841">
      <totalsRowFormula>SUBTOTAL(103,ינואר!$W$7:$W$11)</totalsRowFormula>
    </tableColumn>
    <tableColumn id="23" xr3:uid="{00000000-0010-0000-0000-000017000000}" name="22" totalsRowFunction="custom" dataDxfId="840" totalsRowDxfId="839">
      <totalsRowFormula>SUBTOTAL(103,ינואר!$X$7:$X$11)</totalsRowFormula>
    </tableColumn>
    <tableColumn id="24" xr3:uid="{00000000-0010-0000-0000-000018000000}" name="23" totalsRowFunction="custom" dataDxfId="838" totalsRowDxfId="837">
      <totalsRowFormula>SUBTOTAL(103,ינואר!$Y$7:$Y$11)</totalsRowFormula>
    </tableColumn>
    <tableColumn id="25" xr3:uid="{00000000-0010-0000-0000-000019000000}" name="24" totalsRowFunction="custom" dataDxfId="836" totalsRowDxfId="835">
      <totalsRowFormula>SUBTOTAL(103,ינואר!$Z$7:$Z$11)</totalsRowFormula>
    </tableColumn>
    <tableColumn id="26" xr3:uid="{00000000-0010-0000-0000-00001A000000}" name="25" totalsRowFunction="custom" dataDxfId="834" totalsRowDxfId="833">
      <totalsRowFormula>SUBTOTAL(103,ינואר!$AA$7:$AA$11)</totalsRowFormula>
    </tableColumn>
    <tableColumn id="27" xr3:uid="{00000000-0010-0000-0000-00001B000000}" name="26" totalsRowFunction="custom" dataDxfId="832" totalsRowDxfId="831">
      <totalsRowFormula>SUBTOTAL(103,ינואר!$AB$7:$AB$11)</totalsRowFormula>
    </tableColumn>
    <tableColumn id="28" xr3:uid="{00000000-0010-0000-0000-00001C000000}" name="27" totalsRowFunction="custom" dataDxfId="830" totalsRowDxfId="829">
      <totalsRowFormula>SUBTOTAL(103,ינואר!$AC$7:$AC$11)</totalsRowFormula>
    </tableColumn>
    <tableColumn id="29" xr3:uid="{00000000-0010-0000-0000-00001D000000}" name="28" totalsRowFunction="custom" dataDxfId="828" totalsRowDxfId="827">
      <totalsRowFormula>SUBTOTAL(103,ינואר!$AD$7:$AD$11)</totalsRowFormula>
    </tableColumn>
    <tableColumn id="30" xr3:uid="{00000000-0010-0000-0000-00001E000000}" name="29" totalsRowFunction="custom" dataDxfId="826" totalsRowDxfId="825">
      <totalsRowFormula>SUBTOTAL(103,ינואר!$AE$7:$AE$11)</totalsRowFormula>
    </tableColumn>
    <tableColumn id="31" xr3:uid="{00000000-0010-0000-0000-00001F000000}" name="30" totalsRowFunction="custom" dataDxfId="824" totalsRowDxfId="823">
      <totalsRowFormula>SUBTOTAL(103,ינואר!$AF$7:$AF$11)</totalsRowFormula>
    </tableColumn>
    <tableColumn id="32" xr3:uid="{00000000-0010-0000-0000-000020000000}" name="31" totalsRowFunction="custom" dataDxfId="822" totalsRowDxfId="821">
      <totalsRowFormula>SUBTOTAL(103,ינואר!$AG$7:$AG$11)</totalsRowFormula>
    </tableColumn>
    <tableColumn id="33" xr3:uid="{00000000-0010-0000-0000-000021000000}" name="סה&quot;כ ימים" totalsRowFunction="sum" dataDxfId="820" totalsRowDxfId="819">
      <calculatedColumnFormula>COUNTA(ינואר!$C7:$AG7)</calculatedColumnFormula>
    </tableColumn>
  </tableColumns>
  <tableStyleInfo name="טבלת היעדרויות עובדים" showFirstColumn="1" showLastColumn="1" showRowStripes="1" showColumnStripes="0"/>
  <extLst>
    <ext xmlns:x14="http://schemas.microsoft.com/office/spreadsheetml/2009/9/main" uri="{504A1905-F514-4f6f-8877-14C23A59335A}">
      <x14:table altTextSummary="ציין את שמות העובדים ותאריכי ההיעדרויות. רשום את סוג ההיעדרות בהתאם למפתח בשורה 12: ח = חופשה, מ = מחלה, א = אישי, ושני מצייני מיקום עבור ערכים מותאמים אישית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9000000}" name="אוקטובר" displayName="אוקטובר" ref="B6:AH12" totalsRowCount="1" headerRowDxfId="318" dataDxfId="317" totalsRowDxfId="316">
  <tableColumns count="33">
    <tableColumn id="1" xr3:uid="{00000000-0010-0000-0900-000001000000}" name="שם העובד" totalsRowFunction="custom" dataDxfId="315" totalsRowDxfId="314" dataCellStyle="עובד">
      <totalsRowFormula>"סך הכל "&amp;MonthName</totalsRowFormula>
    </tableColumn>
    <tableColumn id="2" xr3:uid="{00000000-0010-0000-0900-000002000000}" name="1" totalsRowFunction="count" dataDxfId="313" totalsRowDxfId="312"/>
    <tableColumn id="3" xr3:uid="{00000000-0010-0000-0900-000003000000}" name="2" totalsRowFunction="count" dataDxfId="311" totalsRowDxfId="310"/>
    <tableColumn id="4" xr3:uid="{00000000-0010-0000-0900-000004000000}" name="3" totalsRowFunction="count" dataDxfId="309" totalsRowDxfId="308"/>
    <tableColumn id="5" xr3:uid="{00000000-0010-0000-0900-000005000000}" name="4" totalsRowFunction="count" dataDxfId="307" totalsRowDxfId="306"/>
    <tableColumn id="6" xr3:uid="{00000000-0010-0000-0900-000006000000}" name="5" totalsRowFunction="count" dataDxfId="305" totalsRowDxfId="304"/>
    <tableColumn id="7" xr3:uid="{00000000-0010-0000-0900-000007000000}" name="6" totalsRowFunction="count" dataDxfId="303" totalsRowDxfId="302"/>
    <tableColumn id="8" xr3:uid="{00000000-0010-0000-0900-000008000000}" name="7" totalsRowFunction="count" dataDxfId="301" totalsRowDxfId="300"/>
    <tableColumn id="9" xr3:uid="{00000000-0010-0000-0900-000009000000}" name="8" totalsRowFunction="count" dataDxfId="299" totalsRowDxfId="298"/>
    <tableColumn id="10" xr3:uid="{00000000-0010-0000-0900-00000A000000}" name="9" totalsRowFunction="count" dataDxfId="297" totalsRowDxfId="296"/>
    <tableColumn id="11" xr3:uid="{00000000-0010-0000-0900-00000B000000}" name="10" totalsRowFunction="count" dataDxfId="295" totalsRowDxfId="294"/>
    <tableColumn id="12" xr3:uid="{00000000-0010-0000-0900-00000C000000}" name="11" totalsRowFunction="count" dataDxfId="293" totalsRowDxfId="292"/>
    <tableColumn id="13" xr3:uid="{00000000-0010-0000-0900-00000D000000}" name="12" totalsRowFunction="count" dataDxfId="291" totalsRowDxfId="290"/>
    <tableColumn id="14" xr3:uid="{00000000-0010-0000-0900-00000E000000}" name="13" totalsRowFunction="count" dataDxfId="289" totalsRowDxfId="288"/>
    <tableColumn id="15" xr3:uid="{00000000-0010-0000-0900-00000F000000}" name="14" totalsRowFunction="count" dataDxfId="287" totalsRowDxfId="286"/>
    <tableColumn id="16" xr3:uid="{00000000-0010-0000-0900-000010000000}" name="15" totalsRowFunction="count" dataDxfId="285" totalsRowDxfId="284"/>
    <tableColumn id="17" xr3:uid="{00000000-0010-0000-0900-000011000000}" name="16" totalsRowFunction="count" dataDxfId="283" totalsRowDxfId="282"/>
    <tableColumn id="18" xr3:uid="{00000000-0010-0000-0900-000012000000}" name="17" totalsRowFunction="count" dataDxfId="281" totalsRowDxfId="280"/>
    <tableColumn id="19" xr3:uid="{00000000-0010-0000-0900-000013000000}" name="18" totalsRowFunction="count" dataDxfId="279" totalsRowDxfId="278"/>
    <tableColumn id="20" xr3:uid="{00000000-0010-0000-0900-000014000000}" name="19" totalsRowFunction="count" dataDxfId="277" totalsRowDxfId="276"/>
    <tableColumn id="21" xr3:uid="{00000000-0010-0000-0900-000015000000}" name="20" totalsRowFunction="count" dataDxfId="275" totalsRowDxfId="274"/>
    <tableColumn id="22" xr3:uid="{00000000-0010-0000-0900-000016000000}" name="21" totalsRowFunction="count" dataDxfId="273" totalsRowDxfId="272"/>
    <tableColumn id="23" xr3:uid="{00000000-0010-0000-0900-000017000000}" name="22" totalsRowFunction="count" dataDxfId="271" totalsRowDxfId="270"/>
    <tableColumn id="24" xr3:uid="{00000000-0010-0000-0900-000018000000}" name="23" totalsRowFunction="count" dataDxfId="269" totalsRowDxfId="268"/>
    <tableColumn id="25" xr3:uid="{00000000-0010-0000-0900-000019000000}" name="24" totalsRowFunction="count" dataDxfId="267" totalsRowDxfId="266"/>
    <tableColumn id="26" xr3:uid="{00000000-0010-0000-0900-00001A000000}" name="25" totalsRowFunction="count" dataDxfId="265" totalsRowDxfId="264"/>
    <tableColumn id="27" xr3:uid="{00000000-0010-0000-0900-00001B000000}" name="26" totalsRowFunction="count" dataDxfId="263" totalsRowDxfId="262"/>
    <tableColumn id="28" xr3:uid="{00000000-0010-0000-0900-00001C000000}" name="27" totalsRowFunction="count" dataDxfId="261" totalsRowDxfId="260"/>
    <tableColumn id="29" xr3:uid="{00000000-0010-0000-0900-00001D000000}" name="28" totalsRowFunction="count" dataDxfId="259" totalsRowDxfId="258"/>
    <tableColumn id="30" xr3:uid="{00000000-0010-0000-0900-00001E000000}" name="29" totalsRowFunction="count" dataDxfId="257" totalsRowDxfId="256"/>
    <tableColumn id="31" xr3:uid="{00000000-0010-0000-0900-00001F000000}" name="30" totalsRowFunction="count" dataDxfId="255" totalsRowDxfId="254"/>
    <tableColumn id="32" xr3:uid="{00000000-0010-0000-0900-000020000000}" name="31" totalsRowFunction="count" dataDxfId="253" totalsRowDxfId="252"/>
    <tableColumn id="33" xr3:uid="{00000000-0010-0000-0900-000021000000}" name="סה&quot;כ ימים" totalsRowFunction="sum" dataDxfId="251" totalsRowDxfId="250">
      <calculatedColumnFormula>COUNTA(אוקטובר[[#This Row],[1]:[31]])</calculatedColumnFormula>
    </tableColumn>
  </tableColumns>
  <tableStyleInfo name="טבלת היעדרויות עובדים" showFirstColumn="1" showLastColumn="1" showRowStripes="1" showColumnStripes="0"/>
  <extLst>
    <ext xmlns:x14="http://schemas.microsoft.com/office/spreadsheetml/2009/9/main" uri="{504A1905-F514-4f6f-8877-14C23A59335A}">
      <x14:table altTextSummary="ציין את שמות העובדים ותאריכי ההיעדרויות. רשום את סוג ההיעדרות בהתאם למפתח בשורה 12: ח = חופשה, מ = מחלה, א = אישי, ושני מצייני מיקום עבור ערכים מותאמים אישית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נובמבר" displayName="נובמבר" ref="B6:AH12" totalsRowCount="1" headerRowDxfId="244" dataDxfId="243" totalsRowDxfId="242">
  <tableColumns count="33">
    <tableColumn id="1" xr3:uid="{00000000-0010-0000-0A00-000001000000}" name="שם העובד" totalsRowFunction="custom" dataDxfId="241" totalsRowDxfId="134" dataCellStyle="עובד">
      <totalsRowFormula>"סך הכל "&amp;MonthName</totalsRowFormula>
    </tableColumn>
    <tableColumn id="2" xr3:uid="{00000000-0010-0000-0A00-000002000000}" name="1" totalsRowFunction="count" dataDxfId="240" totalsRowDxfId="133"/>
    <tableColumn id="3" xr3:uid="{00000000-0010-0000-0A00-000003000000}" name="2" totalsRowFunction="count" dataDxfId="239" totalsRowDxfId="132"/>
    <tableColumn id="4" xr3:uid="{00000000-0010-0000-0A00-000004000000}" name="3" totalsRowFunction="count" dataDxfId="238" totalsRowDxfId="131"/>
    <tableColumn id="5" xr3:uid="{00000000-0010-0000-0A00-000005000000}" name="4" totalsRowFunction="count" dataDxfId="237" totalsRowDxfId="130"/>
    <tableColumn id="6" xr3:uid="{00000000-0010-0000-0A00-000006000000}" name="5" totalsRowFunction="count" dataDxfId="236" totalsRowDxfId="129"/>
    <tableColumn id="7" xr3:uid="{00000000-0010-0000-0A00-000007000000}" name="6" totalsRowFunction="count" dataDxfId="235" totalsRowDxfId="128"/>
    <tableColumn id="8" xr3:uid="{00000000-0010-0000-0A00-000008000000}" name="7" totalsRowFunction="count" dataDxfId="234" totalsRowDxfId="127"/>
    <tableColumn id="9" xr3:uid="{00000000-0010-0000-0A00-000009000000}" name="8" totalsRowFunction="count" dataDxfId="233" totalsRowDxfId="126"/>
    <tableColumn id="10" xr3:uid="{00000000-0010-0000-0A00-00000A000000}" name="9" totalsRowFunction="count" dataDxfId="232" totalsRowDxfId="125"/>
    <tableColumn id="11" xr3:uid="{00000000-0010-0000-0A00-00000B000000}" name="10" totalsRowFunction="count" dataDxfId="231" totalsRowDxfId="124"/>
    <tableColumn id="12" xr3:uid="{00000000-0010-0000-0A00-00000C000000}" name="11" totalsRowFunction="count" dataDxfId="230" totalsRowDxfId="123"/>
    <tableColumn id="13" xr3:uid="{00000000-0010-0000-0A00-00000D000000}" name="12" totalsRowFunction="count" dataDxfId="229" totalsRowDxfId="122"/>
    <tableColumn id="14" xr3:uid="{00000000-0010-0000-0A00-00000E000000}" name="13" totalsRowFunction="count" dataDxfId="228" totalsRowDxfId="121"/>
    <tableColumn id="15" xr3:uid="{00000000-0010-0000-0A00-00000F000000}" name="14" totalsRowFunction="count" dataDxfId="227" totalsRowDxfId="120"/>
    <tableColumn id="16" xr3:uid="{00000000-0010-0000-0A00-000010000000}" name="15" totalsRowFunction="count" dataDxfId="226" totalsRowDxfId="119"/>
    <tableColumn id="17" xr3:uid="{00000000-0010-0000-0A00-000011000000}" name="16" totalsRowFunction="count" dataDxfId="225" totalsRowDxfId="118"/>
    <tableColumn id="18" xr3:uid="{00000000-0010-0000-0A00-000012000000}" name="17" totalsRowFunction="count" dataDxfId="224" totalsRowDxfId="117"/>
    <tableColumn id="19" xr3:uid="{00000000-0010-0000-0A00-000013000000}" name="18" totalsRowFunction="count" dataDxfId="223" totalsRowDxfId="116"/>
    <tableColumn id="20" xr3:uid="{00000000-0010-0000-0A00-000014000000}" name="19" totalsRowFunction="count" dataDxfId="222" totalsRowDxfId="115"/>
    <tableColumn id="21" xr3:uid="{00000000-0010-0000-0A00-000015000000}" name="20" totalsRowFunction="count" dataDxfId="221" totalsRowDxfId="114"/>
    <tableColumn id="22" xr3:uid="{00000000-0010-0000-0A00-000016000000}" name="21" totalsRowFunction="count" dataDxfId="220" totalsRowDxfId="113"/>
    <tableColumn id="23" xr3:uid="{00000000-0010-0000-0A00-000017000000}" name="22" totalsRowFunction="count" dataDxfId="219" totalsRowDxfId="112"/>
    <tableColumn id="24" xr3:uid="{00000000-0010-0000-0A00-000018000000}" name="23" totalsRowFunction="count" dataDxfId="218" totalsRowDxfId="111"/>
    <tableColumn id="25" xr3:uid="{00000000-0010-0000-0A00-000019000000}" name="24" totalsRowFunction="count" dataDxfId="217" totalsRowDxfId="110"/>
    <tableColumn id="26" xr3:uid="{00000000-0010-0000-0A00-00001A000000}" name="25" totalsRowFunction="count" dataDxfId="216" totalsRowDxfId="109"/>
    <tableColumn id="27" xr3:uid="{00000000-0010-0000-0A00-00001B000000}" name="26" totalsRowFunction="count" dataDxfId="215" totalsRowDxfId="108"/>
    <tableColumn id="28" xr3:uid="{00000000-0010-0000-0A00-00001C000000}" name="27" totalsRowFunction="count" dataDxfId="214" totalsRowDxfId="107"/>
    <tableColumn id="29" xr3:uid="{00000000-0010-0000-0A00-00001D000000}" name="28" totalsRowFunction="count" dataDxfId="213" totalsRowDxfId="106"/>
    <tableColumn id="30" xr3:uid="{00000000-0010-0000-0A00-00001E000000}" name="29" totalsRowFunction="count" dataDxfId="212" totalsRowDxfId="105"/>
    <tableColumn id="31" xr3:uid="{00000000-0010-0000-0A00-00001F000000}" name="30" totalsRowFunction="count" dataDxfId="211" totalsRowDxfId="104"/>
    <tableColumn id="32" xr3:uid="{00000000-0010-0000-0A00-000020000000}" name=" " totalsRowFunction="count" dataDxfId="210" totalsRowDxfId="103"/>
    <tableColumn id="33" xr3:uid="{00000000-0010-0000-0A00-000021000000}" name="סה&quot;כ ימים" totalsRowFunction="sum" dataDxfId="209" totalsRowDxfId="102">
      <calculatedColumnFormula>COUNTA(נובמבר[[#This Row],[1]:[30]])</calculatedColumnFormula>
    </tableColumn>
  </tableColumns>
  <tableStyleInfo name="טבלת היעדרויות עובדים" showFirstColumn="1" showLastColumn="1" showRowStripes="1" showColumnStripes="0"/>
  <extLst>
    <ext xmlns:x14="http://schemas.microsoft.com/office/spreadsheetml/2009/9/main" uri="{504A1905-F514-4f6f-8877-14C23A59335A}">
      <x14:table altTextSummary="ציין את שמות העובדים ותאריכי ההיעדרויות. רשום את סוג ההיעדרות בהתאם למפתח בשורה 12: ח = חופשה, מ = מחלה, א = אישי, ושני מצייני מיקום עבור ערכים מותאמים אישית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דצמבר" displayName="דצמבר" ref="B6:AH12" totalsRowCount="1" headerRowDxfId="203" dataDxfId="202" totalsRowDxfId="201">
  <tableColumns count="33">
    <tableColumn id="1" xr3:uid="{00000000-0010-0000-0B00-000001000000}" name="שם העובד" totalsRowFunction="custom" dataDxfId="200" totalsRowDxfId="167" dataCellStyle="עובד">
      <totalsRowFormula>"סך הכל "&amp;MonthName</totalsRowFormula>
    </tableColumn>
    <tableColumn id="2" xr3:uid="{00000000-0010-0000-0B00-000002000000}" name="1" totalsRowFunction="count" dataDxfId="199" totalsRowDxfId="166"/>
    <tableColumn id="3" xr3:uid="{00000000-0010-0000-0B00-000003000000}" name="2" totalsRowFunction="count" dataDxfId="198" totalsRowDxfId="165"/>
    <tableColumn id="4" xr3:uid="{00000000-0010-0000-0B00-000004000000}" name="3" totalsRowFunction="count" dataDxfId="197" totalsRowDxfId="164"/>
    <tableColumn id="5" xr3:uid="{00000000-0010-0000-0B00-000005000000}" name="4" totalsRowFunction="count" dataDxfId="196" totalsRowDxfId="163"/>
    <tableColumn id="6" xr3:uid="{00000000-0010-0000-0B00-000006000000}" name="5" totalsRowFunction="count" dataDxfId="195" totalsRowDxfId="162"/>
    <tableColumn id="7" xr3:uid="{00000000-0010-0000-0B00-000007000000}" name="6" totalsRowFunction="count" dataDxfId="194" totalsRowDxfId="161"/>
    <tableColumn id="8" xr3:uid="{00000000-0010-0000-0B00-000008000000}" name="7" totalsRowFunction="count" dataDxfId="193" totalsRowDxfId="160"/>
    <tableColumn id="9" xr3:uid="{00000000-0010-0000-0B00-000009000000}" name="8" totalsRowFunction="count" dataDxfId="192" totalsRowDxfId="159"/>
    <tableColumn id="10" xr3:uid="{00000000-0010-0000-0B00-00000A000000}" name="9" totalsRowFunction="count" dataDxfId="191" totalsRowDxfId="158"/>
    <tableColumn id="11" xr3:uid="{00000000-0010-0000-0B00-00000B000000}" name="10" totalsRowFunction="count" dataDxfId="190" totalsRowDxfId="157"/>
    <tableColumn id="12" xr3:uid="{00000000-0010-0000-0B00-00000C000000}" name="11" totalsRowFunction="count" dataDxfId="189" totalsRowDxfId="156"/>
    <tableColumn id="13" xr3:uid="{00000000-0010-0000-0B00-00000D000000}" name="12" totalsRowFunction="count" dataDxfId="188" totalsRowDxfId="155"/>
    <tableColumn id="14" xr3:uid="{00000000-0010-0000-0B00-00000E000000}" name="13" totalsRowFunction="count" dataDxfId="187" totalsRowDxfId="154"/>
    <tableColumn id="15" xr3:uid="{00000000-0010-0000-0B00-00000F000000}" name="14" totalsRowFunction="count" dataDxfId="186" totalsRowDxfId="153"/>
    <tableColumn id="16" xr3:uid="{00000000-0010-0000-0B00-000010000000}" name="15" totalsRowFunction="count" dataDxfId="185" totalsRowDxfId="152"/>
    <tableColumn id="17" xr3:uid="{00000000-0010-0000-0B00-000011000000}" name="16" totalsRowFunction="count" dataDxfId="184" totalsRowDxfId="151"/>
    <tableColumn id="18" xr3:uid="{00000000-0010-0000-0B00-000012000000}" name="17" totalsRowFunction="count" dataDxfId="183" totalsRowDxfId="150"/>
    <tableColumn id="19" xr3:uid="{00000000-0010-0000-0B00-000013000000}" name="18" totalsRowFunction="count" dataDxfId="182" totalsRowDxfId="149"/>
    <tableColumn id="20" xr3:uid="{00000000-0010-0000-0B00-000014000000}" name="19" totalsRowFunction="count" dataDxfId="181" totalsRowDxfId="148"/>
    <tableColumn id="21" xr3:uid="{00000000-0010-0000-0B00-000015000000}" name="20" totalsRowFunction="count" dataDxfId="180" totalsRowDxfId="147"/>
    <tableColumn id="22" xr3:uid="{00000000-0010-0000-0B00-000016000000}" name="21" totalsRowFunction="count" dataDxfId="179" totalsRowDxfId="146"/>
    <tableColumn id="23" xr3:uid="{00000000-0010-0000-0B00-000017000000}" name="22" totalsRowFunction="count" dataDxfId="178" totalsRowDxfId="145"/>
    <tableColumn id="24" xr3:uid="{00000000-0010-0000-0B00-000018000000}" name="23" totalsRowFunction="count" dataDxfId="177" totalsRowDxfId="144"/>
    <tableColumn id="25" xr3:uid="{00000000-0010-0000-0B00-000019000000}" name="24" totalsRowFunction="count" dataDxfId="176" totalsRowDxfId="143"/>
    <tableColumn id="26" xr3:uid="{00000000-0010-0000-0B00-00001A000000}" name="25" totalsRowFunction="count" dataDxfId="175" totalsRowDxfId="142"/>
    <tableColumn id="27" xr3:uid="{00000000-0010-0000-0B00-00001B000000}" name="26" totalsRowFunction="count" dataDxfId="174" totalsRowDxfId="141"/>
    <tableColumn id="28" xr3:uid="{00000000-0010-0000-0B00-00001C000000}" name="27" totalsRowFunction="count" dataDxfId="173" totalsRowDxfId="140"/>
    <tableColumn id="29" xr3:uid="{00000000-0010-0000-0B00-00001D000000}" name="28" totalsRowFunction="count" dataDxfId="172" totalsRowDxfId="139"/>
    <tableColumn id="30" xr3:uid="{00000000-0010-0000-0B00-00001E000000}" name="29" totalsRowFunction="count" dataDxfId="171" totalsRowDxfId="138"/>
    <tableColumn id="31" xr3:uid="{00000000-0010-0000-0B00-00001F000000}" name="30" totalsRowFunction="count" dataDxfId="170" totalsRowDxfId="137"/>
    <tableColumn id="32" xr3:uid="{00000000-0010-0000-0B00-000020000000}" name="31" totalsRowFunction="count" dataDxfId="169" totalsRowDxfId="136"/>
    <tableColumn id="33" xr3:uid="{00000000-0010-0000-0B00-000021000000}" name="סה&quot;כ ימים" totalsRowFunction="sum" dataDxfId="168" totalsRowDxfId="135">
      <calculatedColumnFormula>COUNTA(דצמבר[[#This Row],[1]:[31]])</calculatedColumnFormula>
    </tableColumn>
  </tableColumns>
  <tableStyleInfo name="טבלת היעדרויות עובדים" showFirstColumn="1" showLastColumn="1" showRowStripes="1" showColumnStripes="0"/>
  <extLst>
    <ext xmlns:x14="http://schemas.microsoft.com/office/spreadsheetml/2009/9/main" uri="{504A1905-F514-4f6f-8877-14C23A59335A}">
      <x14:table altTextSummary="מספק רשימה של שמות ותאריכי לוח שנה כדי לתעד את ההיעדרויות ואת סוג ההיעדרות הספציפי, כגון ח = חופשה, מ = מחלה, א = אישי ושני מצייני מיקום עבור ערכים מותאמים אישית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שמות_העובדים" displayName="שמות_העובדים" ref="B3:B8" totalsRowShown="0" headerRowDxfId="2" dataDxfId="1">
  <autoFilter ref="B3:B8" xr:uid="{00000000-0009-0000-0100-00000D000000}"/>
  <tableColumns count="1">
    <tableColumn id="1" xr3:uid="{00000000-0010-0000-0C00-000001000000}" name="שמות העובדים" dataDxfId="0" dataCellStyle="עובד"/>
  </tableColumns>
  <tableStyleInfo name="טבלת היעדרויות עובדים" showFirstColumn="1" showLastColumn="1" showRowStripes="1" showColumnStripes="0"/>
  <extLst>
    <ext xmlns:x14="http://schemas.microsoft.com/office/spreadsheetml/2009/9/main" uri="{504A1905-F514-4f6f-8877-14C23A59335A}">
      <x14:table altTextSummary="הזן את שמות העובדים בטבלה זו. שמות אלה משמשים כאפשרויות בעמודה B בכל לוח זמנים לניהול היעדרויות עבור כל חודש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פברואר" displayName="פברואר" ref="B6:AH12" totalsRowCount="1" headerRowDxfId="811" dataDxfId="810" totalsRowDxfId="809">
  <tableColumns count="33">
    <tableColumn id="1" xr3:uid="{00000000-0010-0000-0100-000001000000}" name="שם העובד" totalsRowFunction="custom" dataDxfId="808" totalsRowDxfId="807" dataCellStyle="עובד">
      <totalsRowFormula>"סך הכל "&amp;MonthName</totalsRowFormula>
    </tableColumn>
    <tableColumn id="2" xr3:uid="{00000000-0010-0000-0100-000002000000}" name="1" totalsRowFunction="count" dataDxfId="806" totalsRowDxfId="805"/>
    <tableColumn id="3" xr3:uid="{00000000-0010-0000-0100-000003000000}" name="2" totalsRowFunction="count" dataDxfId="804" totalsRowDxfId="803"/>
    <tableColumn id="4" xr3:uid="{00000000-0010-0000-0100-000004000000}" name="3" totalsRowFunction="count" dataDxfId="802" totalsRowDxfId="801"/>
    <tableColumn id="5" xr3:uid="{00000000-0010-0000-0100-000005000000}" name="4" totalsRowFunction="count" dataDxfId="800" totalsRowDxfId="799"/>
    <tableColumn id="6" xr3:uid="{00000000-0010-0000-0100-000006000000}" name="5" totalsRowFunction="count" dataDxfId="798" totalsRowDxfId="797"/>
    <tableColumn id="7" xr3:uid="{00000000-0010-0000-0100-000007000000}" name="6" totalsRowFunction="count" dataDxfId="796" totalsRowDxfId="795"/>
    <tableColumn id="8" xr3:uid="{00000000-0010-0000-0100-000008000000}" name="7" totalsRowFunction="count" dataDxfId="794" totalsRowDxfId="793"/>
    <tableColumn id="9" xr3:uid="{00000000-0010-0000-0100-000009000000}" name="8" totalsRowFunction="count" dataDxfId="792" totalsRowDxfId="791"/>
    <tableColumn id="10" xr3:uid="{00000000-0010-0000-0100-00000A000000}" name="9" totalsRowFunction="count" dataDxfId="790" totalsRowDxfId="789"/>
    <tableColumn id="11" xr3:uid="{00000000-0010-0000-0100-00000B000000}" name="10" totalsRowFunction="count" dataDxfId="788" totalsRowDxfId="787"/>
    <tableColumn id="12" xr3:uid="{00000000-0010-0000-0100-00000C000000}" name="11" totalsRowFunction="count" dataDxfId="786" totalsRowDxfId="785"/>
    <tableColumn id="13" xr3:uid="{00000000-0010-0000-0100-00000D000000}" name="12" totalsRowFunction="count" dataDxfId="784" totalsRowDxfId="783"/>
    <tableColumn id="14" xr3:uid="{00000000-0010-0000-0100-00000E000000}" name="13" totalsRowFunction="count" dataDxfId="782" totalsRowDxfId="781"/>
    <tableColumn id="15" xr3:uid="{00000000-0010-0000-0100-00000F000000}" name="14" totalsRowFunction="count" dataDxfId="780" totalsRowDxfId="779"/>
    <tableColumn id="16" xr3:uid="{00000000-0010-0000-0100-000010000000}" name="15" totalsRowFunction="count" dataDxfId="778" totalsRowDxfId="777"/>
    <tableColumn id="17" xr3:uid="{00000000-0010-0000-0100-000011000000}" name="16" totalsRowFunction="count" dataDxfId="776" totalsRowDxfId="775"/>
    <tableColumn id="18" xr3:uid="{00000000-0010-0000-0100-000012000000}" name="17" totalsRowFunction="count" dataDxfId="774" totalsRowDxfId="773"/>
    <tableColumn id="19" xr3:uid="{00000000-0010-0000-0100-000013000000}" name="18" totalsRowFunction="count" dataDxfId="772" totalsRowDxfId="771"/>
    <tableColumn id="20" xr3:uid="{00000000-0010-0000-0100-000014000000}" name="19" totalsRowFunction="count" dataDxfId="770" totalsRowDxfId="769"/>
    <tableColumn id="21" xr3:uid="{00000000-0010-0000-0100-000015000000}" name="20" totalsRowFunction="count" dataDxfId="768" totalsRowDxfId="767"/>
    <tableColumn id="22" xr3:uid="{00000000-0010-0000-0100-000016000000}" name="21" totalsRowFunction="count" dataDxfId="766" totalsRowDxfId="765"/>
    <tableColumn id="23" xr3:uid="{00000000-0010-0000-0100-000017000000}" name="22" totalsRowFunction="count" dataDxfId="764" totalsRowDxfId="763"/>
    <tableColumn id="24" xr3:uid="{00000000-0010-0000-0100-000018000000}" name="23" totalsRowFunction="count" dataDxfId="762" totalsRowDxfId="761"/>
    <tableColumn id="25" xr3:uid="{00000000-0010-0000-0100-000019000000}" name="24" totalsRowFunction="count" dataDxfId="760" totalsRowDxfId="759"/>
    <tableColumn id="26" xr3:uid="{00000000-0010-0000-0100-00001A000000}" name="25" totalsRowFunction="count" dataDxfId="758" totalsRowDxfId="757"/>
    <tableColumn id="27" xr3:uid="{00000000-0010-0000-0100-00001B000000}" name="26" totalsRowFunction="count" dataDxfId="756" totalsRowDxfId="755"/>
    <tableColumn id="28" xr3:uid="{00000000-0010-0000-0100-00001C000000}" name="27" totalsRowFunction="count" dataDxfId="754" totalsRowDxfId="753"/>
    <tableColumn id="29" xr3:uid="{00000000-0010-0000-0100-00001D000000}" name="28" totalsRowFunction="count" dataDxfId="752" totalsRowDxfId="751"/>
    <tableColumn id="30" xr3:uid="{00000000-0010-0000-0100-00001E000000}" name="29" totalsRowFunction="count" dataDxfId="750" totalsRowDxfId="749"/>
    <tableColumn id="31" xr3:uid="{00000000-0010-0000-0100-00001F000000}" name=" " dataDxfId="748" totalsRowDxfId="747"/>
    <tableColumn id="32" xr3:uid="{00000000-0010-0000-0100-000020000000}" name="  " dataDxfId="746" totalsRowDxfId="745"/>
    <tableColumn id="33" xr3:uid="{00000000-0010-0000-0100-000021000000}" name="סה&quot;כ ימים" totalsRowFunction="sum" dataDxfId="744" totalsRowDxfId="743">
      <calculatedColumnFormula>COUNTA(פברואר[[#This Row],[1]:[29]])</calculatedColumnFormula>
    </tableColumn>
  </tableColumns>
  <tableStyleInfo name="טבלת היעדרויות עובדים" showFirstColumn="1" showLastColumn="1" showRowStripes="1" showColumnStripes="0"/>
  <extLst>
    <ext xmlns:x14="http://schemas.microsoft.com/office/spreadsheetml/2009/9/main" uri="{504A1905-F514-4f6f-8877-14C23A59335A}">
      <x14:table altTextSummary="ציין את שמות העובדים ותאריכי ההיעדרויות. רשום את סוג ההיעדרות בהתאם למפתח בשורה 12: ח = חופשה, מ = מחלה, א = אישי, ושני מצייני מיקום עבור ערכים מותאמים אישית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מרץ" displayName="מרץ" ref="B6:AH12" totalsRowCount="1" headerRowDxfId="737" dataDxfId="736" totalsRowDxfId="735">
  <tableColumns count="33">
    <tableColumn id="1" xr3:uid="{00000000-0010-0000-0200-000001000000}" name="שם העובד" totalsRowFunction="custom" dataDxfId="734" totalsRowDxfId="733" dataCellStyle="עובד">
      <totalsRowFormula>"סך הכל "&amp;MonthName</totalsRowFormula>
    </tableColumn>
    <tableColumn id="2" xr3:uid="{00000000-0010-0000-0200-000002000000}" name="1" totalsRowFunction="count" dataDxfId="732" totalsRowDxfId="731"/>
    <tableColumn id="3" xr3:uid="{00000000-0010-0000-0200-000003000000}" name="2" totalsRowFunction="count" dataDxfId="730" totalsRowDxfId="729"/>
    <tableColumn id="4" xr3:uid="{00000000-0010-0000-0200-000004000000}" name="3" totalsRowFunction="count" dataDxfId="728" totalsRowDxfId="727"/>
    <tableColumn id="5" xr3:uid="{00000000-0010-0000-0200-000005000000}" name="4" totalsRowFunction="count" dataDxfId="726" totalsRowDxfId="725"/>
    <tableColumn id="6" xr3:uid="{00000000-0010-0000-0200-000006000000}" name="5" totalsRowFunction="count" dataDxfId="724" totalsRowDxfId="723"/>
    <tableColumn id="7" xr3:uid="{00000000-0010-0000-0200-000007000000}" name="6" totalsRowFunction="count" dataDxfId="722" totalsRowDxfId="721"/>
    <tableColumn id="8" xr3:uid="{00000000-0010-0000-0200-000008000000}" name="7" totalsRowFunction="count" dataDxfId="720" totalsRowDxfId="719"/>
    <tableColumn id="9" xr3:uid="{00000000-0010-0000-0200-000009000000}" name="8" totalsRowFunction="count" dataDxfId="718" totalsRowDxfId="717"/>
    <tableColumn id="10" xr3:uid="{00000000-0010-0000-0200-00000A000000}" name="9" totalsRowFunction="count" dataDxfId="716" totalsRowDxfId="715"/>
    <tableColumn id="11" xr3:uid="{00000000-0010-0000-0200-00000B000000}" name="10" totalsRowFunction="count" dataDxfId="714" totalsRowDxfId="713"/>
    <tableColumn id="12" xr3:uid="{00000000-0010-0000-0200-00000C000000}" name="11" totalsRowFunction="count" dataDxfId="712" totalsRowDxfId="711"/>
    <tableColumn id="13" xr3:uid="{00000000-0010-0000-0200-00000D000000}" name="12" totalsRowFunction="count" dataDxfId="710" totalsRowDxfId="709"/>
    <tableColumn id="14" xr3:uid="{00000000-0010-0000-0200-00000E000000}" name="13" totalsRowFunction="count" dataDxfId="708" totalsRowDxfId="707"/>
    <tableColumn id="15" xr3:uid="{00000000-0010-0000-0200-00000F000000}" name="14" totalsRowFunction="count" dataDxfId="706" totalsRowDxfId="705"/>
    <tableColumn id="16" xr3:uid="{00000000-0010-0000-0200-000010000000}" name="15" totalsRowFunction="count" dataDxfId="704" totalsRowDxfId="703"/>
    <tableColumn id="17" xr3:uid="{00000000-0010-0000-0200-000011000000}" name="16" totalsRowFunction="count" dataDxfId="702" totalsRowDxfId="701"/>
    <tableColumn id="18" xr3:uid="{00000000-0010-0000-0200-000012000000}" name="17" totalsRowFunction="count" dataDxfId="700" totalsRowDxfId="699"/>
    <tableColumn id="19" xr3:uid="{00000000-0010-0000-0200-000013000000}" name="18" totalsRowFunction="count" dataDxfId="698" totalsRowDxfId="697"/>
    <tableColumn id="20" xr3:uid="{00000000-0010-0000-0200-000014000000}" name="19" totalsRowFunction="count" dataDxfId="696" totalsRowDxfId="695"/>
    <tableColumn id="21" xr3:uid="{00000000-0010-0000-0200-000015000000}" name="20" totalsRowFunction="count" dataDxfId="694" totalsRowDxfId="693"/>
    <tableColumn id="22" xr3:uid="{00000000-0010-0000-0200-000016000000}" name="21" totalsRowFunction="count" dataDxfId="692" totalsRowDxfId="691"/>
    <tableColumn id="23" xr3:uid="{00000000-0010-0000-0200-000017000000}" name="22" totalsRowFunction="count" dataDxfId="690" totalsRowDxfId="689"/>
    <tableColumn id="24" xr3:uid="{00000000-0010-0000-0200-000018000000}" name="23" totalsRowFunction="count" dataDxfId="688" totalsRowDxfId="687"/>
    <tableColumn id="25" xr3:uid="{00000000-0010-0000-0200-000019000000}" name="24" totalsRowFunction="count" dataDxfId="686" totalsRowDxfId="685"/>
    <tableColumn id="26" xr3:uid="{00000000-0010-0000-0200-00001A000000}" name="25" totalsRowFunction="count" dataDxfId="684" totalsRowDxfId="683"/>
    <tableColumn id="27" xr3:uid="{00000000-0010-0000-0200-00001B000000}" name="26" totalsRowFunction="count" dataDxfId="682" totalsRowDxfId="681"/>
    <tableColumn id="28" xr3:uid="{00000000-0010-0000-0200-00001C000000}" name="27" totalsRowFunction="count" dataDxfId="680" totalsRowDxfId="679"/>
    <tableColumn id="29" xr3:uid="{00000000-0010-0000-0200-00001D000000}" name="28" totalsRowFunction="count" dataDxfId="678" totalsRowDxfId="677"/>
    <tableColumn id="30" xr3:uid="{00000000-0010-0000-0200-00001E000000}" name="29" totalsRowFunction="count" dataDxfId="676" totalsRowDxfId="675"/>
    <tableColumn id="31" xr3:uid="{00000000-0010-0000-0200-00001F000000}" name="30" totalsRowFunction="count" dataDxfId="674" totalsRowDxfId="673"/>
    <tableColumn id="32" xr3:uid="{00000000-0010-0000-0200-000020000000}" name="31" totalsRowFunction="count" dataDxfId="672" totalsRowDxfId="671"/>
    <tableColumn id="33" xr3:uid="{00000000-0010-0000-0200-000021000000}" name="סה&quot;כ ימים" totalsRowFunction="sum" dataDxfId="670" totalsRowDxfId="669">
      <calculatedColumnFormula>COUNTA(מרץ[[#This Row],[1]:[31]])</calculatedColumnFormula>
    </tableColumn>
  </tableColumns>
  <tableStyleInfo name="טבלת היעדרויות עובדים" showFirstColumn="1" showLastColumn="1" showRowStripes="1" showColumnStripes="0"/>
  <extLst>
    <ext xmlns:x14="http://schemas.microsoft.com/office/spreadsheetml/2009/9/main" uri="{504A1905-F514-4f6f-8877-14C23A59335A}">
      <x14:table altTextSummary="ציין את שמות העובדים ותאריכי ההיעדרויות. רשום את סוג ההיעדרות בהתאם למפתח בשורה 12: ח = חופשה, מ = מחלה, א = אישי, ושני מצייני מיקום עבור ערכים מותאמים אישית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3000000}" name="אפריל" displayName="אפריל" ref="B6:AH12" totalsRowCount="1" headerRowDxfId="663" dataDxfId="662" totalsRowDxfId="661">
  <tableColumns count="33">
    <tableColumn id="1" xr3:uid="{00000000-0010-0000-0300-000001000000}" name="שם העובד" totalsRowFunction="custom" dataDxfId="660" totalsRowDxfId="35" dataCellStyle="עובד">
      <totalsRowFormula>"סך הכל "&amp;MonthName</totalsRowFormula>
    </tableColumn>
    <tableColumn id="2" xr3:uid="{00000000-0010-0000-0300-000002000000}" name="1" totalsRowFunction="count" dataDxfId="659" totalsRowDxfId="34"/>
    <tableColumn id="3" xr3:uid="{00000000-0010-0000-0300-000003000000}" name="2" totalsRowFunction="count" dataDxfId="658" totalsRowDxfId="33"/>
    <tableColumn id="4" xr3:uid="{00000000-0010-0000-0300-000004000000}" name="3" totalsRowFunction="count" dataDxfId="657" totalsRowDxfId="32"/>
    <tableColumn id="5" xr3:uid="{00000000-0010-0000-0300-000005000000}" name="4" totalsRowFunction="count" dataDxfId="656" totalsRowDxfId="31"/>
    <tableColumn id="6" xr3:uid="{00000000-0010-0000-0300-000006000000}" name="5" totalsRowFunction="count" dataDxfId="655" totalsRowDxfId="30"/>
    <tableColumn id="7" xr3:uid="{00000000-0010-0000-0300-000007000000}" name="6" totalsRowFunction="count" dataDxfId="654" totalsRowDxfId="29"/>
    <tableColumn id="8" xr3:uid="{00000000-0010-0000-0300-000008000000}" name="7" totalsRowFunction="count" dataDxfId="653" totalsRowDxfId="28"/>
    <tableColumn id="9" xr3:uid="{00000000-0010-0000-0300-000009000000}" name="8" totalsRowFunction="count" dataDxfId="652" totalsRowDxfId="27"/>
    <tableColumn id="10" xr3:uid="{00000000-0010-0000-0300-00000A000000}" name="9" totalsRowFunction="count" dataDxfId="651" totalsRowDxfId="26"/>
    <tableColumn id="11" xr3:uid="{00000000-0010-0000-0300-00000B000000}" name="10" totalsRowFunction="count" dataDxfId="650" totalsRowDxfId="25"/>
    <tableColumn id="12" xr3:uid="{00000000-0010-0000-0300-00000C000000}" name="11" totalsRowFunction="count" dataDxfId="649" totalsRowDxfId="24"/>
    <tableColumn id="13" xr3:uid="{00000000-0010-0000-0300-00000D000000}" name="12" totalsRowFunction="count" dataDxfId="648" totalsRowDxfId="23"/>
    <tableColumn id="14" xr3:uid="{00000000-0010-0000-0300-00000E000000}" name="13" totalsRowFunction="count" dataDxfId="647" totalsRowDxfId="22"/>
    <tableColumn id="15" xr3:uid="{00000000-0010-0000-0300-00000F000000}" name="14" totalsRowFunction="count" dataDxfId="646" totalsRowDxfId="21"/>
    <tableColumn id="16" xr3:uid="{00000000-0010-0000-0300-000010000000}" name="15" totalsRowFunction="count" dataDxfId="645" totalsRowDxfId="20"/>
    <tableColumn id="17" xr3:uid="{00000000-0010-0000-0300-000011000000}" name="16" totalsRowFunction="count" dataDxfId="644" totalsRowDxfId="19"/>
    <tableColumn id="18" xr3:uid="{00000000-0010-0000-0300-000012000000}" name="17" totalsRowFunction="count" dataDxfId="643" totalsRowDxfId="18"/>
    <tableColumn id="19" xr3:uid="{00000000-0010-0000-0300-000013000000}" name="18" totalsRowFunction="count" dataDxfId="642" totalsRowDxfId="17"/>
    <tableColumn id="20" xr3:uid="{00000000-0010-0000-0300-000014000000}" name="19" totalsRowFunction="count" dataDxfId="641" totalsRowDxfId="16"/>
    <tableColumn id="21" xr3:uid="{00000000-0010-0000-0300-000015000000}" name="20" totalsRowFunction="count" dataDxfId="640" totalsRowDxfId="15"/>
    <tableColumn id="22" xr3:uid="{00000000-0010-0000-0300-000016000000}" name="21" totalsRowFunction="count" dataDxfId="639" totalsRowDxfId="14"/>
    <tableColumn id="23" xr3:uid="{00000000-0010-0000-0300-000017000000}" name="22" totalsRowFunction="count" dataDxfId="638" totalsRowDxfId="13"/>
    <tableColumn id="24" xr3:uid="{00000000-0010-0000-0300-000018000000}" name="23" totalsRowFunction="count" dataDxfId="637" totalsRowDxfId="12"/>
    <tableColumn id="25" xr3:uid="{00000000-0010-0000-0300-000019000000}" name="24" totalsRowFunction="count" dataDxfId="636" totalsRowDxfId="11"/>
    <tableColumn id="26" xr3:uid="{00000000-0010-0000-0300-00001A000000}" name="25" totalsRowFunction="count" dataDxfId="635" totalsRowDxfId="10"/>
    <tableColumn id="27" xr3:uid="{00000000-0010-0000-0300-00001B000000}" name="26" totalsRowFunction="count" dataDxfId="634" totalsRowDxfId="9"/>
    <tableColumn id="28" xr3:uid="{00000000-0010-0000-0300-00001C000000}" name="27" totalsRowFunction="count" dataDxfId="633" totalsRowDxfId="8"/>
    <tableColumn id="29" xr3:uid="{00000000-0010-0000-0300-00001D000000}" name="28" totalsRowFunction="count" dataDxfId="632" totalsRowDxfId="7"/>
    <tableColumn id="30" xr3:uid="{00000000-0010-0000-0300-00001E000000}" name="29" totalsRowFunction="count" dataDxfId="631" totalsRowDxfId="6"/>
    <tableColumn id="31" xr3:uid="{00000000-0010-0000-0300-00001F000000}" name="30" totalsRowFunction="count" dataDxfId="630" totalsRowDxfId="5"/>
    <tableColumn id="32" xr3:uid="{00000000-0010-0000-0300-000020000000}" name=" " totalsRowFunction="custom" dataDxfId="629" totalsRowDxfId="4">
      <totalsRowFormula>SUBTOTAL(103,אפריל[30])</totalsRowFormula>
    </tableColumn>
    <tableColumn id="33" xr3:uid="{00000000-0010-0000-0300-000021000000}" name="סה&quot;כ ימים" totalsRowFunction="sum" dataDxfId="628" totalsRowDxfId="3">
      <calculatedColumnFormula>COUNTA(אפריל[[#This Row],[1]:[30]])</calculatedColumnFormula>
    </tableColumn>
  </tableColumns>
  <tableStyleInfo name="טבלת היעדרויות עובדים" showFirstColumn="1" showLastColumn="1" showRowStripes="1" showColumnStripes="0"/>
  <extLst>
    <ext xmlns:x14="http://schemas.microsoft.com/office/spreadsheetml/2009/9/main" uri="{504A1905-F514-4f6f-8877-14C23A59335A}">
      <x14:table altTextSummary="ציין את שמות העובדים ותאריכי ההיעדרויות. רשום את סוג ההיעדרות בהתאם למפתח בשורה 12: ח = חופשה, מ = מחלה, א = אישי, ושני מצייני מיקום עבור ערכים מותאמים אישית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4000000}" name="מאי" displayName="מאי" ref="B6:AH12" totalsRowCount="1" headerRowDxfId="622" dataDxfId="621" totalsRowDxfId="620">
  <tableColumns count="33">
    <tableColumn id="1" xr3:uid="{00000000-0010-0000-0400-000001000000}" name="שם העובד" totalsRowFunction="custom" dataDxfId="619" totalsRowDxfId="618" dataCellStyle="עובד">
      <totalsRowFormula>"סך הכל "&amp;MonthName</totalsRowFormula>
    </tableColumn>
    <tableColumn id="2" xr3:uid="{00000000-0010-0000-0400-000002000000}" name="1" totalsRowFunction="count" dataDxfId="617" totalsRowDxfId="616"/>
    <tableColumn id="3" xr3:uid="{00000000-0010-0000-0400-000003000000}" name="2" totalsRowFunction="count" dataDxfId="615" totalsRowDxfId="614"/>
    <tableColumn id="4" xr3:uid="{00000000-0010-0000-0400-000004000000}" name="3" totalsRowFunction="count" dataDxfId="613" totalsRowDxfId="612"/>
    <tableColumn id="5" xr3:uid="{00000000-0010-0000-0400-000005000000}" name="4" totalsRowFunction="count" dataDxfId="611" totalsRowDxfId="610"/>
    <tableColumn id="6" xr3:uid="{00000000-0010-0000-0400-000006000000}" name="5" totalsRowFunction="count" dataDxfId="609" totalsRowDxfId="608"/>
    <tableColumn id="7" xr3:uid="{00000000-0010-0000-0400-000007000000}" name="6" totalsRowFunction="count" dataDxfId="607" totalsRowDxfId="606"/>
    <tableColumn id="8" xr3:uid="{00000000-0010-0000-0400-000008000000}" name="7" totalsRowFunction="count" dataDxfId="605" totalsRowDxfId="604"/>
    <tableColumn id="9" xr3:uid="{00000000-0010-0000-0400-000009000000}" name="8" totalsRowFunction="count" dataDxfId="603" totalsRowDxfId="602"/>
    <tableColumn id="10" xr3:uid="{00000000-0010-0000-0400-00000A000000}" name="9" totalsRowFunction="count" dataDxfId="601" totalsRowDxfId="600"/>
    <tableColumn id="11" xr3:uid="{00000000-0010-0000-0400-00000B000000}" name="10" totalsRowFunction="count" dataDxfId="599" totalsRowDxfId="598"/>
    <tableColumn id="12" xr3:uid="{00000000-0010-0000-0400-00000C000000}" name="11" totalsRowFunction="count" dataDxfId="597" totalsRowDxfId="596"/>
    <tableColumn id="13" xr3:uid="{00000000-0010-0000-0400-00000D000000}" name="12" totalsRowFunction="count" dataDxfId="595" totalsRowDxfId="594"/>
    <tableColumn id="14" xr3:uid="{00000000-0010-0000-0400-00000E000000}" name="13" totalsRowFunction="count" dataDxfId="593" totalsRowDxfId="592"/>
    <tableColumn id="15" xr3:uid="{00000000-0010-0000-0400-00000F000000}" name="14" totalsRowFunction="count" dataDxfId="591" totalsRowDxfId="590"/>
    <tableColumn id="16" xr3:uid="{00000000-0010-0000-0400-000010000000}" name="15" totalsRowFunction="count" dataDxfId="589" totalsRowDxfId="588"/>
    <tableColumn id="17" xr3:uid="{00000000-0010-0000-0400-000011000000}" name="16" totalsRowFunction="count" dataDxfId="587" totalsRowDxfId="586"/>
    <tableColumn id="18" xr3:uid="{00000000-0010-0000-0400-000012000000}" name="17" totalsRowFunction="count" dataDxfId="585" totalsRowDxfId="584"/>
    <tableColumn id="19" xr3:uid="{00000000-0010-0000-0400-000013000000}" name="18" totalsRowFunction="count" dataDxfId="583" totalsRowDxfId="582"/>
    <tableColumn id="20" xr3:uid="{00000000-0010-0000-0400-000014000000}" name="19" totalsRowFunction="count" dataDxfId="581" totalsRowDxfId="580"/>
    <tableColumn id="21" xr3:uid="{00000000-0010-0000-0400-000015000000}" name="20" totalsRowFunction="count" dataDxfId="579" totalsRowDxfId="578"/>
    <tableColumn id="22" xr3:uid="{00000000-0010-0000-0400-000016000000}" name="21" totalsRowFunction="count" dataDxfId="577" totalsRowDxfId="576"/>
    <tableColumn id="23" xr3:uid="{00000000-0010-0000-0400-000017000000}" name="22" totalsRowFunction="count" dataDxfId="575" totalsRowDxfId="574"/>
    <tableColumn id="24" xr3:uid="{00000000-0010-0000-0400-000018000000}" name="23" totalsRowFunction="count" dataDxfId="573" totalsRowDxfId="572"/>
    <tableColumn id="25" xr3:uid="{00000000-0010-0000-0400-000019000000}" name="24" totalsRowFunction="count" dataDxfId="571" totalsRowDxfId="570"/>
    <tableColumn id="26" xr3:uid="{00000000-0010-0000-0400-00001A000000}" name="25" totalsRowFunction="count" dataDxfId="569" totalsRowDxfId="568"/>
    <tableColumn id="27" xr3:uid="{00000000-0010-0000-0400-00001B000000}" name="26" totalsRowFunction="count" dataDxfId="567" totalsRowDxfId="566"/>
    <tableColumn id="28" xr3:uid="{00000000-0010-0000-0400-00001C000000}" name="27" totalsRowFunction="count" dataDxfId="565" totalsRowDxfId="564"/>
    <tableColumn id="29" xr3:uid="{00000000-0010-0000-0400-00001D000000}" name="28" totalsRowFunction="count" dataDxfId="563" totalsRowDxfId="562"/>
    <tableColumn id="30" xr3:uid="{00000000-0010-0000-0400-00001E000000}" name="29" totalsRowFunction="count" dataDxfId="561" totalsRowDxfId="560"/>
    <tableColumn id="31" xr3:uid="{00000000-0010-0000-0400-00001F000000}" name="30" totalsRowFunction="count" dataDxfId="559" totalsRowDxfId="558"/>
    <tableColumn id="32" xr3:uid="{00000000-0010-0000-0400-000020000000}" name="31" totalsRowFunction="count" dataDxfId="557" totalsRowDxfId="556"/>
    <tableColumn id="33" xr3:uid="{00000000-0010-0000-0400-000021000000}" name="סה&quot;כ ימים" totalsRowFunction="sum" dataDxfId="555" totalsRowDxfId="554">
      <calculatedColumnFormula>COUNTA(מאי[[#This Row],[1]:[31]])</calculatedColumnFormula>
    </tableColumn>
  </tableColumns>
  <tableStyleInfo name="טבלת היעדרויות עובדים" showFirstColumn="1" showLastColumn="1" showRowStripes="1" showColumnStripes="0"/>
  <extLst>
    <ext xmlns:x14="http://schemas.microsoft.com/office/spreadsheetml/2009/9/main" uri="{504A1905-F514-4f6f-8877-14C23A59335A}">
      <x14:table altTextSummary="ציין את שמות העובדים ותאריכי ההיעדרויות. רשום את סוג ההיעדרות בהתאם למפתח בשורה 12: ח = חופשה, מ = מחלה, א = אישי, ושני מצייני מיקום עבור ערכים מותאמים אישית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5000000}" name="יוני" displayName="יוני" ref="B6:AH12" totalsRowCount="1" headerRowDxfId="548" dataDxfId="547" totalsRowDxfId="546">
  <tableColumns count="33">
    <tableColumn id="1" xr3:uid="{00000000-0010-0000-0500-000001000000}" name="שם העובד" totalsRowFunction="custom" dataDxfId="545" totalsRowDxfId="68" dataCellStyle="עובד">
      <totalsRowFormula>"סך הכל "&amp;MonthName</totalsRowFormula>
    </tableColumn>
    <tableColumn id="2" xr3:uid="{00000000-0010-0000-0500-000002000000}" name="1" totalsRowFunction="count" dataDxfId="544" totalsRowDxfId="67"/>
    <tableColumn id="3" xr3:uid="{00000000-0010-0000-0500-000003000000}" name="2" totalsRowFunction="count" dataDxfId="543" totalsRowDxfId="66"/>
    <tableColumn id="4" xr3:uid="{00000000-0010-0000-0500-000004000000}" name="3" totalsRowFunction="count" dataDxfId="542" totalsRowDxfId="65"/>
    <tableColumn id="5" xr3:uid="{00000000-0010-0000-0500-000005000000}" name="4" totalsRowFunction="count" dataDxfId="541" totalsRowDxfId="64"/>
    <tableColumn id="6" xr3:uid="{00000000-0010-0000-0500-000006000000}" name="5" totalsRowFunction="count" dataDxfId="540" totalsRowDxfId="63"/>
    <tableColumn id="7" xr3:uid="{00000000-0010-0000-0500-000007000000}" name="6" totalsRowFunction="count" dataDxfId="539" totalsRowDxfId="62"/>
    <tableColumn id="8" xr3:uid="{00000000-0010-0000-0500-000008000000}" name="7" totalsRowFunction="count" dataDxfId="538" totalsRowDxfId="61"/>
    <tableColumn id="9" xr3:uid="{00000000-0010-0000-0500-000009000000}" name="8" totalsRowFunction="count" dataDxfId="537" totalsRowDxfId="60"/>
    <tableColumn id="10" xr3:uid="{00000000-0010-0000-0500-00000A000000}" name="9" totalsRowFunction="count" dataDxfId="536" totalsRowDxfId="59"/>
    <tableColumn id="11" xr3:uid="{00000000-0010-0000-0500-00000B000000}" name="10" totalsRowFunction="count" dataDxfId="535" totalsRowDxfId="58"/>
    <tableColumn id="12" xr3:uid="{00000000-0010-0000-0500-00000C000000}" name="11" totalsRowFunction="count" dataDxfId="534" totalsRowDxfId="57"/>
    <tableColumn id="13" xr3:uid="{00000000-0010-0000-0500-00000D000000}" name="12" totalsRowFunction="count" dataDxfId="533" totalsRowDxfId="56"/>
    <tableColumn id="14" xr3:uid="{00000000-0010-0000-0500-00000E000000}" name="13" totalsRowFunction="count" dataDxfId="532" totalsRowDxfId="55"/>
    <tableColumn id="15" xr3:uid="{00000000-0010-0000-0500-00000F000000}" name="14" totalsRowFunction="count" dataDxfId="531" totalsRowDxfId="54"/>
    <tableColumn id="16" xr3:uid="{00000000-0010-0000-0500-000010000000}" name="15" totalsRowFunction="count" dataDxfId="530" totalsRowDxfId="53"/>
    <tableColumn id="17" xr3:uid="{00000000-0010-0000-0500-000011000000}" name="16" totalsRowFunction="count" dataDxfId="529" totalsRowDxfId="52"/>
    <tableColumn id="18" xr3:uid="{00000000-0010-0000-0500-000012000000}" name="17" totalsRowFunction="count" dataDxfId="528" totalsRowDxfId="51"/>
    <tableColumn id="19" xr3:uid="{00000000-0010-0000-0500-000013000000}" name="18" totalsRowFunction="count" dataDxfId="527" totalsRowDxfId="50"/>
    <tableColumn id="20" xr3:uid="{00000000-0010-0000-0500-000014000000}" name="19" totalsRowFunction="count" dataDxfId="526" totalsRowDxfId="49"/>
    <tableColumn id="21" xr3:uid="{00000000-0010-0000-0500-000015000000}" name="20" totalsRowFunction="count" dataDxfId="525" totalsRowDxfId="48"/>
    <tableColumn id="22" xr3:uid="{00000000-0010-0000-0500-000016000000}" name="21" totalsRowFunction="count" dataDxfId="524" totalsRowDxfId="47"/>
    <tableColumn id="23" xr3:uid="{00000000-0010-0000-0500-000017000000}" name="22" totalsRowFunction="count" dataDxfId="523" totalsRowDxfId="46"/>
    <tableColumn id="24" xr3:uid="{00000000-0010-0000-0500-000018000000}" name="23" totalsRowFunction="count" dataDxfId="522" totalsRowDxfId="45"/>
    <tableColumn id="25" xr3:uid="{00000000-0010-0000-0500-000019000000}" name="24" totalsRowFunction="count" dataDxfId="521" totalsRowDxfId="44"/>
    <tableColumn id="26" xr3:uid="{00000000-0010-0000-0500-00001A000000}" name="25" totalsRowFunction="count" dataDxfId="520" totalsRowDxfId="43"/>
    <tableColumn id="27" xr3:uid="{00000000-0010-0000-0500-00001B000000}" name="26" totalsRowFunction="count" dataDxfId="519" totalsRowDxfId="42"/>
    <tableColumn id="28" xr3:uid="{00000000-0010-0000-0500-00001C000000}" name="27" totalsRowFunction="count" dataDxfId="518" totalsRowDxfId="41"/>
    <tableColumn id="29" xr3:uid="{00000000-0010-0000-0500-00001D000000}" name="28" totalsRowFunction="count" dataDxfId="517" totalsRowDxfId="40"/>
    <tableColumn id="30" xr3:uid="{00000000-0010-0000-0500-00001E000000}" name="29" totalsRowFunction="count" dataDxfId="516" totalsRowDxfId="39"/>
    <tableColumn id="31" xr3:uid="{00000000-0010-0000-0500-00001F000000}" name="30" totalsRowFunction="count" dataDxfId="515" totalsRowDxfId="38"/>
    <tableColumn id="32" xr3:uid="{00000000-0010-0000-0500-000020000000}" name=" " totalsRowFunction="count" dataDxfId="514" totalsRowDxfId="37"/>
    <tableColumn id="33" xr3:uid="{00000000-0010-0000-0500-000021000000}" name="סה&quot;כ ימים" totalsRowFunction="sum" dataDxfId="513" totalsRowDxfId="36">
      <calculatedColumnFormula>COUNTA(יוני[[#This Row],[1]:[30]])</calculatedColumnFormula>
    </tableColumn>
  </tableColumns>
  <tableStyleInfo name="טבלת היעדרויות עובדים" showFirstColumn="1" showLastColumn="1" showRowStripes="1" showColumnStripes="0"/>
  <extLst>
    <ext xmlns:x14="http://schemas.microsoft.com/office/spreadsheetml/2009/9/main" uri="{504A1905-F514-4f6f-8877-14C23A59335A}">
      <x14:table altTextSummary="ציין את שמות העובדים ותאריכי ההיעדרויות. רשום את סוג ההיעדרות בהתאם למפתח בשורה 12: ח = חופשה, מ = מחלה, א = אישי, ושני מצייני מיקום עבור ערכים מותאמים אישית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6000000}" name="יולי" displayName="יולי" ref="B6:AH12" totalsRowCount="1" headerRowDxfId="507" dataDxfId="506" totalsRowDxfId="505">
  <tableColumns count="33">
    <tableColumn id="1" xr3:uid="{00000000-0010-0000-0600-000001000000}" name="שם העובד" totalsRowFunction="custom" dataDxfId="504" totalsRowDxfId="503" dataCellStyle="עובד">
      <totalsRowFormula>"סך הכל "&amp;MonthName</totalsRowFormula>
    </tableColumn>
    <tableColumn id="2" xr3:uid="{00000000-0010-0000-0600-000002000000}" name="1" totalsRowFunction="count" dataDxfId="502" totalsRowDxfId="501"/>
    <tableColumn id="3" xr3:uid="{00000000-0010-0000-0600-000003000000}" name="2" totalsRowFunction="count" dataDxfId="500" totalsRowDxfId="499"/>
    <tableColumn id="4" xr3:uid="{00000000-0010-0000-0600-000004000000}" name="3" totalsRowFunction="count" dataDxfId="498" totalsRowDxfId="497"/>
    <tableColumn id="5" xr3:uid="{00000000-0010-0000-0600-000005000000}" name="4" totalsRowFunction="count" dataDxfId="496" totalsRowDxfId="495"/>
    <tableColumn id="6" xr3:uid="{00000000-0010-0000-0600-000006000000}" name="5" totalsRowFunction="count" dataDxfId="494" totalsRowDxfId="493"/>
    <tableColumn id="7" xr3:uid="{00000000-0010-0000-0600-000007000000}" name="6" totalsRowFunction="count" dataDxfId="492" totalsRowDxfId="491"/>
    <tableColumn id="8" xr3:uid="{00000000-0010-0000-0600-000008000000}" name="7" totalsRowFunction="count" dataDxfId="490" totalsRowDxfId="489"/>
    <tableColumn id="9" xr3:uid="{00000000-0010-0000-0600-000009000000}" name="8" totalsRowFunction="count" dataDxfId="488" totalsRowDxfId="487"/>
    <tableColumn id="10" xr3:uid="{00000000-0010-0000-0600-00000A000000}" name="9" totalsRowFunction="count" dataDxfId="486" totalsRowDxfId="485"/>
    <tableColumn id="11" xr3:uid="{00000000-0010-0000-0600-00000B000000}" name="10" totalsRowFunction="count" dataDxfId="484" totalsRowDxfId="483"/>
    <tableColumn id="12" xr3:uid="{00000000-0010-0000-0600-00000C000000}" name="11" totalsRowFunction="count" dataDxfId="482" totalsRowDxfId="481"/>
    <tableColumn id="13" xr3:uid="{00000000-0010-0000-0600-00000D000000}" name="12" totalsRowFunction="count" dataDxfId="480" totalsRowDxfId="479"/>
    <tableColumn id="14" xr3:uid="{00000000-0010-0000-0600-00000E000000}" name="13" totalsRowFunction="count" dataDxfId="478" totalsRowDxfId="477"/>
    <tableColumn id="15" xr3:uid="{00000000-0010-0000-0600-00000F000000}" name="14" totalsRowFunction="count" dataDxfId="476" totalsRowDxfId="475"/>
    <tableColumn id="16" xr3:uid="{00000000-0010-0000-0600-000010000000}" name="15" totalsRowFunction="count" dataDxfId="474" totalsRowDxfId="473"/>
    <tableColumn id="17" xr3:uid="{00000000-0010-0000-0600-000011000000}" name="16" totalsRowFunction="count" dataDxfId="472" totalsRowDxfId="471"/>
    <tableColumn id="18" xr3:uid="{00000000-0010-0000-0600-000012000000}" name="17" totalsRowFunction="count" dataDxfId="470" totalsRowDxfId="469"/>
    <tableColumn id="19" xr3:uid="{00000000-0010-0000-0600-000013000000}" name="18" totalsRowFunction="count" dataDxfId="468" totalsRowDxfId="467"/>
    <tableColumn id="20" xr3:uid="{00000000-0010-0000-0600-000014000000}" name="19" totalsRowFunction="count" dataDxfId="466" totalsRowDxfId="465"/>
    <tableColumn id="21" xr3:uid="{00000000-0010-0000-0600-000015000000}" name="20" totalsRowFunction="count" dataDxfId="464" totalsRowDxfId="463"/>
    <tableColumn id="22" xr3:uid="{00000000-0010-0000-0600-000016000000}" name="21" totalsRowFunction="count" dataDxfId="462" totalsRowDxfId="461"/>
    <tableColumn id="23" xr3:uid="{00000000-0010-0000-0600-000017000000}" name="22" totalsRowFunction="count" dataDxfId="460" totalsRowDxfId="459"/>
    <tableColumn id="24" xr3:uid="{00000000-0010-0000-0600-000018000000}" name="23" totalsRowFunction="count" dataDxfId="458" totalsRowDxfId="457"/>
    <tableColumn id="25" xr3:uid="{00000000-0010-0000-0600-000019000000}" name="24" totalsRowFunction="count" dataDxfId="456" totalsRowDxfId="455"/>
    <tableColumn id="26" xr3:uid="{00000000-0010-0000-0600-00001A000000}" name="25" totalsRowFunction="count" dataDxfId="454" totalsRowDxfId="453"/>
    <tableColumn id="27" xr3:uid="{00000000-0010-0000-0600-00001B000000}" name="26" totalsRowFunction="count" dataDxfId="452" totalsRowDxfId="451"/>
    <tableColumn id="28" xr3:uid="{00000000-0010-0000-0600-00001C000000}" name="27" totalsRowFunction="count" dataDxfId="450" totalsRowDxfId="449"/>
    <tableColumn id="29" xr3:uid="{00000000-0010-0000-0600-00001D000000}" name="28" totalsRowFunction="count" dataDxfId="448" totalsRowDxfId="447"/>
    <tableColumn id="30" xr3:uid="{00000000-0010-0000-0600-00001E000000}" name="29" totalsRowFunction="count" dataDxfId="446" totalsRowDxfId="445"/>
    <tableColumn id="31" xr3:uid="{00000000-0010-0000-0600-00001F000000}" name="30" totalsRowFunction="count" dataDxfId="444" totalsRowDxfId="443"/>
    <tableColumn id="32" xr3:uid="{00000000-0010-0000-0600-000020000000}" name="31" totalsRowFunction="count" dataDxfId="442" totalsRowDxfId="441"/>
    <tableColumn id="33" xr3:uid="{00000000-0010-0000-0600-000021000000}" name="סה&quot;כ ימים" totalsRowFunction="sum" dataDxfId="440" totalsRowDxfId="439">
      <calculatedColumnFormula>COUNTA(יולי[[#This Row],[1]:[31]])</calculatedColumnFormula>
    </tableColumn>
  </tableColumns>
  <tableStyleInfo name="טבלת היעדרויות עובדים" showFirstColumn="1" showLastColumn="1" showRowStripes="1" showColumnStripes="0"/>
  <extLst>
    <ext xmlns:x14="http://schemas.microsoft.com/office/spreadsheetml/2009/9/main" uri="{504A1905-F514-4f6f-8877-14C23A59335A}">
      <x14:table altTextSummary="ציין את שמות העובדים ותאריכי ההיעדרויות. רשום את סוג ההיעדרות בהתאם למפתח בשורה 12: ח = חופשה, מ = מחלה, א = אישי, ושני מצייני מיקום עבור ערכים מותאמים אישית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7000000}" name="אוגוסט" displayName="אוגוסט" ref="B6:AH12" totalsRowCount="1" headerRowDxfId="433" dataDxfId="432" totalsRowDxfId="431">
  <tableColumns count="33">
    <tableColumn id="1" xr3:uid="{00000000-0010-0000-0700-000001000000}" name="שם העובד" totalsRowFunction="custom" dataDxfId="430" totalsRowDxfId="429" dataCellStyle="עובד">
      <totalsRowFormula>"סך הכל "&amp;MonthName</totalsRowFormula>
    </tableColumn>
    <tableColumn id="2" xr3:uid="{00000000-0010-0000-0700-000002000000}" name="1" totalsRowFunction="count" dataDxfId="428" totalsRowDxfId="427"/>
    <tableColumn id="3" xr3:uid="{00000000-0010-0000-0700-000003000000}" name="2" totalsRowFunction="count" dataDxfId="426" totalsRowDxfId="425"/>
    <tableColumn id="4" xr3:uid="{00000000-0010-0000-0700-000004000000}" name="3" totalsRowFunction="count" dataDxfId="424" totalsRowDxfId="423"/>
    <tableColumn id="5" xr3:uid="{00000000-0010-0000-0700-000005000000}" name="4" totalsRowFunction="count" dataDxfId="422" totalsRowDxfId="421"/>
    <tableColumn id="6" xr3:uid="{00000000-0010-0000-0700-000006000000}" name="5" totalsRowFunction="count" dataDxfId="420" totalsRowDxfId="419"/>
    <tableColumn id="7" xr3:uid="{00000000-0010-0000-0700-000007000000}" name="6" totalsRowFunction="count" dataDxfId="418" totalsRowDxfId="417"/>
    <tableColumn id="8" xr3:uid="{00000000-0010-0000-0700-000008000000}" name="7" totalsRowFunction="count" dataDxfId="416" totalsRowDxfId="415"/>
    <tableColumn id="9" xr3:uid="{00000000-0010-0000-0700-000009000000}" name="8" totalsRowFunction="count" dataDxfId="414" totalsRowDxfId="413"/>
    <tableColumn id="10" xr3:uid="{00000000-0010-0000-0700-00000A000000}" name="9" totalsRowFunction="count" dataDxfId="412" totalsRowDxfId="411"/>
    <tableColumn id="11" xr3:uid="{00000000-0010-0000-0700-00000B000000}" name="10" totalsRowFunction="count" dataDxfId="410" totalsRowDxfId="409"/>
    <tableColumn id="12" xr3:uid="{00000000-0010-0000-0700-00000C000000}" name="11" totalsRowFunction="count" dataDxfId="408" totalsRowDxfId="407"/>
    <tableColumn id="13" xr3:uid="{00000000-0010-0000-0700-00000D000000}" name="12" totalsRowFunction="count" dataDxfId="406" totalsRowDxfId="405"/>
    <tableColumn id="14" xr3:uid="{00000000-0010-0000-0700-00000E000000}" name="13" totalsRowFunction="count" dataDxfId="404" totalsRowDxfId="403"/>
    <tableColumn id="15" xr3:uid="{00000000-0010-0000-0700-00000F000000}" name="14" totalsRowFunction="count" dataDxfId="402" totalsRowDxfId="401"/>
    <tableColumn id="16" xr3:uid="{00000000-0010-0000-0700-000010000000}" name="15" totalsRowFunction="count" dataDxfId="400" totalsRowDxfId="399"/>
    <tableColumn id="17" xr3:uid="{00000000-0010-0000-0700-000011000000}" name="16" totalsRowFunction="count" dataDxfId="398" totalsRowDxfId="397"/>
    <tableColumn id="18" xr3:uid="{00000000-0010-0000-0700-000012000000}" name="17" totalsRowFunction="count" dataDxfId="396" totalsRowDxfId="395"/>
    <tableColumn id="19" xr3:uid="{00000000-0010-0000-0700-000013000000}" name="18" totalsRowFunction="count" dataDxfId="394" totalsRowDxfId="393"/>
    <tableColumn id="20" xr3:uid="{00000000-0010-0000-0700-000014000000}" name="19" totalsRowFunction="count" dataDxfId="392" totalsRowDxfId="391"/>
    <tableColumn id="21" xr3:uid="{00000000-0010-0000-0700-000015000000}" name="20" totalsRowFunction="count" dataDxfId="390" totalsRowDxfId="389"/>
    <tableColumn id="22" xr3:uid="{00000000-0010-0000-0700-000016000000}" name="21" totalsRowFunction="count" dataDxfId="388" totalsRowDxfId="387"/>
    <tableColumn id="23" xr3:uid="{00000000-0010-0000-0700-000017000000}" name="22" totalsRowFunction="count" dataDxfId="386" totalsRowDxfId="385"/>
    <tableColumn id="24" xr3:uid="{00000000-0010-0000-0700-000018000000}" name="23" totalsRowFunction="count" dataDxfId="384" totalsRowDxfId="383"/>
    <tableColumn id="25" xr3:uid="{00000000-0010-0000-0700-000019000000}" name="24" totalsRowFunction="count" dataDxfId="382" totalsRowDxfId="381"/>
    <tableColumn id="26" xr3:uid="{00000000-0010-0000-0700-00001A000000}" name="25" totalsRowFunction="count" dataDxfId="380" totalsRowDxfId="379"/>
    <tableColumn id="27" xr3:uid="{00000000-0010-0000-0700-00001B000000}" name="26" totalsRowFunction="count" dataDxfId="378" totalsRowDxfId="377"/>
    <tableColumn id="28" xr3:uid="{00000000-0010-0000-0700-00001C000000}" name="27" totalsRowFunction="count" dataDxfId="376" totalsRowDxfId="375"/>
    <tableColumn id="29" xr3:uid="{00000000-0010-0000-0700-00001D000000}" name="28" totalsRowFunction="count" dataDxfId="374" totalsRowDxfId="373"/>
    <tableColumn id="30" xr3:uid="{00000000-0010-0000-0700-00001E000000}" name="29" totalsRowFunction="count" dataDxfId="372" totalsRowDxfId="371"/>
    <tableColumn id="31" xr3:uid="{00000000-0010-0000-0700-00001F000000}" name="30" totalsRowFunction="count" dataDxfId="370" totalsRowDxfId="369"/>
    <tableColumn id="32" xr3:uid="{00000000-0010-0000-0700-000020000000}" name="31" totalsRowFunction="count" dataDxfId="368" totalsRowDxfId="367"/>
    <tableColumn id="33" xr3:uid="{00000000-0010-0000-0700-000021000000}" name="סה&quot;כ ימים" totalsRowFunction="sum" dataDxfId="366" totalsRowDxfId="365">
      <calculatedColumnFormula>COUNTA(אוגוסט[[#This Row],[1]:[31]])</calculatedColumnFormula>
    </tableColumn>
  </tableColumns>
  <tableStyleInfo name="טבלת היעדרויות עובדים" showFirstColumn="1" showLastColumn="1" showRowStripes="1" showColumnStripes="0"/>
  <extLst>
    <ext xmlns:x14="http://schemas.microsoft.com/office/spreadsheetml/2009/9/main" uri="{504A1905-F514-4f6f-8877-14C23A59335A}">
      <x14:table altTextSummary="ציין את שמות העובדים ותאריכי ההיעדרויות. רשום את סוג ההיעדרות בהתאם למפתח בשורה 12: ח = חופשה, מ = מחלה, א = אישי, ושני מצייני מיקום עבור ערכים מותאמים אישית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8000000}" name="ספטמבר" displayName="ספטמבר" ref="B6:AH12" totalsRowCount="1" headerRowDxfId="359" dataDxfId="358" totalsRowDxfId="357">
  <tableColumns count="33">
    <tableColumn id="1" xr3:uid="{00000000-0010-0000-0800-000001000000}" name="שם העובד" totalsRowFunction="custom" dataDxfId="356" totalsRowDxfId="101" dataCellStyle="עובד">
      <totalsRowFormula>"סך הכל "&amp;MonthName</totalsRowFormula>
    </tableColumn>
    <tableColumn id="2" xr3:uid="{00000000-0010-0000-0800-000002000000}" name="1" totalsRowFunction="count" dataDxfId="355" totalsRowDxfId="100"/>
    <tableColumn id="3" xr3:uid="{00000000-0010-0000-0800-000003000000}" name="2" totalsRowFunction="count" dataDxfId="354" totalsRowDxfId="99"/>
    <tableColumn id="4" xr3:uid="{00000000-0010-0000-0800-000004000000}" name="3" totalsRowFunction="count" dataDxfId="353" totalsRowDxfId="98"/>
    <tableColumn id="5" xr3:uid="{00000000-0010-0000-0800-000005000000}" name="4" totalsRowFunction="count" dataDxfId="352" totalsRowDxfId="97"/>
    <tableColumn id="6" xr3:uid="{00000000-0010-0000-0800-000006000000}" name="5" totalsRowFunction="count" dataDxfId="351" totalsRowDxfId="96"/>
    <tableColumn id="7" xr3:uid="{00000000-0010-0000-0800-000007000000}" name="6" totalsRowFunction="count" dataDxfId="350" totalsRowDxfId="95"/>
    <tableColumn id="8" xr3:uid="{00000000-0010-0000-0800-000008000000}" name="7" totalsRowFunction="count" dataDxfId="349" totalsRowDxfId="94"/>
    <tableColumn id="9" xr3:uid="{00000000-0010-0000-0800-000009000000}" name="8" totalsRowFunction="count" dataDxfId="348" totalsRowDxfId="93"/>
    <tableColumn id="10" xr3:uid="{00000000-0010-0000-0800-00000A000000}" name="9" totalsRowFunction="count" dataDxfId="347" totalsRowDxfId="92"/>
    <tableColumn id="11" xr3:uid="{00000000-0010-0000-0800-00000B000000}" name="10" totalsRowFunction="count" dataDxfId="346" totalsRowDxfId="91"/>
    <tableColumn id="12" xr3:uid="{00000000-0010-0000-0800-00000C000000}" name="11" totalsRowFunction="count" dataDxfId="345" totalsRowDxfId="90"/>
    <tableColumn id="13" xr3:uid="{00000000-0010-0000-0800-00000D000000}" name="12" totalsRowFunction="count" dataDxfId="344" totalsRowDxfId="89"/>
    <tableColumn id="14" xr3:uid="{00000000-0010-0000-0800-00000E000000}" name="13" totalsRowFunction="count" dataDxfId="343" totalsRowDxfId="88"/>
    <tableColumn id="15" xr3:uid="{00000000-0010-0000-0800-00000F000000}" name="14" totalsRowFunction="count" dataDxfId="342" totalsRowDxfId="87"/>
    <tableColumn id="16" xr3:uid="{00000000-0010-0000-0800-000010000000}" name="15" totalsRowFunction="count" dataDxfId="341" totalsRowDxfId="86"/>
    <tableColumn id="17" xr3:uid="{00000000-0010-0000-0800-000011000000}" name="16" totalsRowFunction="count" dataDxfId="340" totalsRowDxfId="85"/>
    <tableColumn id="18" xr3:uid="{00000000-0010-0000-0800-000012000000}" name="17" totalsRowFunction="count" dataDxfId="339" totalsRowDxfId="84"/>
    <tableColumn id="19" xr3:uid="{00000000-0010-0000-0800-000013000000}" name="18" totalsRowFunction="count" dataDxfId="338" totalsRowDxfId="83"/>
    <tableColumn id="20" xr3:uid="{00000000-0010-0000-0800-000014000000}" name="19" totalsRowFunction="count" dataDxfId="337" totalsRowDxfId="82"/>
    <tableColumn id="21" xr3:uid="{00000000-0010-0000-0800-000015000000}" name="20" totalsRowFunction="count" dataDxfId="336" totalsRowDxfId="81"/>
    <tableColumn id="22" xr3:uid="{00000000-0010-0000-0800-000016000000}" name="21" totalsRowFunction="count" dataDxfId="335" totalsRowDxfId="80"/>
    <tableColumn id="23" xr3:uid="{00000000-0010-0000-0800-000017000000}" name="22" totalsRowFunction="count" dataDxfId="334" totalsRowDxfId="79"/>
    <tableColumn id="24" xr3:uid="{00000000-0010-0000-0800-000018000000}" name="23" totalsRowFunction="count" dataDxfId="333" totalsRowDxfId="78"/>
    <tableColumn id="25" xr3:uid="{00000000-0010-0000-0800-000019000000}" name="24" totalsRowFunction="count" dataDxfId="332" totalsRowDxfId="77"/>
    <tableColumn id="26" xr3:uid="{00000000-0010-0000-0800-00001A000000}" name="25" totalsRowFunction="count" dataDxfId="331" totalsRowDxfId="76"/>
    <tableColumn id="27" xr3:uid="{00000000-0010-0000-0800-00001B000000}" name="26" totalsRowFunction="count" dataDxfId="330" totalsRowDxfId="75"/>
    <tableColumn id="28" xr3:uid="{00000000-0010-0000-0800-00001C000000}" name="27" totalsRowFunction="count" dataDxfId="329" totalsRowDxfId="74"/>
    <tableColumn id="29" xr3:uid="{00000000-0010-0000-0800-00001D000000}" name="28" totalsRowFunction="count" dataDxfId="328" totalsRowDxfId="73"/>
    <tableColumn id="30" xr3:uid="{00000000-0010-0000-0800-00001E000000}" name="29" totalsRowFunction="count" dataDxfId="327" totalsRowDxfId="72"/>
    <tableColumn id="31" xr3:uid="{00000000-0010-0000-0800-00001F000000}" name="30" totalsRowFunction="count" dataDxfId="326" totalsRowDxfId="71"/>
    <tableColumn id="32" xr3:uid="{00000000-0010-0000-0800-000020000000}" name=" " totalsRowFunction="count" dataDxfId="325" totalsRowDxfId="70"/>
    <tableColumn id="33" xr3:uid="{00000000-0010-0000-0800-000021000000}" name="סה&quot;כ ימים" totalsRowFunction="sum" dataDxfId="324" totalsRowDxfId="69">
      <calculatedColumnFormula>COUNTA(ספטמבר[[#This Row],[1]:[30]])</calculatedColumnFormula>
    </tableColumn>
  </tableColumns>
  <tableStyleInfo name="טבלת היעדרויות עובדים" showFirstColumn="1" showLastColumn="1" showRowStripes="1" showColumnStripes="0"/>
  <extLst>
    <ext xmlns:x14="http://schemas.microsoft.com/office/spreadsheetml/2009/9/main" uri="{504A1905-F514-4f6f-8877-14C23A59335A}">
      <x14:table altTextSummary="ציין את שמות העובדים ותאריכי ההיעדרויות. רשום את סוג ההיעדרות בהתאם למפתח בשורה 12: ח = חופשה, מ = מחלה, א = אישי, ושני מצייני מיקום עבור ערכים מותאמים אישית"/>
    </ext>
  </extLst>
</table>
</file>

<file path=xl/theme/theme1.xml><?xml version="1.0" encoding="utf-8"?>
<a:theme xmlns:a="http://schemas.openxmlformats.org/drawingml/2006/main" name="Office Theme">
  <a:themeElements>
    <a:clrScheme name="Employee Absense Schedule">
      <a:dk1>
        <a:sysClr val="windowText" lastClr="000000"/>
      </a:dk1>
      <a:lt1>
        <a:sysClr val="window" lastClr="FFFFFF"/>
      </a:lt1>
      <a:dk2>
        <a:srgbClr val="4B180E"/>
      </a:dk2>
      <a:lt2>
        <a:srgbClr val="F1F2E8"/>
      </a:lt2>
      <a:accent1>
        <a:srgbClr val="A53423"/>
      </a:accent1>
      <a:accent2>
        <a:srgbClr val="E68130"/>
      </a:accent2>
      <a:accent3>
        <a:srgbClr val="9BB05D"/>
      </a:accent3>
      <a:accent4>
        <a:srgbClr val="CC9900"/>
      </a:accent4>
      <a:accent5>
        <a:srgbClr val="4F66AF"/>
      </a:accent5>
      <a:accent6>
        <a:srgbClr val="D0D2D3"/>
      </a:accent6>
      <a:hlink>
        <a:srgbClr val="4F66AF"/>
      </a:hlink>
      <a:folHlink>
        <a:srgbClr val="6B9AC6"/>
      </a:folHlink>
    </a:clrScheme>
    <a:fontScheme name="Employee Absenc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89999084444715716"/>
    <pageSetUpPr fitToPage="1"/>
  </sheetPr>
  <dimension ref="A1:AH12"/>
  <sheetViews>
    <sheetView showGridLines="0" rightToLeft="1" tabSelected="1" zoomScaleNormal="100" workbookViewId="0"/>
  </sheetViews>
  <sheetFormatPr defaultRowHeight="30" customHeight="1" x14ac:dyDescent="0.2"/>
  <cols>
    <col min="1" max="1" width="2.625" style="1" customWidth="1"/>
    <col min="2" max="2" width="25.625" style="1" customWidth="1"/>
    <col min="3" max="33" width="4.875" style="1" customWidth="1"/>
    <col min="34" max="34" width="13.5" style="1" customWidth="1"/>
    <col min="35" max="35" width="2.625" customWidth="1"/>
  </cols>
  <sheetData>
    <row r="1" spans="1:34" ht="50.1" customHeight="1" x14ac:dyDescent="0.2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5" customHeight="1" x14ac:dyDescent="0.2">
      <c r="A2" s="4"/>
      <c r="B2" s="5" t="s">
        <v>1</v>
      </c>
      <c r="C2" s="6" t="s">
        <v>9</v>
      </c>
      <c r="D2" s="27" t="s">
        <v>12</v>
      </c>
      <c r="E2" s="27"/>
      <c r="F2" s="27"/>
      <c r="G2" s="7" t="s">
        <v>15</v>
      </c>
      <c r="H2" s="27" t="s">
        <v>19</v>
      </c>
      <c r="I2" s="27"/>
      <c r="J2" s="27"/>
      <c r="K2" s="22" t="s">
        <v>17</v>
      </c>
      <c r="L2" s="27" t="s">
        <v>24</v>
      </c>
      <c r="M2" s="27"/>
      <c r="N2" s="23"/>
      <c r="O2" s="27" t="s">
        <v>28</v>
      </c>
      <c r="P2" s="27"/>
      <c r="Q2" s="27"/>
      <c r="R2" s="24"/>
      <c r="S2" s="27" t="s">
        <v>33</v>
      </c>
      <c r="T2" s="27"/>
      <c r="U2" s="27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8" t="s">
        <v>49</v>
      </c>
    </row>
    <row r="4" spans="1:34" ht="30" customHeight="1" x14ac:dyDescent="0.2">
      <c r="A4" s="4"/>
      <c r="B4" s="9" t="s">
        <v>2</v>
      </c>
      <c r="C4" s="26" t="s">
        <v>10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9">
        <v>2019</v>
      </c>
    </row>
    <row r="5" spans="1:34" ht="15" customHeight="1" x14ac:dyDescent="0.2">
      <c r="A5" s="4"/>
      <c r="B5" s="9"/>
      <c r="C5" s="10" t="str">
        <f>TEXT(WEEKDAY(DATE(CalendarYear,1,1),1),"aaa")</f>
        <v>יום ג</v>
      </c>
      <c r="D5" s="10" t="str">
        <f>TEXT(WEEKDAY(DATE(CalendarYear,1,2),1),"aaa")</f>
        <v>יום ד</v>
      </c>
      <c r="E5" s="10" t="str">
        <f>TEXT(WEEKDAY(DATE(CalendarYear,1,3),1),"aaa")</f>
        <v>יום ה</v>
      </c>
      <c r="F5" s="10" t="str">
        <f>TEXT(WEEKDAY(DATE(CalendarYear,1,4),1),"aaa")</f>
        <v>יום ו</v>
      </c>
      <c r="G5" s="10" t="str">
        <f>TEXT(WEEKDAY(DATE(CalendarYear,1,5),1),"aaa")</f>
        <v>שבת</v>
      </c>
      <c r="H5" s="10" t="str">
        <f>TEXT(WEEKDAY(DATE(CalendarYear,1,6),1),"aaa")</f>
        <v>יום א</v>
      </c>
      <c r="I5" s="10" t="str">
        <f>TEXT(WEEKDAY(DATE(CalendarYear,1,7),1),"aaa")</f>
        <v>יום ב</v>
      </c>
      <c r="J5" s="10" t="str">
        <f>TEXT(WEEKDAY(DATE(CalendarYear,1,8),1),"aaa")</f>
        <v>יום ג</v>
      </c>
      <c r="K5" s="10" t="str">
        <f>TEXT(WEEKDAY(DATE(CalendarYear,1,9),1),"aaa")</f>
        <v>יום ד</v>
      </c>
      <c r="L5" s="10" t="str">
        <f>TEXT(WEEKDAY(DATE(CalendarYear,1,10),1),"aaa")</f>
        <v>יום ה</v>
      </c>
      <c r="M5" s="10" t="str">
        <f>TEXT(WEEKDAY(DATE(CalendarYear,1,11),1),"aaa")</f>
        <v>יום ו</v>
      </c>
      <c r="N5" s="10" t="str">
        <f>TEXT(WEEKDAY(DATE(CalendarYear,1,12),1),"aaa")</f>
        <v>שבת</v>
      </c>
      <c r="O5" s="10" t="str">
        <f>TEXT(WEEKDAY(DATE(CalendarYear,1,13),1),"aaa")</f>
        <v>יום א</v>
      </c>
      <c r="P5" s="10" t="str">
        <f>TEXT(WEEKDAY(DATE(CalendarYear,1,14),1),"aaa")</f>
        <v>יום ב</v>
      </c>
      <c r="Q5" s="10" t="str">
        <f>TEXT(WEEKDAY(DATE(CalendarYear,1,15),1),"aaa")</f>
        <v>יום ג</v>
      </c>
      <c r="R5" s="10" t="str">
        <f>TEXT(WEEKDAY(DATE(CalendarYear,1,16),1),"aaa")</f>
        <v>יום ד</v>
      </c>
      <c r="S5" s="10" t="str">
        <f>TEXT(WEEKDAY(DATE(CalendarYear,1,17),1),"aaa")</f>
        <v>יום ה</v>
      </c>
      <c r="T5" s="10" t="str">
        <f>TEXT(WEEKDAY(DATE(CalendarYear,1,18),1),"aaa")</f>
        <v>יום ו</v>
      </c>
      <c r="U5" s="10" t="str">
        <f>TEXT(WEEKDAY(DATE(CalendarYear,1,19),1),"aaa")</f>
        <v>שבת</v>
      </c>
      <c r="V5" s="10" t="str">
        <f>TEXT(WEEKDAY(DATE(CalendarYear,1,20),1),"aaa")</f>
        <v>יום א</v>
      </c>
      <c r="W5" s="10" t="str">
        <f>TEXT(WEEKDAY(DATE(CalendarYear,1,21),1),"aaa")</f>
        <v>יום ב</v>
      </c>
      <c r="X5" s="10" t="str">
        <f>TEXT(WEEKDAY(DATE(CalendarYear,1,22),1),"aaa")</f>
        <v>יום ג</v>
      </c>
      <c r="Y5" s="10" t="str">
        <f>TEXT(WEEKDAY(DATE(CalendarYear,1,23),1),"aaa")</f>
        <v>יום ד</v>
      </c>
      <c r="Z5" s="10" t="str">
        <f>TEXT(WEEKDAY(DATE(CalendarYear,1,24),1),"aaa")</f>
        <v>יום ה</v>
      </c>
      <c r="AA5" s="10" t="str">
        <f>TEXT(WEEKDAY(DATE(CalendarYear,1,25),1),"aaa")</f>
        <v>יום ו</v>
      </c>
      <c r="AB5" s="10" t="str">
        <f>TEXT(WEEKDAY(DATE(CalendarYear,1,26),1),"aaa")</f>
        <v>שבת</v>
      </c>
      <c r="AC5" s="10" t="str">
        <f>TEXT(WEEKDAY(DATE(CalendarYear,1,27),1),"aaa")</f>
        <v>יום א</v>
      </c>
      <c r="AD5" s="10" t="str">
        <f>TEXT(WEEKDAY(DATE(CalendarYear,1,28),1),"aaa")</f>
        <v>יום ב</v>
      </c>
      <c r="AE5" s="10" t="str">
        <f>TEXT(WEEKDAY(DATE(CalendarYear,1,29),1),"aaa")</f>
        <v>יום ג</v>
      </c>
      <c r="AF5" s="10" t="str">
        <f>TEXT(WEEKDAY(DATE(CalendarYear,1,30),1),"aaa")</f>
        <v>יום ד</v>
      </c>
      <c r="AG5" s="10" t="str">
        <f>TEXT(WEEKDAY(DATE(CalendarYear,1,31),1),"aaa")</f>
        <v>יום ה</v>
      </c>
      <c r="AH5" s="9"/>
    </row>
    <row r="6" spans="1:34" ht="15" customHeight="1" x14ac:dyDescent="0.2">
      <c r="A6" s="4"/>
      <c r="B6" s="11" t="s">
        <v>3</v>
      </c>
      <c r="C6" s="12" t="s">
        <v>11</v>
      </c>
      <c r="D6" s="12" t="s">
        <v>13</v>
      </c>
      <c r="E6" s="12" t="s">
        <v>14</v>
      </c>
      <c r="F6" s="12" t="s">
        <v>16</v>
      </c>
      <c r="G6" s="12" t="s">
        <v>18</v>
      </c>
      <c r="H6" s="12" t="s">
        <v>20</v>
      </c>
      <c r="I6" s="12" t="s">
        <v>21</v>
      </c>
      <c r="J6" s="12" t="s">
        <v>22</v>
      </c>
      <c r="K6" s="12" t="s">
        <v>23</v>
      </c>
      <c r="L6" s="12" t="s">
        <v>25</v>
      </c>
      <c r="M6" s="12" t="s">
        <v>26</v>
      </c>
      <c r="N6" s="12" t="s">
        <v>27</v>
      </c>
      <c r="O6" s="12" t="s">
        <v>29</v>
      </c>
      <c r="P6" s="12" t="s">
        <v>30</v>
      </c>
      <c r="Q6" s="12" t="s">
        <v>31</v>
      </c>
      <c r="R6" s="12" t="s">
        <v>32</v>
      </c>
      <c r="S6" s="12" t="s">
        <v>34</v>
      </c>
      <c r="T6" s="12" t="s">
        <v>35</v>
      </c>
      <c r="U6" s="12" t="s">
        <v>36</v>
      </c>
      <c r="V6" s="12" t="s">
        <v>37</v>
      </c>
      <c r="W6" s="12" t="s">
        <v>38</v>
      </c>
      <c r="X6" s="12" t="s">
        <v>39</v>
      </c>
      <c r="Y6" s="12" t="s">
        <v>40</v>
      </c>
      <c r="Z6" s="12" t="s">
        <v>41</v>
      </c>
      <c r="AA6" s="12" t="s">
        <v>42</v>
      </c>
      <c r="AB6" s="12" t="s">
        <v>43</v>
      </c>
      <c r="AC6" s="12" t="s">
        <v>44</v>
      </c>
      <c r="AD6" s="12" t="s">
        <v>45</v>
      </c>
      <c r="AE6" s="12" t="s">
        <v>46</v>
      </c>
      <c r="AF6" s="12" t="s">
        <v>47</v>
      </c>
      <c r="AG6" s="12" t="s">
        <v>48</v>
      </c>
      <c r="AH6" s="13" t="s">
        <v>50</v>
      </c>
    </row>
    <row r="7" spans="1:34" ht="30" customHeight="1" x14ac:dyDescent="0.2">
      <c r="A7" s="4"/>
      <c r="B7" s="14" t="s">
        <v>4</v>
      </c>
      <c r="C7" s="12"/>
      <c r="D7" s="12"/>
      <c r="E7" s="12" t="s">
        <v>9</v>
      </c>
      <c r="F7" s="12" t="s">
        <v>9</v>
      </c>
      <c r="G7" s="12" t="s">
        <v>9</v>
      </c>
      <c r="H7" s="12" t="s">
        <v>9</v>
      </c>
      <c r="I7" s="12"/>
      <c r="J7" s="12"/>
      <c r="K7" s="12"/>
      <c r="L7" s="12"/>
      <c r="M7" s="12"/>
      <c r="N7" s="12"/>
      <c r="O7" s="12" t="s">
        <v>9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5">
        <f>COUNTA(ינואר!$C7:$AG7)</f>
        <v>5</v>
      </c>
    </row>
    <row r="8" spans="1:34" ht="30" customHeight="1" x14ac:dyDescent="0.2">
      <c r="A8" s="4"/>
      <c r="B8" s="14" t="s">
        <v>5</v>
      </c>
      <c r="C8" s="12"/>
      <c r="D8" s="12"/>
      <c r="E8" s="12"/>
      <c r="F8" s="12"/>
      <c r="G8" s="12" t="s">
        <v>17</v>
      </c>
      <c r="H8" s="12" t="s">
        <v>17</v>
      </c>
      <c r="I8" s="12"/>
      <c r="J8" s="12"/>
      <c r="K8" s="12"/>
      <c r="L8" s="12"/>
      <c r="M8" s="12" t="s">
        <v>15</v>
      </c>
      <c r="N8" s="12"/>
      <c r="O8" s="12"/>
      <c r="P8" s="12"/>
      <c r="Q8" s="12"/>
      <c r="R8" s="12"/>
      <c r="S8" s="12"/>
      <c r="T8" s="12"/>
      <c r="U8" s="12"/>
      <c r="V8" s="12" t="s">
        <v>17</v>
      </c>
      <c r="W8" s="12"/>
      <c r="X8" s="12"/>
      <c r="Y8" s="12"/>
      <c r="Z8" s="12"/>
      <c r="AA8" s="12" t="s">
        <v>9</v>
      </c>
      <c r="AB8" s="12" t="s">
        <v>9</v>
      </c>
      <c r="AC8" s="12" t="s">
        <v>9</v>
      </c>
      <c r="AD8" s="12"/>
      <c r="AE8" s="12"/>
      <c r="AF8" s="12"/>
      <c r="AG8" s="12"/>
      <c r="AH8" s="15">
        <f>COUNTA(ינואר!$C8:$AG8)</f>
        <v>7</v>
      </c>
    </row>
    <row r="9" spans="1:34" ht="30" customHeight="1" x14ac:dyDescent="0.2">
      <c r="A9" s="4"/>
      <c r="B9" s="14" t="s">
        <v>6</v>
      </c>
      <c r="C9" s="12"/>
      <c r="D9" s="12"/>
      <c r="E9" s="12" t="s">
        <v>15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 t="s">
        <v>17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 t="s">
        <v>17</v>
      </c>
      <c r="AF9" s="12"/>
      <c r="AG9" s="12"/>
      <c r="AH9" s="15">
        <f>COUNTA(ינואר!$C9:$AG9)</f>
        <v>3</v>
      </c>
    </row>
    <row r="10" spans="1:34" ht="30" customHeight="1" x14ac:dyDescent="0.2">
      <c r="A10" s="4"/>
      <c r="B10" s="14" t="s">
        <v>7</v>
      </c>
      <c r="C10" s="12"/>
      <c r="D10" s="12"/>
      <c r="E10" s="12"/>
      <c r="F10" s="12"/>
      <c r="G10" s="12"/>
      <c r="H10" s="12"/>
      <c r="I10" s="12" t="s">
        <v>15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 t="s">
        <v>9</v>
      </c>
      <c r="V10" s="12" t="s">
        <v>9</v>
      </c>
      <c r="W10" s="12" t="s">
        <v>9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5">
        <f>COUNTA(ינואר!$C10:$AG10)</f>
        <v>4</v>
      </c>
    </row>
    <row r="11" spans="1:34" ht="30" customHeight="1" x14ac:dyDescent="0.2">
      <c r="A11" s="4"/>
      <c r="B11" s="14" t="s">
        <v>8</v>
      </c>
      <c r="C11" s="12"/>
      <c r="D11" s="12"/>
      <c r="E11" s="12"/>
      <c r="F11" s="12" t="s">
        <v>17</v>
      </c>
      <c r="G11" s="12" t="s">
        <v>9</v>
      </c>
      <c r="H11" s="12" t="s">
        <v>9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 t="s">
        <v>17</v>
      </c>
      <c r="T11" s="12"/>
      <c r="U11" s="12"/>
      <c r="V11" s="12"/>
      <c r="W11" s="12"/>
      <c r="X11" s="12"/>
      <c r="Y11" s="12"/>
      <c r="Z11" s="12" t="s">
        <v>17</v>
      </c>
      <c r="AA11" s="12"/>
      <c r="AB11" s="12"/>
      <c r="AC11" s="12"/>
      <c r="AD11" s="12"/>
      <c r="AE11" s="12"/>
      <c r="AF11" s="12"/>
      <c r="AG11" s="12" t="s">
        <v>9</v>
      </c>
      <c r="AH11" s="15">
        <f>COUNTA(ינואר!$C11:$AG11)</f>
        <v>6</v>
      </c>
    </row>
    <row r="12" spans="1:34" ht="30" customHeight="1" x14ac:dyDescent="0.2">
      <c r="A12" s="4"/>
      <c r="B12" s="16" t="str">
        <f>"סך הכל "&amp;MonthName</f>
        <v>סך הכל ינואר</v>
      </c>
      <c r="C12" s="17">
        <f>SUBTOTAL(103,ינואר!$C$7:$C$11)</f>
        <v>0</v>
      </c>
      <c r="D12" s="17">
        <f>SUBTOTAL(103,ינואר!$D$7:$D$11)</f>
        <v>0</v>
      </c>
      <c r="E12" s="17">
        <f>SUBTOTAL(103,ינואר!$E$7:$E$11)</f>
        <v>2</v>
      </c>
      <c r="F12" s="17">
        <f>SUBTOTAL(103,ינואר!$F$7:$F$11)</f>
        <v>2</v>
      </c>
      <c r="G12" s="17">
        <f>SUBTOTAL(103,ינואר!$G$7:$G$11)</f>
        <v>3</v>
      </c>
      <c r="H12" s="17">
        <f>SUBTOTAL(103,ינואר!$H$7:$H$11)</f>
        <v>3</v>
      </c>
      <c r="I12" s="17">
        <f>SUBTOTAL(103,ינואר!$I$7:$I$11)</f>
        <v>1</v>
      </c>
      <c r="J12" s="17">
        <f>SUBTOTAL(103,ינואר!$J$7:$J$11)</f>
        <v>0</v>
      </c>
      <c r="K12" s="17">
        <f>SUBTOTAL(103,ינואר!$K$7:$K$11)</f>
        <v>0</v>
      </c>
      <c r="L12" s="17">
        <f>SUBTOTAL(103,ינואר!$L$7:$L$11)</f>
        <v>0</v>
      </c>
      <c r="M12" s="17">
        <f>SUBTOTAL(103,ינואר!$M$7:$M$11)</f>
        <v>1</v>
      </c>
      <c r="N12" s="17">
        <f>SUBTOTAL(103,ינואר!$N$7:$N$11)</f>
        <v>0</v>
      </c>
      <c r="O12" s="17">
        <f>SUBTOTAL(103,ינואר!$O$7:$O$11)</f>
        <v>1</v>
      </c>
      <c r="P12" s="17">
        <f>SUBTOTAL(103,ינואר!$P$7:$P$11)</f>
        <v>1</v>
      </c>
      <c r="Q12" s="17">
        <f>SUBTOTAL(103,ינואר!$Q$7:$Q$11)</f>
        <v>0</v>
      </c>
      <c r="R12" s="17">
        <f>SUBTOTAL(103,ינואר!$R$7:$R$11)</f>
        <v>0</v>
      </c>
      <c r="S12" s="17">
        <f>SUBTOTAL(103,ינואר!$S$7:$S$11)</f>
        <v>1</v>
      </c>
      <c r="T12" s="17">
        <f>SUBTOTAL(103,ינואר!$T$7:$T$11)</f>
        <v>0</v>
      </c>
      <c r="U12" s="17">
        <f>SUBTOTAL(103,ינואר!$U$7:$U$11)</f>
        <v>1</v>
      </c>
      <c r="V12" s="17">
        <f>SUBTOTAL(103,ינואר!$V$7:$V$11)</f>
        <v>2</v>
      </c>
      <c r="W12" s="17">
        <f>SUBTOTAL(103,ינואר!$W$7:$W$11)</f>
        <v>1</v>
      </c>
      <c r="X12" s="17">
        <f>SUBTOTAL(103,ינואר!$X$7:$X$11)</f>
        <v>0</v>
      </c>
      <c r="Y12" s="17">
        <f>SUBTOTAL(103,ינואר!$Y$7:$Y$11)</f>
        <v>0</v>
      </c>
      <c r="Z12" s="17">
        <f>SUBTOTAL(103,ינואר!$Z$7:$Z$11)</f>
        <v>1</v>
      </c>
      <c r="AA12" s="17">
        <f>SUBTOTAL(103,ינואר!$AA$7:$AA$11)</f>
        <v>1</v>
      </c>
      <c r="AB12" s="17">
        <f>SUBTOTAL(103,ינואר!$AB$7:$AB$11)</f>
        <v>1</v>
      </c>
      <c r="AC12" s="17">
        <f>SUBTOTAL(103,ינואר!$AC$7:$AC$11)</f>
        <v>1</v>
      </c>
      <c r="AD12" s="17">
        <f>SUBTOTAL(103,ינואר!$AD$7:$AD$11)</f>
        <v>0</v>
      </c>
      <c r="AE12" s="17">
        <f>SUBTOTAL(103,ינואר!$AE$7:$AE$11)</f>
        <v>1</v>
      </c>
      <c r="AF12" s="17">
        <f>SUBTOTAL(103,ינואר!$AF$7:$AF$11)</f>
        <v>0</v>
      </c>
      <c r="AG12" s="17">
        <f>SUBTOTAL(103,ינואר!$AG$7:$AG$11)</f>
        <v>1</v>
      </c>
      <c r="AH12" s="17">
        <f>SUBTOTAL(109,ינואר[סה"כ ימים])</f>
        <v>25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  <cfRule type="expression" dxfId="891" priority="6" stopIfTrue="1">
      <formula>C7=KeyCustom2</formula>
    </cfRule>
    <cfRule type="expression" dxfId="890" priority="7" stopIfTrue="1">
      <formula>C7=KeyCustom1</formula>
    </cfRule>
    <cfRule type="expression" dxfId="889" priority="8" stopIfTrue="1">
      <formula>C7=KeySick</formula>
    </cfRule>
    <cfRule type="expression" dxfId="888" priority="9" stopIfTrue="1">
      <formula>C7=KeyPersonal</formula>
    </cfRule>
    <cfRule type="expression" dxfId="887" priority="10" stopIfTrue="1">
      <formula>C7=KeyVacation</formula>
    </cfRule>
  </conditionalFormatting>
  <conditionalFormatting sqref="AH7:AH11">
    <cfRule type="dataBar" priority="168">
      <dataBar>
        <cfvo type="num" val="0"/>
        <cfvo type="num" val="31"/>
        <color theme="2" tint="-0.249977111117893"/>
      </dataBar>
      <extLst>
        <ext xmlns:x14="http://schemas.microsoft.com/office/spreadsheetml/2009/9/main" uri="{B025F937-C7B1-47D3-B67F-A62EFF666E3E}">
          <x14:id>{ECCE2C3C-1B01-4700-B60E-DAAAB19A9C1A}</x14:id>
        </ext>
      </extLst>
    </cfRule>
  </conditionalFormatting>
  <dataValidations count="15">
    <dataValidation allowBlank="1" showInputMessage="1" showErrorMessage="1" prompt="הזן שנה בתא זה" sqref="AH4" xr:uid="{00000000-0002-0000-0000-000000000000}"/>
    <dataValidation errorStyle="warning" allowBlank="1" showInputMessage="1" showErrorMessage="1" error="בחר שם מהרשימה. בחר 'ביטול', הקש ALT+חץ למטה ולאחר מכן הקש ENTER כדי לבחור שם" prompt="הזן את שמות העובדים בגליון העבודה 'שמות העובדים' ולאחר מכן בחר אחד מהשמות הללו ברשימה בעמודה זו. הקש ALT+חץ למטה ולאחר מכן הקש ENTER כדי לבחור שם" sqref="B6" xr:uid="{00000000-0002-0000-0000-000001000000}"/>
    <dataValidation allowBlank="1" showInputMessage="1" showErrorMessage="1" prompt="הימים בחודש בשורה זו נוצרים באופן אוטומטי. הזן את ההיעדרויות וסוגי ההיעדרויות של העובד בכל עמודה עבור כל יום בחודש. תא ריק מציין שלא היתה היעדרות" sqref="C6" xr:uid="{00000000-0002-0000-0000-000002000000}"/>
    <dataValidation allowBlank="1" showInputMessage="1" showErrorMessage="1" prompt="ימות השבוע בשורה זו מתעדכנים באופן אוטומטי עבור החודש, בהתאם לשנה שהוזנה בתא AH4. כל יום בחודש הוא עמודה המשמשת לציון ההיעדרות וסוג ההיעדרות של העובד" sqref="C5" xr:uid="{00000000-0002-0000-0000-000003000000}"/>
    <dataValidation allowBlank="1" showInputMessage="1" showErrorMessage="1" prompt="חישוב אוטומטי של מספר ימי ההיעדרויות הכולל של העובד בחודש זה" sqref="AH6" xr:uid="{00000000-0002-0000-0000-000004000000}"/>
    <dataValidation allowBlank="1" showInputMessage="1" showErrorMessage="1" prompt="הכותרת של גליון העבודה מופיעה בתא זה. אם תשנה את הכותרת, השינוי יתעדכן באופן אוטומטי בכל אחד מגליונות העבודה" sqref="B1" xr:uid="{00000000-0002-0000-0000-000005000000}"/>
    <dataValidation allowBlank="1" showInputMessage="1" showErrorMessage="1" prompt="החודש של לוח הזמנים לניהול היעדרויות. עדכן את השנה בתא AH4. עקוב אחר הסכומים הכוללים לפי חודש בתא האחרון של הטבלה. הזן את שמות העובדים בעמודה B של הטבלה" sqref="B4" xr:uid="{00000000-0002-0000-0000-000006000000}"/>
    <dataValidation allowBlank="1" showInputMessage="1" showErrorMessage="1" prompt="שורה זו מגדירה את המפתחות שמופיעים בטבלה: תא C2 מכיל 'חופשה', תא G2 מכיל 'אישי' ותא K2 מכיל 'חופשת מחלה'. תאים N2 ו- R2 ניתנים להתאמה אישית" sqref="B2" xr:uid="{00000000-0002-0000-0000-000007000000}"/>
    <dataValidation allowBlank="1" showInputMessage="1" showErrorMessage="1" prompt="האות &quot;ח&quot; מציינת היעדרות עקב חופשה" sqref="C2" xr:uid="{00000000-0002-0000-0000-000008000000}"/>
    <dataValidation allowBlank="1" showInputMessage="1" showErrorMessage="1" prompt="האות &quot;א&quot; מציינת היעדרות עקב סיבות אישיות" sqref="G2" xr:uid="{00000000-0002-0000-0000-000009000000}"/>
    <dataValidation allowBlank="1" showInputMessage="1" showErrorMessage="1" prompt="האות &quot;מ&quot; מציינת היעדרות עקב מחלה" sqref="K2" xr:uid="{00000000-0002-0000-0000-00000A000000}"/>
    <dataValidation allowBlank="1" showInputMessage="1" showErrorMessage="1" prompt="הזן אות והתאם אישית את התווית בצד שמאל כדי להוסיף פריט מפתח אחר" sqref="N2 R2" xr:uid="{00000000-0002-0000-0000-00000B000000}"/>
    <dataValidation allowBlank="1" showInputMessage="1" showErrorMessage="1" prompt="הזן תווית כדי לתאר את המפתח המותאם אישית בצד ימין" sqref="O2:Q2 S2:U2" xr:uid="{00000000-0002-0000-0000-00000C000000}"/>
    <dataValidation allowBlank="1" showInputMessage="1" showErrorMessage="1" prompt="לוח הזמנים לניהול היעדרויות העובדים עוקב אחר היעדרויות העובדים לפי ימים בכל חודש. קיימים 13 גליונות עבודה: 12 גליונות עבודה עבור החודשים, והגיליון האחרון מכיל את שמות העובדים. עקוב אחר ההיעדרויות בחודש ינואר בגליון עבודה זה" sqref="A1" xr:uid="{00000000-0002-0000-0000-00000D000000}"/>
    <dataValidation allowBlank="1" showInputMessage="1" showErrorMessage="1" prompt="הזן את השנה בתא שמתחת" sqref="AH3" xr:uid="{00000000-0002-0000-0000-00000E000000}"/>
  </dataValidations>
  <printOptions horizontalCentered="1"/>
  <pageMargins left="0.25" right="0.25" top="0.75" bottom="0.75" header="0.3" footer="0.3"/>
  <pageSetup paperSize="9" scale="6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CE2C3C-1B01-4700-B60E-DAAAB19A9C1A}">
            <x14:dataBar minLength="0" maxLength="100">
              <x14:cfvo type="num">
                <xm:f>0</xm:f>
              </x14:cfvo>
              <x14:cfvo type="num">
                <xm:f>31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F000000}">
          <x14:formula1>
            <xm:f>'שמות העובדים'!$B$4:$B$8</xm:f>
          </x14:formula1>
          <xm:sqref>B7:B11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249977111117893"/>
    <pageSetUpPr fitToPage="1"/>
  </sheetPr>
  <dimension ref="A1:AH12"/>
  <sheetViews>
    <sheetView showGridLines="0" rightToLeft="1" zoomScaleNormal="100" workbookViewId="0"/>
  </sheetViews>
  <sheetFormatPr defaultRowHeight="30" customHeight="1" x14ac:dyDescent="0.2"/>
  <cols>
    <col min="1" max="1" width="2.625" style="1" customWidth="1"/>
    <col min="2" max="2" width="25.625" style="1" customWidth="1"/>
    <col min="3" max="33" width="4.875" style="1" customWidth="1"/>
    <col min="34" max="34" width="13.5" style="1" customWidth="1"/>
    <col min="35" max="35" width="2.625" customWidth="1"/>
  </cols>
  <sheetData>
    <row r="1" spans="1:34" ht="50.1" customHeight="1" x14ac:dyDescent="0.2">
      <c r="A1" s="4"/>
      <c r="B1" s="3" t="str">
        <f>Employee_Absence_Title</f>
        <v>לוח זמנים לניהול היעדרות העובדים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5" customHeight="1" x14ac:dyDescent="0.2">
      <c r="A2" s="4"/>
      <c r="B2" s="5" t="s">
        <v>1</v>
      </c>
      <c r="C2" s="6" t="s">
        <v>9</v>
      </c>
      <c r="D2" s="27" t="s">
        <v>12</v>
      </c>
      <c r="E2" s="27"/>
      <c r="F2" s="27"/>
      <c r="G2" s="7" t="s">
        <v>15</v>
      </c>
      <c r="H2" s="27" t="s">
        <v>19</v>
      </c>
      <c r="I2" s="27"/>
      <c r="J2" s="27"/>
      <c r="K2" s="22" t="s">
        <v>17</v>
      </c>
      <c r="L2" s="27" t="s">
        <v>24</v>
      </c>
      <c r="M2" s="27"/>
      <c r="N2" s="23"/>
      <c r="O2" s="27" t="s">
        <v>28</v>
      </c>
      <c r="P2" s="27"/>
      <c r="Q2" s="27"/>
      <c r="R2" s="24"/>
      <c r="S2" s="27" t="s">
        <v>33</v>
      </c>
      <c r="T2" s="27"/>
      <c r="U2" s="27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5" customHeight="1" x14ac:dyDescent="0.2">
      <c r="A3" s="4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30" customHeight="1" x14ac:dyDescent="0.2">
      <c r="A4" s="4"/>
      <c r="B4" s="9" t="s">
        <v>61</v>
      </c>
      <c r="C4" s="26" t="s">
        <v>10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9">
        <f>CalendarYear</f>
        <v>2019</v>
      </c>
    </row>
    <row r="5" spans="1:34" ht="15" customHeight="1" x14ac:dyDescent="0.2">
      <c r="A5" s="4"/>
      <c r="B5" s="9"/>
      <c r="C5" s="10" t="str">
        <f>TEXT(WEEKDAY(DATE(CalendarYear,10,1),1),"aaa")</f>
        <v>יום ג</v>
      </c>
      <c r="D5" s="10" t="str">
        <f>TEXT(WEEKDAY(DATE(CalendarYear,10,2),1),"aaa")</f>
        <v>יום ד</v>
      </c>
      <c r="E5" s="10" t="str">
        <f>TEXT(WEEKDAY(DATE(CalendarYear,10,3),1),"aaa")</f>
        <v>יום ה</v>
      </c>
      <c r="F5" s="10" t="str">
        <f>TEXT(WEEKDAY(DATE(CalendarYear,10,4),1),"aaa")</f>
        <v>יום ו</v>
      </c>
      <c r="G5" s="10" t="str">
        <f>TEXT(WEEKDAY(DATE(CalendarYear,10,5),1),"aaa")</f>
        <v>שבת</v>
      </c>
      <c r="H5" s="10" t="str">
        <f>TEXT(WEEKDAY(DATE(CalendarYear,10,6),1),"aaa")</f>
        <v>יום א</v>
      </c>
      <c r="I5" s="10" t="str">
        <f>TEXT(WEEKDAY(DATE(CalendarYear,10,7),1),"aaa")</f>
        <v>יום ב</v>
      </c>
      <c r="J5" s="10" t="str">
        <f>TEXT(WEEKDAY(DATE(CalendarYear,10,8),1),"aaa")</f>
        <v>יום ג</v>
      </c>
      <c r="K5" s="10" t="str">
        <f>TEXT(WEEKDAY(DATE(CalendarYear,10,9),1),"aaa")</f>
        <v>יום ד</v>
      </c>
      <c r="L5" s="10" t="str">
        <f>TEXT(WEEKDAY(DATE(CalendarYear,10,10),1),"aaa")</f>
        <v>יום ה</v>
      </c>
      <c r="M5" s="10" t="str">
        <f>TEXT(WEEKDAY(DATE(CalendarYear,10,11),1),"aaa")</f>
        <v>יום ו</v>
      </c>
      <c r="N5" s="10" t="str">
        <f>TEXT(WEEKDAY(DATE(CalendarYear,10,12),1),"aaa")</f>
        <v>שבת</v>
      </c>
      <c r="O5" s="10" t="str">
        <f>TEXT(WEEKDAY(DATE(CalendarYear,10,13),1),"aaa")</f>
        <v>יום א</v>
      </c>
      <c r="P5" s="10" t="str">
        <f>TEXT(WEEKDAY(DATE(CalendarYear,10,14),1),"aaa")</f>
        <v>יום ב</v>
      </c>
      <c r="Q5" s="10" t="str">
        <f>TEXT(WEEKDAY(DATE(CalendarYear,10,15),1),"aaa")</f>
        <v>יום ג</v>
      </c>
      <c r="R5" s="10" t="str">
        <f>TEXT(WEEKDAY(DATE(CalendarYear,10,16),1),"aaa")</f>
        <v>יום ד</v>
      </c>
      <c r="S5" s="10" t="str">
        <f>TEXT(WEEKDAY(DATE(CalendarYear,10,17),1),"aaa")</f>
        <v>יום ה</v>
      </c>
      <c r="T5" s="10" t="str">
        <f>TEXT(WEEKDAY(DATE(CalendarYear,10,18),1),"aaa")</f>
        <v>יום ו</v>
      </c>
      <c r="U5" s="10" t="str">
        <f>TEXT(WEEKDAY(DATE(CalendarYear,10,19),1),"aaa")</f>
        <v>שבת</v>
      </c>
      <c r="V5" s="10" t="str">
        <f>TEXT(WEEKDAY(DATE(CalendarYear,10,20),1),"aaa")</f>
        <v>יום א</v>
      </c>
      <c r="W5" s="10" t="str">
        <f>TEXT(WEEKDAY(DATE(CalendarYear,10,21),1),"aaa")</f>
        <v>יום ב</v>
      </c>
      <c r="X5" s="10" t="str">
        <f>TEXT(WEEKDAY(DATE(CalendarYear,10,22),1),"aaa")</f>
        <v>יום ג</v>
      </c>
      <c r="Y5" s="10" t="str">
        <f>TEXT(WEEKDAY(DATE(CalendarYear,10,23),1),"aaa")</f>
        <v>יום ד</v>
      </c>
      <c r="Z5" s="10" t="str">
        <f>TEXT(WEEKDAY(DATE(CalendarYear,10,24),1),"aaa")</f>
        <v>יום ה</v>
      </c>
      <c r="AA5" s="10" t="str">
        <f>TEXT(WEEKDAY(DATE(CalendarYear,10,25),1),"aaa")</f>
        <v>יום ו</v>
      </c>
      <c r="AB5" s="10" t="str">
        <f>TEXT(WEEKDAY(DATE(CalendarYear,10,26),1),"aaa")</f>
        <v>שבת</v>
      </c>
      <c r="AC5" s="10" t="str">
        <f>TEXT(WEEKDAY(DATE(CalendarYear,10,27),1),"aaa")</f>
        <v>יום א</v>
      </c>
      <c r="AD5" s="10" t="str">
        <f>TEXT(WEEKDAY(DATE(CalendarYear,10,28),1),"aaa")</f>
        <v>יום ב</v>
      </c>
      <c r="AE5" s="10" t="str">
        <f>TEXT(WEEKDAY(DATE(CalendarYear,10,29),1),"aaa")</f>
        <v>יום ג</v>
      </c>
      <c r="AF5" s="10" t="str">
        <f>TEXT(WEEKDAY(DATE(CalendarYear,10,30),1),"aaa")</f>
        <v>יום ד</v>
      </c>
      <c r="AG5" s="10" t="str">
        <f>TEXT(WEEKDAY(DATE(CalendarYear,10,31),1),"aaa")</f>
        <v>יום ה</v>
      </c>
      <c r="AH5" s="9"/>
    </row>
    <row r="6" spans="1:34" ht="15" customHeight="1" x14ac:dyDescent="0.2">
      <c r="A6" s="4"/>
      <c r="B6" s="11" t="s">
        <v>3</v>
      </c>
      <c r="C6" s="12" t="s">
        <v>11</v>
      </c>
      <c r="D6" s="12" t="s">
        <v>13</v>
      </c>
      <c r="E6" s="12" t="s">
        <v>14</v>
      </c>
      <c r="F6" s="12" t="s">
        <v>16</v>
      </c>
      <c r="G6" s="12" t="s">
        <v>18</v>
      </c>
      <c r="H6" s="12" t="s">
        <v>20</v>
      </c>
      <c r="I6" s="12" t="s">
        <v>21</v>
      </c>
      <c r="J6" s="12" t="s">
        <v>22</v>
      </c>
      <c r="K6" s="12" t="s">
        <v>23</v>
      </c>
      <c r="L6" s="12" t="s">
        <v>25</v>
      </c>
      <c r="M6" s="12" t="s">
        <v>26</v>
      </c>
      <c r="N6" s="12" t="s">
        <v>27</v>
      </c>
      <c r="O6" s="12" t="s">
        <v>29</v>
      </c>
      <c r="P6" s="12" t="s">
        <v>30</v>
      </c>
      <c r="Q6" s="12" t="s">
        <v>31</v>
      </c>
      <c r="R6" s="12" t="s">
        <v>32</v>
      </c>
      <c r="S6" s="12" t="s">
        <v>34</v>
      </c>
      <c r="T6" s="12" t="s">
        <v>35</v>
      </c>
      <c r="U6" s="12" t="s">
        <v>36</v>
      </c>
      <c r="V6" s="12" t="s">
        <v>37</v>
      </c>
      <c r="W6" s="12" t="s">
        <v>38</v>
      </c>
      <c r="X6" s="12" t="s">
        <v>39</v>
      </c>
      <c r="Y6" s="12" t="s">
        <v>40</v>
      </c>
      <c r="Z6" s="12" t="s">
        <v>41</v>
      </c>
      <c r="AA6" s="12" t="s">
        <v>42</v>
      </c>
      <c r="AB6" s="12" t="s">
        <v>43</v>
      </c>
      <c r="AC6" s="12" t="s">
        <v>44</v>
      </c>
      <c r="AD6" s="12" t="s">
        <v>45</v>
      </c>
      <c r="AE6" s="12" t="s">
        <v>46</v>
      </c>
      <c r="AF6" s="12" t="s">
        <v>47</v>
      </c>
      <c r="AG6" s="12" t="s">
        <v>48</v>
      </c>
      <c r="AH6" s="13" t="s">
        <v>50</v>
      </c>
    </row>
    <row r="7" spans="1:34" ht="30" customHeight="1" x14ac:dyDescent="0.2">
      <c r="A7" s="4"/>
      <c r="B7" s="19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5">
        <f>COUNTA(אוקטובר[[#This Row],[1]:[31]])</f>
        <v>0</v>
      </c>
    </row>
    <row r="8" spans="1:34" ht="30" customHeight="1" x14ac:dyDescent="0.2">
      <c r="A8" s="4"/>
      <c r="B8" s="19" t="s">
        <v>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5">
        <f>COUNTA(אוקטובר[[#This Row],[1]:[31]])</f>
        <v>0</v>
      </c>
    </row>
    <row r="9" spans="1:34" ht="30" customHeight="1" x14ac:dyDescent="0.2">
      <c r="A9" s="4"/>
      <c r="B9" s="19" t="s">
        <v>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5">
        <f>COUNTA(אוקטובר[[#This Row],[1]:[31]])</f>
        <v>0</v>
      </c>
    </row>
    <row r="10" spans="1:34" ht="30" customHeight="1" x14ac:dyDescent="0.2">
      <c r="A10" s="4"/>
      <c r="B10" s="19" t="s">
        <v>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5">
        <f>COUNTA(אוקטובר[[#This Row],[1]:[31]])</f>
        <v>0</v>
      </c>
    </row>
    <row r="11" spans="1:34" ht="30" customHeight="1" x14ac:dyDescent="0.2">
      <c r="A11" s="4"/>
      <c r="B11" s="19" t="s">
        <v>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5">
        <f>COUNTA(אוקטובר[[#This Row],[1]:[31]])</f>
        <v>0</v>
      </c>
    </row>
    <row r="12" spans="1:34" ht="30" customHeight="1" x14ac:dyDescent="0.2">
      <c r="A12" s="4"/>
      <c r="B12" s="16" t="str">
        <f>"סך הכל "&amp;MonthName</f>
        <v>סך הכל אוקטובר</v>
      </c>
      <c r="C12" s="17">
        <f>SUBTOTAL(103,אוקטובר[1])</f>
        <v>0</v>
      </c>
      <c r="D12" s="17">
        <f>SUBTOTAL(103,אוקטובר[2])</f>
        <v>0</v>
      </c>
      <c r="E12" s="17">
        <f>SUBTOTAL(103,אוקטובר[3])</f>
        <v>0</v>
      </c>
      <c r="F12" s="17">
        <f>SUBTOTAL(103,אוקטובר[4])</f>
        <v>0</v>
      </c>
      <c r="G12" s="17">
        <f>SUBTOTAL(103,אוקטובר[5])</f>
        <v>0</v>
      </c>
      <c r="H12" s="17">
        <f>SUBTOTAL(103,אוקטובר[6])</f>
        <v>0</v>
      </c>
      <c r="I12" s="17">
        <f>SUBTOTAL(103,אוקטובר[7])</f>
        <v>0</v>
      </c>
      <c r="J12" s="17">
        <f>SUBTOTAL(103,אוקטובר[8])</f>
        <v>0</v>
      </c>
      <c r="K12" s="17">
        <f>SUBTOTAL(103,אוקטובר[9])</f>
        <v>0</v>
      </c>
      <c r="L12" s="17">
        <f>SUBTOTAL(103,אוקטובר[10])</f>
        <v>0</v>
      </c>
      <c r="M12" s="17">
        <f>SUBTOTAL(103,אוקטובר[11])</f>
        <v>0</v>
      </c>
      <c r="N12" s="17">
        <f>SUBTOTAL(103,אוקטובר[12])</f>
        <v>0</v>
      </c>
      <c r="O12" s="17">
        <f>SUBTOTAL(103,אוקטובר[13])</f>
        <v>0</v>
      </c>
      <c r="P12" s="17">
        <f>SUBTOTAL(103,אוקטובר[14])</f>
        <v>0</v>
      </c>
      <c r="Q12" s="17">
        <f>SUBTOTAL(103,אוקטובר[15])</f>
        <v>0</v>
      </c>
      <c r="R12" s="17">
        <f>SUBTOTAL(103,אוקטובר[16])</f>
        <v>0</v>
      </c>
      <c r="S12" s="17">
        <f>SUBTOTAL(103,אוקטובר[17])</f>
        <v>0</v>
      </c>
      <c r="T12" s="17">
        <f>SUBTOTAL(103,אוקטובר[18])</f>
        <v>0</v>
      </c>
      <c r="U12" s="17">
        <f>SUBTOTAL(103,אוקטובר[19])</f>
        <v>0</v>
      </c>
      <c r="V12" s="17">
        <f>SUBTOTAL(103,אוקטובר[20])</f>
        <v>0</v>
      </c>
      <c r="W12" s="17">
        <f>SUBTOTAL(103,אוקטובר[21])</f>
        <v>0</v>
      </c>
      <c r="X12" s="17">
        <f>SUBTOTAL(103,אוקטובר[22])</f>
        <v>0</v>
      </c>
      <c r="Y12" s="17">
        <f>SUBTOTAL(103,אוקטובר[23])</f>
        <v>0</v>
      </c>
      <c r="Z12" s="17">
        <f>SUBTOTAL(103,אוקטובר[24])</f>
        <v>0</v>
      </c>
      <c r="AA12" s="17">
        <f>SUBTOTAL(103,אוקטובר[25])</f>
        <v>0</v>
      </c>
      <c r="AB12" s="17">
        <f>SUBTOTAL(103,אוקטובר[26])</f>
        <v>0</v>
      </c>
      <c r="AC12" s="17">
        <f>SUBTOTAL(103,אוקטובר[27])</f>
        <v>0</v>
      </c>
      <c r="AD12" s="17">
        <f>SUBTOTAL(103,אוקטובר[28])</f>
        <v>0</v>
      </c>
      <c r="AE12" s="17">
        <f>SUBTOTAL(103,אוקטובר[29])</f>
        <v>0</v>
      </c>
      <c r="AF12" s="17">
        <f>SUBTOTAL(103,אוקטובר[30])</f>
        <v>0</v>
      </c>
      <c r="AG12" s="17">
        <f>SUBTOTAL(103,אוקטובר[31])</f>
        <v>0</v>
      </c>
      <c r="AH12" s="17">
        <f>SUBTOTAL(109,אוקטובר[סה"כ ימים])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323" priority="2" stopIfTrue="1">
      <formula>C7=KeyCustom2</formula>
    </cfRule>
    <cfRule type="expression" dxfId="322" priority="3" stopIfTrue="1">
      <formula>C7=KeyCustom1</formula>
    </cfRule>
    <cfRule type="expression" dxfId="321" priority="4" stopIfTrue="1">
      <formula>C7=KeySick</formula>
    </cfRule>
    <cfRule type="expression" dxfId="320" priority="5" stopIfTrue="1">
      <formula>C7=KeyPersonal</formula>
    </cfRule>
    <cfRule type="expression" dxfId="319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{F32A08EA-50E8-4B5F-AB1F-5A7739FBC16C}</x14:id>
        </ext>
      </extLst>
    </cfRule>
  </conditionalFormatting>
  <dataValidations count="14">
    <dataValidation allowBlank="1" showInputMessage="1" showErrorMessage="1" prompt="ימות השבוע בשורה זו מתעדכנים באופן אוטומטי עבור החודש, בהתאם לשנה בתא AH4. כל יום בחודש הוא עמודה המשמשת לציון ההיעדרות וסוג ההיעדרות של העובד" sqref="C5" xr:uid="{00000000-0002-0000-0900-000000000000}"/>
    <dataValidation allowBlank="1" showInputMessage="1" showErrorMessage="1" prompt="השנה מתעדכנת באופן אוטומטי בהתבסס על השנה שהוזנה בגליון העבודה 'ינואר'" sqref="AH4" xr:uid="{00000000-0002-0000-0900-000001000000}"/>
    <dataValidation allowBlank="1" showInputMessage="1" showErrorMessage="1" prompt="בעמודה זו מופיע חישוב אוטומטי של מספר ימי ההיעדרויות הכולל של העובד בחודש זה" sqref="AH6" xr:uid="{00000000-0002-0000-0900-000002000000}"/>
    <dataValidation allowBlank="1" showInputMessage="1" showErrorMessage="1" prompt="עקוב אחר ההיעדרויות בחודש אוקטובר בגליון עבודה זה" sqref="A1" xr:uid="{00000000-0002-0000-0900-000003000000}"/>
    <dataValidation errorStyle="warning" allowBlank="1" showInputMessage="1" showErrorMessage="1" error="בחר שם מהרשימה. בחר 'ביטול', הקש ALT+חץ למטה ולאחר מכן הקש ENTER כדי לבחור שם" prompt="הזן את שמות העובדים בגליון העבודה 'שמות העובדים' ולאחר מכן בחר אחד מהשמות הללו ברשימה בעמודה זו. הקש ALT+חץ למטה ולאחר מכן הקש ENTER כדי לבחור שם" sqref="B6" xr:uid="{00000000-0002-0000-0900-000004000000}"/>
    <dataValidation allowBlank="1" showInputMessage="1" showErrorMessage="1" prompt="הכותרת בתא זה מתעדכנת באופן אוטומטי. כדי לשנות את הכותרת, עדכן את תא B1 בגליון העבודה 'ינואר'" sqref="B1" xr:uid="{00000000-0002-0000-0900-000005000000}"/>
    <dataValidation allowBlank="1" showInputMessage="1" showErrorMessage="1" prompt="האות &quot;ח&quot; מציינת היעדרות עקב חופשה" sqref="C2" xr:uid="{00000000-0002-0000-0900-000006000000}"/>
    <dataValidation allowBlank="1" showInputMessage="1" showErrorMessage="1" prompt="האות &quot;א&quot; מציינת היעדרות עקב סיבות אישיות" sqref="G2" xr:uid="{00000000-0002-0000-0900-000007000000}"/>
    <dataValidation allowBlank="1" showInputMessage="1" showErrorMessage="1" prompt="האות &quot;מ&quot; מציינת היעדרות עקב מחלה" sqref="K2" xr:uid="{00000000-0002-0000-0900-000008000000}"/>
    <dataValidation allowBlank="1" showInputMessage="1" showErrorMessage="1" prompt="הזן אות והתאם אישית את התווית בצד שמאל כדי להוסיף פריט מפתח אחר" sqref="N2 R2" xr:uid="{00000000-0002-0000-0900-000009000000}"/>
    <dataValidation allowBlank="1" showInputMessage="1" showErrorMessage="1" prompt="הזן תווית כדי לתאר את המפתח המותאם אישית בצד ימין" sqref="O2:Q2 S2:U2" xr:uid="{00000000-0002-0000-0900-00000A000000}"/>
    <dataValidation allowBlank="1" showInputMessage="1" showErrorMessage="1" prompt="שורה זו מגדירה את המפתחות שמופיעים בטבלה: תא C2 מכיל 'חופשה', תא G2 מכיל 'אישי' ותא K2 מכיל 'חופשת מחלה'. תאים N2 ו- R2 ניתנים להתאמה אישית" sqref="B2" xr:uid="{00000000-0002-0000-0900-00000B000000}"/>
    <dataValidation allowBlank="1" showInputMessage="1" showErrorMessage="1" prompt="שם החודש עבור לוח הזמנים לניהול היעדרויות מופיע בתא זה. סה&quot;כ ההיעדרויות בחודש זה מופיע בתא האחרון של הטבלה. בחר את שמות העובדים בעמודה B של הטבלה" sqref="B4" xr:uid="{00000000-0002-0000-0900-00000C000000}"/>
    <dataValidation allowBlank="1" showInputMessage="1" showErrorMessage="1" prompt="הימים בחודש בשורה זו נוצרים באופן אוטומטי. הזן את ההיעדרויות וסוגי ההיעדרויות של העובד בכל עמודה עבור כל יום בחודש. תא ריק מציין שלא היתה היעדרות" sqref="C6" xr:uid="{00000000-0002-0000-0900-00000D000000}"/>
  </dataValidations>
  <printOptions horizontalCentered="1"/>
  <pageMargins left="0.25" right="0.25" top="0.75" bottom="0.75" header="0.3" footer="0.3"/>
  <pageSetup paperSize="9" scale="69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2A08EA-50E8-4B5F-AB1F-5A7739FBC16C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E000000}">
          <x14:formula1>
            <xm:f>'שמות העובדים'!$B$4:$B$8</xm:f>
          </x14:formula1>
          <xm:sqref>B7:B11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 tint="-0.249977111117893"/>
    <pageSetUpPr fitToPage="1"/>
  </sheetPr>
  <dimension ref="A1:AH12"/>
  <sheetViews>
    <sheetView showGridLines="0" rightToLeft="1" zoomScaleNormal="100" workbookViewId="0"/>
  </sheetViews>
  <sheetFormatPr defaultRowHeight="30" customHeight="1" x14ac:dyDescent="0.2"/>
  <cols>
    <col min="1" max="1" width="2.625" style="1" customWidth="1"/>
    <col min="2" max="2" width="25.625" style="1" customWidth="1"/>
    <col min="3" max="33" width="4.875" style="1" customWidth="1"/>
    <col min="34" max="34" width="13.5" style="1" customWidth="1"/>
    <col min="35" max="35" width="2.625" customWidth="1"/>
  </cols>
  <sheetData>
    <row r="1" spans="1:34" ht="50.1" customHeight="1" x14ac:dyDescent="0.2">
      <c r="A1" s="4"/>
      <c r="B1" s="3" t="str">
        <f>Employee_Absence_Title</f>
        <v>לוח זמנים לניהול היעדרות העובדים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5" customHeight="1" x14ac:dyDescent="0.2">
      <c r="A2" s="4"/>
      <c r="B2" s="5" t="s">
        <v>1</v>
      </c>
      <c r="C2" s="6" t="s">
        <v>9</v>
      </c>
      <c r="D2" s="27" t="s">
        <v>12</v>
      </c>
      <c r="E2" s="27"/>
      <c r="F2" s="27"/>
      <c r="G2" s="7" t="s">
        <v>15</v>
      </c>
      <c r="H2" s="27" t="s">
        <v>19</v>
      </c>
      <c r="I2" s="27"/>
      <c r="J2" s="27"/>
      <c r="K2" s="22" t="s">
        <v>17</v>
      </c>
      <c r="L2" s="27" t="s">
        <v>24</v>
      </c>
      <c r="M2" s="27"/>
      <c r="N2" s="23"/>
      <c r="O2" s="27" t="s">
        <v>28</v>
      </c>
      <c r="P2" s="27"/>
      <c r="Q2" s="27"/>
      <c r="R2" s="24"/>
      <c r="S2" s="27" t="s">
        <v>33</v>
      </c>
      <c r="T2" s="27"/>
      <c r="U2" s="27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5" customHeight="1" x14ac:dyDescent="0.2">
      <c r="A3" s="4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30" customHeight="1" x14ac:dyDescent="0.2">
      <c r="A4" s="4"/>
      <c r="B4" s="9" t="s">
        <v>62</v>
      </c>
      <c r="C4" s="26" t="s">
        <v>10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9">
        <f>CalendarYear</f>
        <v>2019</v>
      </c>
    </row>
    <row r="5" spans="1:34" ht="15" customHeight="1" x14ac:dyDescent="0.2">
      <c r="A5" s="4"/>
      <c r="B5" s="9"/>
      <c r="C5" s="10" t="str">
        <f>TEXT(WEEKDAY(DATE(CalendarYear,11,1),1),"aaa")</f>
        <v>יום ו</v>
      </c>
      <c r="D5" s="10" t="str">
        <f>TEXT(WEEKDAY(DATE(CalendarYear,11,2),1),"aaa")</f>
        <v>שבת</v>
      </c>
      <c r="E5" s="10" t="str">
        <f>TEXT(WEEKDAY(DATE(CalendarYear,11,3),1),"aaa")</f>
        <v>יום א</v>
      </c>
      <c r="F5" s="10" t="str">
        <f>TEXT(WEEKDAY(DATE(CalendarYear,11,4),1),"aaa")</f>
        <v>יום ב</v>
      </c>
      <c r="G5" s="10" t="str">
        <f>TEXT(WEEKDAY(DATE(CalendarYear,11,5),1),"aaa")</f>
        <v>יום ג</v>
      </c>
      <c r="H5" s="10" t="str">
        <f>TEXT(WEEKDAY(DATE(CalendarYear,11,6),1),"aaa")</f>
        <v>יום ד</v>
      </c>
      <c r="I5" s="10" t="str">
        <f>TEXT(WEEKDAY(DATE(CalendarYear,11,7),1),"aaa")</f>
        <v>יום ה</v>
      </c>
      <c r="J5" s="10" t="str">
        <f>TEXT(WEEKDAY(DATE(CalendarYear,11,8),1),"aaa")</f>
        <v>יום ו</v>
      </c>
      <c r="K5" s="10" t="str">
        <f>TEXT(WEEKDAY(DATE(CalendarYear,11,9),1),"aaa")</f>
        <v>שבת</v>
      </c>
      <c r="L5" s="10" t="str">
        <f>TEXT(WEEKDAY(DATE(CalendarYear,11,10),1),"aaa")</f>
        <v>יום א</v>
      </c>
      <c r="M5" s="10" t="str">
        <f>TEXT(WEEKDAY(DATE(CalendarYear,11,11),1),"aaa")</f>
        <v>יום ב</v>
      </c>
      <c r="N5" s="10" t="str">
        <f>TEXT(WEEKDAY(DATE(CalendarYear,11,12),1),"aaa")</f>
        <v>יום ג</v>
      </c>
      <c r="O5" s="10" t="str">
        <f>TEXT(WEEKDAY(DATE(CalendarYear,11,13),1),"aaa")</f>
        <v>יום ד</v>
      </c>
      <c r="P5" s="10" t="str">
        <f>TEXT(WEEKDAY(DATE(CalendarYear,11,14),1),"aaa")</f>
        <v>יום ה</v>
      </c>
      <c r="Q5" s="10" t="str">
        <f>TEXT(WEEKDAY(DATE(CalendarYear,11,15),1),"aaa")</f>
        <v>יום ו</v>
      </c>
      <c r="R5" s="10" t="str">
        <f>TEXT(WEEKDAY(DATE(CalendarYear,11,16),1),"aaa")</f>
        <v>שבת</v>
      </c>
      <c r="S5" s="10" t="str">
        <f>TEXT(WEEKDAY(DATE(CalendarYear,11,17),1),"aaa")</f>
        <v>יום א</v>
      </c>
      <c r="T5" s="10" t="str">
        <f>TEXT(WEEKDAY(DATE(CalendarYear,11,18),1),"aaa")</f>
        <v>יום ב</v>
      </c>
      <c r="U5" s="10" t="str">
        <f>TEXT(WEEKDAY(DATE(CalendarYear,11,19),1),"aaa")</f>
        <v>יום ג</v>
      </c>
      <c r="V5" s="10" t="str">
        <f>TEXT(WEEKDAY(DATE(CalendarYear,11,20),1),"aaa")</f>
        <v>יום ד</v>
      </c>
      <c r="W5" s="10" t="str">
        <f>TEXT(WEEKDAY(DATE(CalendarYear,11,21),1),"aaa")</f>
        <v>יום ה</v>
      </c>
      <c r="X5" s="10" t="str">
        <f>TEXT(WEEKDAY(DATE(CalendarYear,11,22),1),"aaa")</f>
        <v>יום ו</v>
      </c>
      <c r="Y5" s="10" t="str">
        <f>TEXT(WEEKDAY(DATE(CalendarYear,11,23),1),"aaa")</f>
        <v>שבת</v>
      </c>
      <c r="Z5" s="10" t="str">
        <f>TEXT(WEEKDAY(DATE(CalendarYear,11,24),1),"aaa")</f>
        <v>יום א</v>
      </c>
      <c r="AA5" s="10" t="str">
        <f>TEXT(WEEKDAY(DATE(CalendarYear,11,25),1),"aaa")</f>
        <v>יום ב</v>
      </c>
      <c r="AB5" s="10" t="str">
        <f>TEXT(WEEKDAY(DATE(CalendarYear,11,26),1),"aaa")</f>
        <v>יום ג</v>
      </c>
      <c r="AC5" s="10" t="str">
        <f>TEXT(WEEKDAY(DATE(CalendarYear,11,27),1),"aaa")</f>
        <v>יום ד</v>
      </c>
      <c r="AD5" s="10" t="str">
        <f>TEXT(WEEKDAY(DATE(CalendarYear,11,28),1),"aaa")</f>
        <v>יום ה</v>
      </c>
      <c r="AE5" s="10" t="str">
        <f>TEXT(WEEKDAY(DATE(CalendarYear,11,29),1),"aaa")</f>
        <v>יום ו</v>
      </c>
      <c r="AF5" s="10" t="str">
        <f>TEXT(WEEKDAY(DATE(CalendarYear,11,30),1),"aaa")</f>
        <v>שבת</v>
      </c>
      <c r="AG5" s="10"/>
      <c r="AH5" s="9"/>
    </row>
    <row r="6" spans="1:34" ht="15" customHeight="1" x14ac:dyDescent="0.2">
      <c r="A6" s="4"/>
      <c r="B6" s="11" t="s">
        <v>3</v>
      </c>
      <c r="C6" s="12" t="s">
        <v>11</v>
      </c>
      <c r="D6" s="12" t="s">
        <v>13</v>
      </c>
      <c r="E6" s="12" t="s">
        <v>14</v>
      </c>
      <c r="F6" s="12" t="s">
        <v>16</v>
      </c>
      <c r="G6" s="12" t="s">
        <v>18</v>
      </c>
      <c r="H6" s="12" t="s">
        <v>20</v>
      </c>
      <c r="I6" s="12" t="s">
        <v>21</v>
      </c>
      <c r="J6" s="12" t="s">
        <v>22</v>
      </c>
      <c r="K6" s="12" t="s">
        <v>23</v>
      </c>
      <c r="L6" s="12" t="s">
        <v>25</v>
      </c>
      <c r="M6" s="12" t="s">
        <v>26</v>
      </c>
      <c r="N6" s="12" t="s">
        <v>27</v>
      </c>
      <c r="O6" s="12" t="s">
        <v>29</v>
      </c>
      <c r="P6" s="12" t="s">
        <v>30</v>
      </c>
      <c r="Q6" s="12" t="s">
        <v>31</v>
      </c>
      <c r="R6" s="12" t="s">
        <v>32</v>
      </c>
      <c r="S6" s="12" t="s">
        <v>34</v>
      </c>
      <c r="T6" s="12" t="s">
        <v>35</v>
      </c>
      <c r="U6" s="12" t="s">
        <v>36</v>
      </c>
      <c r="V6" s="12" t="s">
        <v>37</v>
      </c>
      <c r="W6" s="12" t="s">
        <v>38</v>
      </c>
      <c r="X6" s="12" t="s">
        <v>39</v>
      </c>
      <c r="Y6" s="12" t="s">
        <v>40</v>
      </c>
      <c r="Z6" s="12" t="s">
        <v>41</v>
      </c>
      <c r="AA6" s="12" t="s">
        <v>42</v>
      </c>
      <c r="AB6" s="12" t="s">
        <v>43</v>
      </c>
      <c r="AC6" s="12" t="s">
        <v>44</v>
      </c>
      <c r="AD6" s="12" t="s">
        <v>45</v>
      </c>
      <c r="AE6" s="12" t="s">
        <v>46</v>
      </c>
      <c r="AF6" s="12" t="s">
        <v>47</v>
      </c>
      <c r="AG6" s="12" t="s">
        <v>52</v>
      </c>
      <c r="AH6" s="13" t="s">
        <v>50</v>
      </c>
    </row>
    <row r="7" spans="1:34" ht="30" customHeight="1" x14ac:dyDescent="0.2">
      <c r="A7" s="4"/>
      <c r="B7" s="19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5">
        <f>COUNTA(נובמבר[[#This Row],[1]:[30]])</f>
        <v>0</v>
      </c>
    </row>
    <row r="8" spans="1:34" ht="30" customHeight="1" x14ac:dyDescent="0.2">
      <c r="A8" s="4"/>
      <c r="B8" s="19" t="s">
        <v>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5">
        <f>COUNTA(נובמבר[[#This Row],[1]:[30]])</f>
        <v>0</v>
      </c>
    </row>
    <row r="9" spans="1:34" ht="30" customHeight="1" x14ac:dyDescent="0.2">
      <c r="A9" s="4"/>
      <c r="B9" s="19" t="s">
        <v>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5">
        <f>COUNTA(נובמבר[[#This Row],[1]:[30]])</f>
        <v>0</v>
      </c>
    </row>
    <row r="10" spans="1:34" ht="30" customHeight="1" x14ac:dyDescent="0.2">
      <c r="A10" s="4"/>
      <c r="B10" s="19" t="s">
        <v>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5">
        <f>COUNTA(נובמבר[[#This Row],[1]:[30]])</f>
        <v>0</v>
      </c>
    </row>
    <row r="11" spans="1:34" ht="30" customHeight="1" x14ac:dyDescent="0.2">
      <c r="A11" s="4"/>
      <c r="B11" s="19" t="s">
        <v>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5">
        <f>COUNTA(נובמבר[[#This Row],[1]:[30]])</f>
        <v>0</v>
      </c>
    </row>
    <row r="12" spans="1:34" ht="30" customHeight="1" x14ac:dyDescent="0.2">
      <c r="A12" s="4"/>
      <c r="B12" s="16" t="str">
        <f>"סך הכל "&amp;MonthName</f>
        <v>סך הכל נובמבר</v>
      </c>
      <c r="C12" s="17">
        <f>SUBTOTAL(103,נובמבר[1])</f>
        <v>0</v>
      </c>
      <c r="D12" s="17">
        <f>SUBTOTAL(103,נובמבר[2])</f>
        <v>0</v>
      </c>
      <c r="E12" s="17">
        <f>SUBTOTAL(103,נובמבר[3])</f>
        <v>0</v>
      </c>
      <c r="F12" s="17">
        <f>SUBTOTAL(103,נובמבר[4])</f>
        <v>0</v>
      </c>
      <c r="G12" s="17">
        <f>SUBTOTAL(103,נובמבר[5])</f>
        <v>0</v>
      </c>
      <c r="H12" s="17">
        <f>SUBTOTAL(103,נובמבר[6])</f>
        <v>0</v>
      </c>
      <c r="I12" s="17">
        <f>SUBTOTAL(103,נובמבר[7])</f>
        <v>0</v>
      </c>
      <c r="J12" s="17">
        <f>SUBTOTAL(103,נובמבר[8])</f>
        <v>0</v>
      </c>
      <c r="K12" s="17">
        <f>SUBTOTAL(103,נובמבר[9])</f>
        <v>0</v>
      </c>
      <c r="L12" s="17">
        <f>SUBTOTAL(103,נובמבר[10])</f>
        <v>0</v>
      </c>
      <c r="M12" s="17">
        <f>SUBTOTAL(103,נובמבר[11])</f>
        <v>0</v>
      </c>
      <c r="N12" s="17">
        <f>SUBTOTAL(103,נובמבר[12])</f>
        <v>0</v>
      </c>
      <c r="O12" s="17">
        <f>SUBTOTAL(103,נובמבר[13])</f>
        <v>0</v>
      </c>
      <c r="P12" s="17">
        <f>SUBTOTAL(103,נובמבר[14])</f>
        <v>0</v>
      </c>
      <c r="Q12" s="17">
        <f>SUBTOTAL(103,נובמבר[15])</f>
        <v>0</v>
      </c>
      <c r="R12" s="17">
        <f>SUBTOTAL(103,נובמבר[16])</f>
        <v>0</v>
      </c>
      <c r="S12" s="17">
        <f>SUBTOTAL(103,נובמבר[17])</f>
        <v>0</v>
      </c>
      <c r="T12" s="17">
        <f>SUBTOTAL(103,נובמבר[18])</f>
        <v>0</v>
      </c>
      <c r="U12" s="17">
        <f>SUBTOTAL(103,נובמבר[19])</f>
        <v>0</v>
      </c>
      <c r="V12" s="17">
        <f>SUBTOTAL(103,נובמבר[20])</f>
        <v>0</v>
      </c>
      <c r="W12" s="17">
        <f>SUBTOTAL(103,נובמבר[21])</f>
        <v>0</v>
      </c>
      <c r="X12" s="17">
        <f>SUBTOTAL(103,נובמבר[22])</f>
        <v>0</v>
      </c>
      <c r="Y12" s="17">
        <f>SUBTOTAL(103,נובמבר[23])</f>
        <v>0</v>
      </c>
      <c r="Z12" s="17">
        <f>SUBTOTAL(103,נובמבר[24])</f>
        <v>0</v>
      </c>
      <c r="AA12" s="17">
        <f>SUBTOTAL(103,נובמבר[25])</f>
        <v>0</v>
      </c>
      <c r="AB12" s="17">
        <f>SUBTOTAL(103,נובמבר[26])</f>
        <v>0</v>
      </c>
      <c r="AC12" s="17">
        <f>SUBTOTAL(103,נובמבר[27])</f>
        <v>0</v>
      </c>
      <c r="AD12" s="17">
        <f>SUBTOTAL(103,נובמבר[28])</f>
        <v>0</v>
      </c>
      <c r="AE12" s="17">
        <f>SUBTOTAL(103,נובמבר[29])</f>
        <v>0</v>
      </c>
      <c r="AF12" s="17">
        <f>SUBTOTAL(103,נובמבר[30])</f>
        <v>0</v>
      </c>
      <c r="AG12" s="17">
        <f>SUBTOTAL(103,נובמבר[[ ]])</f>
        <v>0</v>
      </c>
      <c r="AH12" s="17">
        <f>SUBTOTAL(109,נובמבר[סה"כ ימים])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249" priority="2" stopIfTrue="1">
      <formula>C7=KeyCustom2</formula>
    </cfRule>
    <cfRule type="expression" dxfId="248" priority="3" stopIfTrue="1">
      <formula>C7=KeyCustom1</formula>
    </cfRule>
    <cfRule type="expression" dxfId="247" priority="4" stopIfTrue="1">
      <formula>C7=KeySick</formula>
    </cfRule>
    <cfRule type="expression" dxfId="246" priority="5" stopIfTrue="1">
      <formula>C7=KeyPersonal</formula>
    </cfRule>
    <cfRule type="expression" dxfId="245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{27D92E49-5CF1-46DF-AD7A-3A5E92F274F3}</x14:id>
        </ext>
      </extLst>
    </cfRule>
  </conditionalFormatting>
  <dataValidations count="14">
    <dataValidation allowBlank="1" showInputMessage="1" showErrorMessage="1" prompt="הימים בחודש בשורה זו נוצרים באופן אוטומטי. הזן את ההיעדרויות וסוגי ההיעדרויות של העובד בכל עמודה עבור כל יום בחודש. תא ריק מציין שלא היתה היעדרות" sqref="C6" xr:uid="{00000000-0002-0000-0A00-000000000000}"/>
    <dataValidation allowBlank="1" showInputMessage="1" showErrorMessage="1" prompt="שם החודש עבור לוח הזמנים לניהול היעדרויות מופיע בתא זה. סה&quot;כ ההיעדרויות בחודש זה מופיע בתא האחרון של הטבלה. בחר את שמות העובדים בעמודה B של הטבלה" sqref="B4" xr:uid="{00000000-0002-0000-0A00-000001000000}"/>
    <dataValidation allowBlank="1" showInputMessage="1" showErrorMessage="1" prompt="שורה זו מגדירה את המפתחות שמופיעים בטבלה: תא C2 מכיל 'חופשה', תא G2 מכיל 'אישי' ותא K2 מכיל 'חופשת מחלה'. תאים N2 ו- R2 ניתנים להתאמה אישית" sqref="B2" xr:uid="{00000000-0002-0000-0A00-000002000000}"/>
    <dataValidation allowBlank="1" showInputMessage="1" showErrorMessage="1" prompt="הזן תווית כדי לתאר את המפתח המותאם אישית בצד ימין" sqref="O2:Q2 S2:U2" xr:uid="{00000000-0002-0000-0A00-000003000000}"/>
    <dataValidation allowBlank="1" showInputMessage="1" showErrorMessage="1" prompt="הזן אות והתאם אישית את התווית בצד שמאל כדי להוסיף פריט מפתח אחר" sqref="N2 R2" xr:uid="{00000000-0002-0000-0A00-000004000000}"/>
    <dataValidation allowBlank="1" showInputMessage="1" showErrorMessage="1" prompt="האות &quot;מ&quot; מציינת היעדרות עקב מחלה" sqref="K2" xr:uid="{00000000-0002-0000-0A00-000005000000}"/>
    <dataValidation allowBlank="1" showInputMessage="1" showErrorMessage="1" prompt="האות &quot;א&quot; מציינת היעדרות עקב סיבות אישיות" sqref="G2" xr:uid="{00000000-0002-0000-0A00-000006000000}"/>
    <dataValidation allowBlank="1" showInputMessage="1" showErrorMessage="1" prompt="האות &quot;ח&quot; מציינת היעדרות עקב חופשה" sqref="C2" xr:uid="{00000000-0002-0000-0A00-000007000000}"/>
    <dataValidation allowBlank="1" showInputMessage="1" showErrorMessage="1" prompt="הכותרת בתא זה מתעדכנת באופן אוטומטי. כדי לשנות את הכותרת, עדכן את תא B1 בגליון העבודה 'ינואר'" sqref="B1" xr:uid="{00000000-0002-0000-0A00-000008000000}"/>
    <dataValidation errorStyle="warning" allowBlank="1" showInputMessage="1" showErrorMessage="1" error="בחר שם מהרשימה. בחר 'ביטול', הקש ALT+חץ למטה ולאחר מכן הקש ENTER כדי לבחור שם" prompt="הזן את שמות העובדים בגליון העבודה 'שמות העובדים' ולאחר מכן בחר אחד מהשמות הללו ברשימה בעמודה זו. הקש ALT+חץ למטה ולאחר מכן הקש ENTER כדי לבחור שם" sqref="B6" xr:uid="{00000000-0002-0000-0A00-000009000000}"/>
    <dataValidation allowBlank="1" showInputMessage="1" showErrorMessage="1" prompt="עקוב אחר ההיעדרויות בחודש נובמבר בגליון עבודה זה" sqref="A1" xr:uid="{00000000-0002-0000-0A00-00000A000000}"/>
    <dataValidation allowBlank="1" showInputMessage="1" showErrorMessage="1" prompt="בעמודה זו מופיע חישוב אוטומטי של מספר ימי ההיעדרויות הכולל של העובד בחודש זה" sqref="AH6" xr:uid="{00000000-0002-0000-0A00-00000B000000}"/>
    <dataValidation allowBlank="1" showInputMessage="1" showErrorMessage="1" prompt="השנה מתעדכנת באופן אוטומטי בהתבסס על השנה שהוזנה בגליון העבודה 'ינואר'" sqref="AH4" xr:uid="{00000000-0002-0000-0A00-00000C000000}"/>
    <dataValidation allowBlank="1" showInputMessage="1" showErrorMessage="1" prompt="ימות השבוע בשורה זו מתעדכנים באופן אוטומטי עבור החודש, בהתאם לשנה בתא AH4. כל יום בחודש הוא עמודה המשמשת לציון ההיעדרות וסוג ההיעדרות של העובד" sqref="C5" xr:uid="{00000000-0002-0000-0A00-00000D000000}"/>
  </dataValidations>
  <printOptions horizontalCentered="1"/>
  <pageMargins left="0.25" right="0.25" top="0.75" bottom="0.75" header="0.3" footer="0.3"/>
  <pageSetup paperSize="9" scale="69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D92E49-5CF1-46DF-AD7A-3A5E92F274F3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E000000}">
          <x14:formula1>
            <xm:f>'שמות העובדים'!$B$4:$B$8</xm:f>
          </x14:formula1>
          <xm:sqref>B7:B11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79998168889431442"/>
    <pageSetUpPr fitToPage="1"/>
  </sheetPr>
  <dimension ref="A1:AH12"/>
  <sheetViews>
    <sheetView showGridLines="0" rightToLeft="1" zoomScaleNormal="100" workbookViewId="0"/>
  </sheetViews>
  <sheetFormatPr defaultRowHeight="30" customHeight="1" x14ac:dyDescent="0.2"/>
  <cols>
    <col min="1" max="1" width="2.625" style="1" customWidth="1"/>
    <col min="2" max="2" width="25.625" style="1" customWidth="1"/>
    <col min="3" max="33" width="4.875" style="1" customWidth="1"/>
    <col min="34" max="34" width="13.5" style="1" customWidth="1"/>
    <col min="35" max="35" width="2.625" customWidth="1"/>
  </cols>
  <sheetData>
    <row r="1" spans="1:34" ht="50.1" customHeight="1" x14ac:dyDescent="0.2">
      <c r="A1" s="4"/>
      <c r="B1" s="3" t="str">
        <f>Employee_Absence_Title</f>
        <v>לוח זמנים לניהול היעדרות העובדים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5" customHeight="1" x14ac:dyDescent="0.2">
      <c r="A2" s="4"/>
      <c r="B2" s="5" t="s">
        <v>1</v>
      </c>
      <c r="C2" s="6" t="s">
        <v>9</v>
      </c>
      <c r="D2" s="27" t="s">
        <v>12</v>
      </c>
      <c r="E2" s="27"/>
      <c r="F2" s="27"/>
      <c r="G2" s="7" t="s">
        <v>15</v>
      </c>
      <c r="H2" s="27" t="s">
        <v>19</v>
      </c>
      <c r="I2" s="27"/>
      <c r="J2" s="27"/>
      <c r="K2" s="22" t="s">
        <v>17</v>
      </c>
      <c r="L2" s="27" t="s">
        <v>24</v>
      </c>
      <c r="M2" s="27"/>
      <c r="N2" s="23"/>
      <c r="O2" s="27" t="s">
        <v>28</v>
      </c>
      <c r="P2" s="27"/>
      <c r="Q2" s="27"/>
      <c r="R2" s="24"/>
      <c r="S2" s="27" t="s">
        <v>33</v>
      </c>
      <c r="T2" s="27"/>
      <c r="U2" s="27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5" customHeight="1" x14ac:dyDescent="0.2">
      <c r="A3" s="4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30" customHeight="1" x14ac:dyDescent="0.2">
      <c r="A4" s="4"/>
      <c r="B4" s="9" t="s">
        <v>63</v>
      </c>
      <c r="C4" s="26" t="s">
        <v>10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9">
        <f>CalendarYear</f>
        <v>2019</v>
      </c>
    </row>
    <row r="5" spans="1:34" ht="15" customHeight="1" x14ac:dyDescent="0.2">
      <c r="A5" s="4"/>
      <c r="B5" s="9"/>
      <c r="C5" s="10" t="str">
        <f>TEXT(WEEKDAY(DATE(CalendarYear,12,1),1),"aaa")</f>
        <v>יום א</v>
      </c>
      <c r="D5" s="10" t="str">
        <f>TEXT(WEEKDAY(DATE(CalendarYear,12,2),1),"aaa")</f>
        <v>יום ב</v>
      </c>
      <c r="E5" s="10" t="str">
        <f>TEXT(WEEKDAY(DATE(CalendarYear,12,3),1),"aaa")</f>
        <v>יום ג</v>
      </c>
      <c r="F5" s="10" t="str">
        <f>TEXT(WEEKDAY(DATE(CalendarYear,12,4),1),"aaa")</f>
        <v>יום ד</v>
      </c>
      <c r="G5" s="10" t="str">
        <f>TEXT(WEEKDAY(DATE(CalendarYear,12,5),1),"aaa")</f>
        <v>יום ה</v>
      </c>
      <c r="H5" s="10" t="str">
        <f>TEXT(WEEKDAY(DATE(CalendarYear,12,6),1),"aaa")</f>
        <v>יום ו</v>
      </c>
      <c r="I5" s="10" t="str">
        <f>TEXT(WEEKDAY(DATE(CalendarYear,12,7),1),"aaa")</f>
        <v>שבת</v>
      </c>
      <c r="J5" s="10" t="str">
        <f>TEXT(WEEKDAY(DATE(CalendarYear,12,8),1),"aaa")</f>
        <v>יום א</v>
      </c>
      <c r="K5" s="10" t="str">
        <f>TEXT(WEEKDAY(DATE(CalendarYear,12,9),1),"aaa")</f>
        <v>יום ב</v>
      </c>
      <c r="L5" s="10" t="str">
        <f>TEXT(WEEKDAY(DATE(CalendarYear,12,10),1),"aaa")</f>
        <v>יום ג</v>
      </c>
      <c r="M5" s="10" t="str">
        <f>TEXT(WEEKDAY(DATE(CalendarYear,12,11),1),"aaa")</f>
        <v>יום ד</v>
      </c>
      <c r="N5" s="10" t="str">
        <f>TEXT(WEEKDAY(DATE(CalendarYear,12,12),1),"aaa")</f>
        <v>יום ה</v>
      </c>
      <c r="O5" s="10" t="str">
        <f>TEXT(WEEKDAY(DATE(CalendarYear,12,13),1),"aaa")</f>
        <v>יום ו</v>
      </c>
      <c r="P5" s="10" t="str">
        <f>TEXT(WEEKDAY(DATE(CalendarYear,12,14),1),"aaa")</f>
        <v>שבת</v>
      </c>
      <c r="Q5" s="10" t="str">
        <f>TEXT(WEEKDAY(DATE(CalendarYear,12,15),1),"aaa")</f>
        <v>יום א</v>
      </c>
      <c r="R5" s="10" t="str">
        <f>TEXT(WEEKDAY(DATE(CalendarYear,12,16),1),"aaa")</f>
        <v>יום ב</v>
      </c>
      <c r="S5" s="10" t="str">
        <f>TEXT(WEEKDAY(DATE(CalendarYear,12,17),1),"aaa")</f>
        <v>יום ג</v>
      </c>
      <c r="T5" s="10" t="str">
        <f>TEXT(WEEKDAY(DATE(CalendarYear,12,18),1),"aaa")</f>
        <v>יום ד</v>
      </c>
      <c r="U5" s="10" t="str">
        <f>TEXT(WEEKDAY(DATE(CalendarYear,12,19),1),"aaa")</f>
        <v>יום ה</v>
      </c>
      <c r="V5" s="10" t="str">
        <f>TEXT(WEEKDAY(DATE(CalendarYear,12,20),1),"aaa")</f>
        <v>יום ו</v>
      </c>
      <c r="W5" s="10" t="str">
        <f>TEXT(WEEKDAY(DATE(CalendarYear,12,21),1),"aaa")</f>
        <v>שבת</v>
      </c>
      <c r="X5" s="10" t="str">
        <f>TEXT(WEEKDAY(DATE(CalendarYear,12,22),1),"aaa")</f>
        <v>יום א</v>
      </c>
      <c r="Y5" s="10" t="str">
        <f>TEXT(WEEKDAY(DATE(CalendarYear,12,23),1),"aaa")</f>
        <v>יום ב</v>
      </c>
      <c r="Z5" s="10" t="str">
        <f>TEXT(WEEKDAY(DATE(CalendarYear,12,24),1),"aaa")</f>
        <v>יום ג</v>
      </c>
      <c r="AA5" s="10" t="str">
        <f>TEXT(WEEKDAY(DATE(CalendarYear,12,25),1),"aaa")</f>
        <v>יום ד</v>
      </c>
      <c r="AB5" s="10" t="str">
        <f>TEXT(WEEKDAY(DATE(CalendarYear,12,26),1),"aaa")</f>
        <v>יום ה</v>
      </c>
      <c r="AC5" s="10" t="str">
        <f>TEXT(WEEKDAY(DATE(CalendarYear,12,27),1),"aaa")</f>
        <v>יום ו</v>
      </c>
      <c r="AD5" s="10" t="str">
        <f>TEXT(WEEKDAY(DATE(CalendarYear,12,28),1),"aaa")</f>
        <v>שבת</v>
      </c>
      <c r="AE5" s="10" t="str">
        <f>TEXT(WEEKDAY(DATE(CalendarYear,12,29),1),"aaa")</f>
        <v>יום א</v>
      </c>
      <c r="AF5" s="10" t="str">
        <f>TEXT(WEEKDAY(DATE(CalendarYear,12,30),1),"aaa")</f>
        <v>יום ב</v>
      </c>
      <c r="AG5" s="10" t="str">
        <f>TEXT(WEEKDAY(DATE(CalendarYear,12,31),1),"aaa")</f>
        <v>יום ג</v>
      </c>
      <c r="AH5" s="9"/>
    </row>
    <row r="6" spans="1:34" ht="15" customHeight="1" x14ac:dyDescent="0.2">
      <c r="A6" s="4"/>
      <c r="B6" s="11" t="s">
        <v>3</v>
      </c>
      <c r="C6" s="12" t="s">
        <v>11</v>
      </c>
      <c r="D6" s="12" t="s">
        <v>13</v>
      </c>
      <c r="E6" s="12" t="s">
        <v>14</v>
      </c>
      <c r="F6" s="12" t="s">
        <v>16</v>
      </c>
      <c r="G6" s="12" t="s">
        <v>18</v>
      </c>
      <c r="H6" s="12" t="s">
        <v>20</v>
      </c>
      <c r="I6" s="12" t="s">
        <v>21</v>
      </c>
      <c r="J6" s="12" t="s">
        <v>22</v>
      </c>
      <c r="K6" s="12" t="s">
        <v>23</v>
      </c>
      <c r="L6" s="12" t="s">
        <v>25</v>
      </c>
      <c r="M6" s="12" t="s">
        <v>26</v>
      </c>
      <c r="N6" s="12" t="s">
        <v>27</v>
      </c>
      <c r="O6" s="12" t="s">
        <v>29</v>
      </c>
      <c r="P6" s="12" t="s">
        <v>30</v>
      </c>
      <c r="Q6" s="12" t="s">
        <v>31</v>
      </c>
      <c r="R6" s="12" t="s">
        <v>32</v>
      </c>
      <c r="S6" s="12" t="s">
        <v>34</v>
      </c>
      <c r="T6" s="12" t="s">
        <v>35</v>
      </c>
      <c r="U6" s="12" t="s">
        <v>36</v>
      </c>
      <c r="V6" s="12" t="s">
        <v>37</v>
      </c>
      <c r="W6" s="12" t="s">
        <v>38</v>
      </c>
      <c r="X6" s="12" t="s">
        <v>39</v>
      </c>
      <c r="Y6" s="12" t="s">
        <v>40</v>
      </c>
      <c r="Z6" s="12" t="s">
        <v>41</v>
      </c>
      <c r="AA6" s="12" t="s">
        <v>42</v>
      </c>
      <c r="AB6" s="12" t="s">
        <v>43</v>
      </c>
      <c r="AC6" s="12" t="s">
        <v>44</v>
      </c>
      <c r="AD6" s="12" t="s">
        <v>45</v>
      </c>
      <c r="AE6" s="12" t="s">
        <v>46</v>
      </c>
      <c r="AF6" s="12" t="s">
        <v>47</v>
      </c>
      <c r="AG6" s="12" t="s">
        <v>48</v>
      </c>
      <c r="AH6" s="13" t="s">
        <v>50</v>
      </c>
    </row>
    <row r="7" spans="1:34" ht="30" customHeight="1" x14ac:dyDescent="0.2">
      <c r="A7" s="4"/>
      <c r="B7" s="19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5">
        <f>COUNTA(דצמבר[[#This Row],[1]:[31]])</f>
        <v>0</v>
      </c>
    </row>
    <row r="8" spans="1:34" ht="30" customHeight="1" x14ac:dyDescent="0.2">
      <c r="A8" s="4"/>
      <c r="B8" s="19" t="s">
        <v>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5">
        <f>COUNTA(דצמבר[[#This Row],[1]:[31]])</f>
        <v>0</v>
      </c>
    </row>
    <row r="9" spans="1:34" ht="30" customHeight="1" x14ac:dyDescent="0.2">
      <c r="A9" s="4"/>
      <c r="B9" s="19" t="s">
        <v>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5">
        <f>COUNTA(דצמבר[[#This Row],[1]:[31]])</f>
        <v>0</v>
      </c>
    </row>
    <row r="10" spans="1:34" ht="30" customHeight="1" x14ac:dyDescent="0.2">
      <c r="A10" s="4"/>
      <c r="B10" s="19" t="s">
        <v>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5">
        <f>COUNTA(דצמבר[[#This Row],[1]:[31]])</f>
        <v>0</v>
      </c>
    </row>
    <row r="11" spans="1:34" ht="30" customHeight="1" x14ac:dyDescent="0.2">
      <c r="A11" s="4"/>
      <c r="B11" s="19" t="s">
        <v>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5">
        <f>COUNTA(דצמבר[[#This Row],[1]:[31]])</f>
        <v>0</v>
      </c>
    </row>
    <row r="12" spans="1:34" ht="30" customHeight="1" x14ac:dyDescent="0.2">
      <c r="A12" s="4"/>
      <c r="B12" s="16" t="str">
        <f>"סך הכל "&amp;MonthName</f>
        <v>סך הכל דצמבר</v>
      </c>
      <c r="C12" s="17">
        <f>SUBTOTAL(103,דצמבר[1])</f>
        <v>0</v>
      </c>
      <c r="D12" s="17">
        <f>SUBTOTAL(103,דצמבר[2])</f>
        <v>0</v>
      </c>
      <c r="E12" s="17">
        <f>SUBTOTAL(103,דצמבר[3])</f>
        <v>0</v>
      </c>
      <c r="F12" s="17">
        <f>SUBTOTAL(103,דצמבר[4])</f>
        <v>0</v>
      </c>
      <c r="G12" s="17">
        <f>SUBTOTAL(103,דצמבר[5])</f>
        <v>0</v>
      </c>
      <c r="H12" s="17">
        <f>SUBTOTAL(103,דצמבר[6])</f>
        <v>0</v>
      </c>
      <c r="I12" s="17">
        <f>SUBTOTAL(103,דצמבר[7])</f>
        <v>0</v>
      </c>
      <c r="J12" s="17">
        <f>SUBTOTAL(103,דצמבר[8])</f>
        <v>0</v>
      </c>
      <c r="K12" s="17">
        <f>SUBTOTAL(103,דצמבר[9])</f>
        <v>0</v>
      </c>
      <c r="L12" s="17">
        <f>SUBTOTAL(103,דצמבר[10])</f>
        <v>0</v>
      </c>
      <c r="M12" s="17">
        <f>SUBTOTAL(103,דצמבר[11])</f>
        <v>0</v>
      </c>
      <c r="N12" s="17">
        <f>SUBTOTAL(103,דצמבר[12])</f>
        <v>0</v>
      </c>
      <c r="O12" s="17">
        <f>SUBTOTAL(103,דצמבר[13])</f>
        <v>0</v>
      </c>
      <c r="P12" s="17">
        <f>SUBTOTAL(103,דצמבר[14])</f>
        <v>0</v>
      </c>
      <c r="Q12" s="17">
        <f>SUBTOTAL(103,דצמבר[15])</f>
        <v>0</v>
      </c>
      <c r="R12" s="17">
        <f>SUBTOTAL(103,דצמבר[16])</f>
        <v>0</v>
      </c>
      <c r="S12" s="17">
        <f>SUBTOTAL(103,דצמבר[17])</f>
        <v>0</v>
      </c>
      <c r="T12" s="17">
        <f>SUBTOTAL(103,דצמבר[18])</f>
        <v>0</v>
      </c>
      <c r="U12" s="17">
        <f>SUBTOTAL(103,דצמבר[19])</f>
        <v>0</v>
      </c>
      <c r="V12" s="17">
        <f>SUBTOTAL(103,דצמבר[20])</f>
        <v>0</v>
      </c>
      <c r="W12" s="17">
        <f>SUBTOTAL(103,דצמבר[21])</f>
        <v>0</v>
      </c>
      <c r="X12" s="17">
        <f>SUBTOTAL(103,דצמבר[22])</f>
        <v>0</v>
      </c>
      <c r="Y12" s="17">
        <f>SUBTOTAL(103,דצמבר[23])</f>
        <v>0</v>
      </c>
      <c r="Z12" s="17">
        <f>SUBTOTAL(103,דצמבר[24])</f>
        <v>0</v>
      </c>
      <c r="AA12" s="17">
        <f>SUBTOTAL(103,דצמבר[25])</f>
        <v>0</v>
      </c>
      <c r="AB12" s="17">
        <f>SUBTOTAL(103,דצמבר[26])</f>
        <v>0</v>
      </c>
      <c r="AC12" s="17">
        <f>SUBTOTAL(103,דצמבר[27])</f>
        <v>0</v>
      </c>
      <c r="AD12" s="17">
        <f>SUBTOTAL(103,דצמבר[28])</f>
        <v>0</v>
      </c>
      <c r="AE12" s="17">
        <f>SUBTOTAL(103,דצמבר[29])</f>
        <v>0</v>
      </c>
      <c r="AF12" s="17">
        <f>SUBTOTAL(103,דצמבר[30])</f>
        <v>0</v>
      </c>
      <c r="AG12" s="17">
        <f>SUBTOTAL(103,דצמבר[31])</f>
        <v>0</v>
      </c>
      <c r="AH12" s="17">
        <f>SUBTOTAL(109,דצמבר[סה"כ ימים])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208" priority="2" stopIfTrue="1">
      <formula>C7=KeyCustom2</formula>
    </cfRule>
    <cfRule type="expression" dxfId="207" priority="3" stopIfTrue="1">
      <formula>C7=KeyCustom1</formula>
    </cfRule>
    <cfRule type="expression" dxfId="206" priority="4" stopIfTrue="1">
      <formula>C7=KeySick</formula>
    </cfRule>
    <cfRule type="expression" dxfId="205" priority="5" stopIfTrue="1">
      <formula>C7=KeyPersonal</formula>
    </cfRule>
    <cfRule type="expression" dxfId="204" priority="6" stopIfTrue="1">
      <formula>C7=KeyVacation</formula>
    </cfRule>
  </conditionalFormatting>
  <conditionalFormatting sqref="AH7:AH11">
    <cfRule type="dataBar" priority="30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{17586780-365B-4F4C-BBB4-F5991705D361}</x14:id>
        </ext>
      </extLst>
    </cfRule>
  </conditionalFormatting>
  <dataValidations count="14">
    <dataValidation allowBlank="1" showInputMessage="1" showErrorMessage="1" prompt="השנה מתעדכנת באופן אוטומטי בהתבסס על השנה שהוזנה בגליון העבודה 'ינואר'" sqref="AH4" xr:uid="{00000000-0002-0000-0B00-000000000000}"/>
    <dataValidation allowBlank="1" showInputMessage="1" showErrorMessage="1" prompt="בעמודה זו מופיע חישוב אוטומטי של מספר ימי ההיעדרויות הכולל של העובד בחודש זה" sqref="AH6" xr:uid="{00000000-0002-0000-0B00-000001000000}"/>
    <dataValidation allowBlank="1" showInputMessage="1" showErrorMessage="1" prompt="עקוב אחר ההיעדרויות בחודש דצמבר בגליון עבודה זה" sqref="A1" xr:uid="{00000000-0002-0000-0B00-000002000000}"/>
    <dataValidation errorStyle="warning" allowBlank="1" showInputMessage="1" showErrorMessage="1" error="בחר שם מהרשימה. בחר 'ביטול', הקש ALT+חץ למטה ולאחר מכן הקש ENTER כדי לבחור שם" prompt="הזן את שמות העובדים בגליון העבודה 'שמות העובדים' ולאחר מכן בחר אחד מהשמות הללו ברשימה בעמודה זו. הקש ALT+חץ למטה ולאחר מכן הקש ENTER כדי לבחור שם" sqref="B6" xr:uid="{00000000-0002-0000-0B00-000003000000}"/>
    <dataValidation allowBlank="1" showInputMessage="1" showErrorMessage="1" prompt="הכותרת בתא זה מתעדכנת באופן אוטומטי. כדי לשנות את הכותרת, עדכן את תא B1 בגליון העבודה 'ינואר'" sqref="B1" xr:uid="{00000000-0002-0000-0B00-000004000000}"/>
    <dataValidation allowBlank="1" showInputMessage="1" showErrorMessage="1" prompt="האות &quot;ח&quot; מציינת היעדרות עקב חופשה" sqref="C2" xr:uid="{00000000-0002-0000-0B00-000005000000}"/>
    <dataValidation allowBlank="1" showInputMessage="1" showErrorMessage="1" prompt="האות &quot;א&quot; מציינת היעדרות עקב סיבות אישיות" sqref="G2" xr:uid="{00000000-0002-0000-0B00-000006000000}"/>
    <dataValidation allowBlank="1" showInputMessage="1" showErrorMessage="1" prompt="האות &quot;מ&quot; מציינת היעדרות עקב מחלה" sqref="K2" xr:uid="{00000000-0002-0000-0B00-000007000000}"/>
    <dataValidation allowBlank="1" showInputMessage="1" showErrorMessage="1" prompt="הזן אות והתאם אישית את התווית בצד שמאל כדי להוסיף פריט מפתח אחר" sqref="N2 R2" xr:uid="{00000000-0002-0000-0B00-000008000000}"/>
    <dataValidation allowBlank="1" showInputMessage="1" showErrorMessage="1" prompt="הזן תווית כדי לתאר את המפתח המותאם אישית בצד ימין" sqref="O2:Q2 S2:U2" xr:uid="{00000000-0002-0000-0B00-000009000000}"/>
    <dataValidation allowBlank="1" showInputMessage="1" showErrorMessage="1" prompt="שורה זו מגדירה את המפתחות שמופיעים בטבלה: תא C2 מכיל 'חופשה', תא G2 מכיל 'אישי' ותא K2 מכיל 'חופשת מחלה'. תאים N2 ו- R2 ניתנים להתאמה אישית" sqref="B2" xr:uid="{00000000-0002-0000-0B00-00000A000000}"/>
    <dataValidation allowBlank="1" showInputMessage="1" showErrorMessage="1" prompt="שם החודש עבור לוח הזמנים לניהול היעדרויות מופיע בתא זה. סה&quot;כ ההיעדרויות בחודש זה מופיע בתא האחרון של הטבלה. בחר את שמות העובדים בעמודה B של הטבלה" sqref="B4" xr:uid="{00000000-0002-0000-0B00-00000B000000}"/>
    <dataValidation allowBlank="1" showInputMessage="1" showErrorMessage="1" prompt="ימות השבוע בשורה זו מתעדכנים באופן אוטומטי עבור החודש, בהתאם לשנה בתא AH4. כל יום בחודש הוא עמודה המשמשת לציון ההיעדרות וסוג ההיעדרות של העובד" sqref="C5" xr:uid="{00000000-0002-0000-0B00-00000C000000}"/>
    <dataValidation allowBlank="1" showInputMessage="1" showErrorMessage="1" prompt="הימים בחודש בשורה זו נוצרים באופן אוטומטי. הזן את ההיעדרויות וסוגי ההיעדרויות של העובד בכל עמודה עבור כל יום בחודש. תא ריק מציין שלא היתה היעדרות" sqref="C6" xr:uid="{00000000-0002-0000-0B00-00000D000000}"/>
  </dataValidations>
  <printOptions horizontalCentered="1"/>
  <pageMargins left="0.25" right="0.25" top="0.75" bottom="0.75" header="0.3" footer="0.3"/>
  <pageSetup paperSize="9" scale="69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586780-365B-4F4C-BBB4-F5991705D361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E000000}">
          <x14:formula1>
            <xm:f>'שמות העובדים'!$B$4:$B$8</xm:f>
          </x14:formula1>
          <xm:sqref>B7:B11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/>
  </sheetPr>
  <dimension ref="A1:B8"/>
  <sheetViews>
    <sheetView showGridLines="0" rightToLeft="1" workbookViewId="0"/>
  </sheetViews>
  <sheetFormatPr defaultRowHeight="30" customHeight="1" x14ac:dyDescent="0.2"/>
  <cols>
    <col min="1" max="1" width="2.625" customWidth="1"/>
    <col min="2" max="2" width="30.625" customWidth="1"/>
    <col min="3" max="3" width="2.625" customWidth="1"/>
  </cols>
  <sheetData>
    <row r="1" spans="1:2" ht="50.1" customHeight="1" x14ac:dyDescent="0.2">
      <c r="A1" s="18"/>
      <c r="B1" s="20" t="s">
        <v>64</v>
      </c>
    </row>
    <row r="2" spans="1:2" ht="15" customHeight="1" x14ac:dyDescent="0.2">
      <c r="A2" s="18"/>
      <c r="B2" s="18"/>
    </row>
    <row r="3" spans="1:2" ht="30" customHeight="1" x14ac:dyDescent="0.2">
      <c r="A3" s="18"/>
      <c r="B3" s="18" t="s">
        <v>64</v>
      </c>
    </row>
    <row r="4" spans="1:2" ht="30" customHeight="1" x14ac:dyDescent="0.2">
      <c r="A4" s="18"/>
      <c r="B4" s="21" t="s">
        <v>4</v>
      </c>
    </row>
    <row r="5" spans="1:2" ht="30" customHeight="1" x14ac:dyDescent="0.2">
      <c r="A5" s="18"/>
      <c r="B5" s="21" t="s">
        <v>5</v>
      </c>
    </row>
    <row r="6" spans="1:2" ht="30" customHeight="1" x14ac:dyDescent="0.2">
      <c r="A6" s="18"/>
      <c r="B6" s="21" t="s">
        <v>6</v>
      </c>
    </row>
    <row r="7" spans="1:2" ht="30" customHeight="1" x14ac:dyDescent="0.2">
      <c r="A7" s="18"/>
      <c r="B7" s="21" t="s">
        <v>7</v>
      </c>
    </row>
    <row r="8" spans="1:2" ht="30" customHeight="1" x14ac:dyDescent="0.2">
      <c r="A8" s="18"/>
      <c r="B8" s="21" t="s">
        <v>8</v>
      </c>
    </row>
  </sheetData>
  <dataValidations count="3">
    <dataValidation allowBlank="1" showInputMessage="1" showErrorMessage="1" prompt="כותרת שמות העובדים" sqref="B1" xr:uid="{00000000-0002-0000-0C00-000000000000}"/>
    <dataValidation allowBlank="1" showInputMessage="1" showErrorMessage="1" prompt="הזן את שמות העובדים בטבלת שמות העובדים בגליון עבודה זה. שמות אלה משמשים כאפשרויות בעמודה B בטבלת ההיעדרויות של כל חודש" sqref="A1" xr:uid="{00000000-0002-0000-0C00-000001000000}"/>
    <dataValidation allowBlank="1" showInputMessage="1" showErrorMessage="1" prompt="הזן את שמות העובדים בעמודה זו" sqref="B3" xr:uid="{00000000-0002-0000-0C00-000002000000}"/>
  </dataValidations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749992370372631"/>
    <pageSetUpPr fitToPage="1"/>
  </sheetPr>
  <dimension ref="A1:AH12"/>
  <sheetViews>
    <sheetView showGridLines="0" rightToLeft="1" zoomScaleNormal="100" workbookViewId="0"/>
  </sheetViews>
  <sheetFormatPr defaultColWidth="9.125" defaultRowHeight="30" customHeight="1" x14ac:dyDescent="0.2"/>
  <cols>
    <col min="1" max="1" width="2.625" style="1" customWidth="1"/>
    <col min="2" max="2" width="25.625" style="1" customWidth="1"/>
    <col min="3" max="33" width="4.875" style="1" customWidth="1"/>
    <col min="34" max="34" width="13.5" style="1" customWidth="1"/>
    <col min="35" max="35" width="2.625" customWidth="1"/>
  </cols>
  <sheetData>
    <row r="1" spans="1:34" ht="50.1" customHeight="1" x14ac:dyDescent="0.2">
      <c r="A1" s="4"/>
      <c r="B1" s="3" t="str">
        <f>Employee_Absence_Title</f>
        <v>לוח זמנים לניהול היעדרות העובדים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5" customHeight="1" x14ac:dyDescent="0.2">
      <c r="A2" s="4"/>
      <c r="B2" s="5" t="s">
        <v>1</v>
      </c>
      <c r="C2" s="6" t="s">
        <v>9</v>
      </c>
      <c r="D2" s="27" t="s">
        <v>12</v>
      </c>
      <c r="E2" s="27"/>
      <c r="F2" s="27"/>
      <c r="G2" s="7" t="s">
        <v>15</v>
      </c>
      <c r="H2" s="27" t="s">
        <v>19</v>
      </c>
      <c r="I2" s="27"/>
      <c r="J2" s="27"/>
      <c r="K2" s="22" t="s">
        <v>17</v>
      </c>
      <c r="L2" s="27" t="s">
        <v>24</v>
      </c>
      <c r="M2" s="27"/>
      <c r="N2" s="23"/>
      <c r="O2" s="27" t="s">
        <v>28</v>
      </c>
      <c r="P2" s="27"/>
      <c r="Q2" s="27"/>
      <c r="R2" s="24"/>
      <c r="S2" s="27" t="s">
        <v>33</v>
      </c>
      <c r="T2" s="27"/>
      <c r="U2" s="27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5" customHeight="1" x14ac:dyDescent="0.2">
      <c r="A3" s="4"/>
      <c r="B3" s="1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30" customHeight="1" x14ac:dyDescent="0.2">
      <c r="A4" s="4"/>
      <c r="B4" s="9" t="s">
        <v>51</v>
      </c>
      <c r="C4" s="26" t="s">
        <v>10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9">
        <f>CalendarYear</f>
        <v>2019</v>
      </c>
    </row>
    <row r="5" spans="1:34" ht="15" customHeight="1" x14ac:dyDescent="0.2">
      <c r="A5" s="4"/>
      <c r="B5" s="9"/>
      <c r="C5" s="10" t="str">
        <f>TEXT(WEEKDAY(DATE(CalendarYear,2,1),1),"aaa")</f>
        <v>יום ו</v>
      </c>
      <c r="D5" s="10" t="str">
        <f>TEXT(WEEKDAY(DATE(CalendarYear,2,2),1),"aaa")</f>
        <v>שבת</v>
      </c>
      <c r="E5" s="10" t="str">
        <f>TEXT(WEEKDAY(DATE(CalendarYear,2,3),1),"aaa")</f>
        <v>יום א</v>
      </c>
      <c r="F5" s="10" t="str">
        <f>TEXT(WEEKDAY(DATE(CalendarYear,2,4),1),"aaa")</f>
        <v>יום ב</v>
      </c>
      <c r="G5" s="10" t="str">
        <f>TEXT(WEEKDAY(DATE(CalendarYear,2,5),1),"aaa")</f>
        <v>יום ג</v>
      </c>
      <c r="H5" s="10" t="str">
        <f>TEXT(WEEKDAY(DATE(CalendarYear,2,6),1),"aaa")</f>
        <v>יום ד</v>
      </c>
      <c r="I5" s="10" t="str">
        <f>TEXT(WEEKDAY(DATE(CalendarYear,2,7),1),"aaa")</f>
        <v>יום ה</v>
      </c>
      <c r="J5" s="10" t="str">
        <f>TEXT(WEEKDAY(DATE(CalendarYear,2,8),1),"aaa")</f>
        <v>יום ו</v>
      </c>
      <c r="K5" s="10" t="str">
        <f>TEXT(WEEKDAY(DATE(CalendarYear,2,9),1),"aaa")</f>
        <v>שבת</v>
      </c>
      <c r="L5" s="10" t="str">
        <f>TEXT(WEEKDAY(DATE(CalendarYear,2,10),1),"aaa")</f>
        <v>יום א</v>
      </c>
      <c r="M5" s="10" t="str">
        <f>TEXT(WEEKDAY(DATE(CalendarYear,2,11),1),"aaa")</f>
        <v>יום ב</v>
      </c>
      <c r="N5" s="10" t="str">
        <f>TEXT(WEEKDAY(DATE(CalendarYear,2,12),1),"aaa")</f>
        <v>יום ג</v>
      </c>
      <c r="O5" s="10" t="str">
        <f>TEXT(WEEKDAY(DATE(CalendarYear,2,13),1),"aaa")</f>
        <v>יום ד</v>
      </c>
      <c r="P5" s="10" t="str">
        <f>TEXT(WEEKDAY(DATE(CalendarYear,2,14),1),"aaa")</f>
        <v>יום ה</v>
      </c>
      <c r="Q5" s="10" t="str">
        <f>TEXT(WEEKDAY(DATE(CalendarYear,2,15),1),"aaa")</f>
        <v>יום ו</v>
      </c>
      <c r="R5" s="10" t="str">
        <f>TEXT(WEEKDAY(DATE(CalendarYear,2,16),1),"aaa")</f>
        <v>שבת</v>
      </c>
      <c r="S5" s="10" t="str">
        <f>TEXT(WEEKDAY(DATE(CalendarYear,2,17),1),"aaa")</f>
        <v>יום א</v>
      </c>
      <c r="T5" s="10" t="str">
        <f>TEXT(WEEKDAY(DATE(CalendarYear,2,18),1),"aaa")</f>
        <v>יום ב</v>
      </c>
      <c r="U5" s="10" t="str">
        <f>TEXT(WEEKDAY(DATE(CalendarYear,2,19),1),"aaa")</f>
        <v>יום ג</v>
      </c>
      <c r="V5" s="10" t="str">
        <f>TEXT(WEEKDAY(DATE(CalendarYear,2,20),1),"aaa")</f>
        <v>יום ד</v>
      </c>
      <c r="W5" s="10" t="str">
        <f>TEXT(WEEKDAY(DATE(CalendarYear,2,21),1),"aaa")</f>
        <v>יום ה</v>
      </c>
      <c r="X5" s="10" t="str">
        <f>TEXT(WEEKDAY(DATE(CalendarYear,2,22),1),"aaa")</f>
        <v>יום ו</v>
      </c>
      <c r="Y5" s="10" t="str">
        <f>TEXT(WEEKDAY(DATE(CalendarYear,2,23),1),"aaa")</f>
        <v>שבת</v>
      </c>
      <c r="Z5" s="10" t="str">
        <f>TEXT(WEEKDAY(DATE(CalendarYear,2,24),1),"aaa")</f>
        <v>יום א</v>
      </c>
      <c r="AA5" s="10" t="str">
        <f>TEXT(WEEKDAY(DATE(CalendarYear,2,25),1),"aaa")</f>
        <v>יום ב</v>
      </c>
      <c r="AB5" s="10" t="str">
        <f>TEXT(WEEKDAY(DATE(CalendarYear,2,26),1),"aaa")</f>
        <v>יום ג</v>
      </c>
      <c r="AC5" s="10" t="str">
        <f>TEXT(WEEKDAY(DATE(CalendarYear,2,27),1),"aaa")</f>
        <v>יום ד</v>
      </c>
      <c r="AD5" s="10" t="str">
        <f>TEXT(WEEKDAY(DATE(CalendarYear,2,28),1),"aaa")</f>
        <v>יום ה</v>
      </c>
      <c r="AE5" s="10" t="str">
        <f>TEXT(WEEKDAY(DATE(CalendarYear,2,29),1),"aaa")</f>
        <v>יום ו</v>
      </c>
      <c r="AF5" s="10"/>
      <c r="AG5" s="10"/>
      <c r="AH5" s="9"/>
    </row>
    <row r="6" spans="1:34" ht="15" customHeight="1" x14ac:dyDescent="0.2">
      <c r="A6" s="4"/>
      <c r="B6" s="11" t="s">
        <v>3</v>
      </c>
      <c r="C6" s="12" t="s">
        <v>11</v>
      </c>
      <c r="D6" s="12" t="s">
        <v>13</v>
      </c>
      <c r="E6" s="12" t="s">
        <v>14</v>
      </c>
      <c r="F6" s="12" t="s">
        <v>16</v>
      </c>
      <c r="G6" s="12" t="s">
        <v>18</v>
      </c>
      <c r="H6" s="12" t="s">
        <v>20</v>
      </c>
      <c r="I6" s="12" t="s">
        <v>21</v>
      </c>
      <c r="J6" s="12" t="s">
        <v>22</v>
      </c>
      <c r="K6" s="12" t="s">
        <v>23</v>
      </c>
      <c r="L6" s="12" t="s">
        <v>25</v>
      </c>
      <c r="M6" s="12" t="s">
        <v>26</v>
      </c>
      <c r="N6" s="12" t="s">
        <v>27</v>
      </c>
      <c r="O6" s="12" t="s">
        <v>29</v>
      </c>
      <c r="P6" s="12" t="s">
        <v>30</v>
      </c>
      <c r="Q6" s="12" t="s">
        <v>31</v>
      </c>
      <c r="R6" s="12" t="s">
        <v>32</v>
      </c>
      <c r="S6" s="12" t="s">
        <v>34</v>
      </c>
      <c r="T6" s="12" t="s">
        <v>35</v>
      </c>
      <c r="U6" s="12" t="s">
        <v>36</v>
      </c>
      <c r="V6" s="12" t="s">
        <v>37</v>
      </c>
      <c r="W6" s="12" t="s">
        <v>38</v>
      </c>
      <c r="X6" s="12" t="s">
        <v>39</v>
      </c>
      <c r="Y6" s="12" t="s">
        <v>40</v>
      </c>
      <c r="Z6" s="12" t="s">
        <v>41</v>
      </c>
      <c r="AA6" s="12" t="s">
        <v>42</v>
      </c>
      <c r="AB6" s="12" t="s">
        <v>43</v>
      </c>
      <c r="AC6" s="12" t="s">
        <v>44</v>
      </c>
      <c r="AD6" s="12" t="s">
        <v>45</v>
      </c>
      <c r="AE6" s="12" t="s">
        <v>46</v>
      </c>
      <c r="AF6" s="12" t="s">
        <v>52</v>
      </c>
      <c r="AG6" s="12" t="s">
        <v>53</v>
      </c>
      <c r="AH6" s="13" t="s">
        <v>50</v>
      </c>
    </row>
    <row r="7" spans="1:34" ht="30" customHeight="1" x14ac:dyDescent="0.2">
      <c r="A7" s="4"/>
      <c r="B7" s="19" t="s">
        <v>4</v>
      </c>
      <c r="C7" s="12"/>
      <c r="D7" s="12"/>
      <c r="E7" s="12" t="s">
        <v>9</v>
      </c>
      <c r="F7" s="12" t="s">
        <v>9</v>
      </c>
      <c r="G7" s="12" t="s">
        <v>9</v>
      </c>
      <c r="H7" s="12" t="s">
        <v>9</v>
      </c>
      <c r="I7" s="12"/>
      <c r="J7" s="12"/>
      <c r="K7" s="12"/>
      <c r="L7" s="12"/>
      <c r="M7" s="12"/>
      <c r="N7" s="12"/>
      <c r="O7" s="12" t="s">
        <v>9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5">
        <f>COUNTA(פברואר[[#This Row],[1]:[29]])</f>
        <v>5</v>
      </c>
    </row>
    <row r="8" spans="1:34" ht="30" customHeight="1" x14ac:dyDescent="0.2">
      <c r="A8" s="4"/>
      <c r="B8" s="19" t="s">
        <v>5</v>
      </c>
      <c r="C8" s="12"/>
      <c r="D8" s="12"/>
      <c r="E8" s="12"/>
      <c r="F8" s="12"/>
      <c r="G8" s="12" t="s">
        <v>17</v>
      </c>
      <c r="H8" s="12" t="s">
        <v>17</v>
      </c>
      <c r="I8" s="12"/>
      <c r="J8" s="12"/>
      <c r="K8" s="12"/>
      <c r="L8" s="12"/>
      <c r="M8" s="12" t="s">
        <v>15</v>
      </c>
      <c r="N8" s="12"/>
      <c r="O8" s="12"/>
      <c r="P8" s="12"/>
      <c r="Q8" s="12"/>
      <c r="R8" s="12"/>
      <c r="S8" s="12"/>
      <c r="T8" s="12"/>
      <c r="U8" s="12"/>
      <c r="V8" s="12" t="s">
        <v>17</v>
      </c>
      <c r="W8" s="12"/>
      <c r="X8" s="12"/>
      <c r="Y8" s="12"/>
      <c r="Z8" s="12"/>
      <c r="AA8" s="12" t="s">
        <v>9</v>
      </c>
      <c r="AB8" s="12" t="s">
        <v>9</v>
      </c>
      <c r="AC8" s="12" t="s">
        <v>9</v>
      </c>
      <c r="AD8" s="12"/>
      <c r="AE8" s="12"/>
      <c r="AF8" s="12"/>
      <c r="AG8" s="12"/>
      <c r="AH8" s="15">
        <f>COUNTA(פברואר[[#This Row],[1]:[29]])</f>
        <v>7</v>
      </c>
    </row>
    <row r="9" spans="1:34" ht="30" customHeight="1" x14ac:dyDescent="0.2">
      <c r="A9" s="4"/>
      <c r="B9" s="19" t="s">
        <v>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5">
        <f>COUNTA(פברואר[[#This Row],[1]:[29]])</f>
        <v>0</v>
      </c>
    </row>
    <row r="10" spans="1:34" ht="30" customHeight="1" x14ac:dyDescent="0.2">
      <c r="A10" s="4"/>
      <c r="B10" s="19" t="s">
        <v>7</v>
      </c>
      <c r="C10" s="12"/>
      <c r="D10" s="12"/>
      <c r="E10" s="12" t="s">
        <v>17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 t="s">
        <v>17</v>
      </c>
      <c r="Q10" s="12"/>
      <c r="R10" s="12"/>
      <c r="S10" s="12"/>
      <c r="T10" s="12" t="s">
        <v>15</v>
      </c>
      <c r="U10" s="12"/>
      <c r="V10" s="12"/>
      <c r="W10" s="12"/>
      <c r="X10" s="12"/>
      <c r="Y10" s="12"/>
      <c r="Z10" s="12"/>
      <c r="AA10" s="12"/>
      <c r="AB10" s="12"/>
      <c r="AC10" s="12"/>
      <c r="AD10" s="12" t="s">
        <v>17</v>
      </c>
      <c r="AE10" s="12"/>
      <c r="AF10" s="12"/>
      <c r="AG10" s="12"/>
      <c r="AH10" s="15">
        <f>COUNTA(פברואר[[#This Row],[1]:[29]])</f>
        <v>4</v>
      </c>
    </row>
    <row r="11" spans="1:34" ht="30" customHeight="1" x14ac:dyDescent="0.2">
      <c r="A11" s="4"/>
      <c r="B11" s="19" t="s">
        <v>8</v>
      </c>
      <c r="C11" s="12"/>
      <c r="D11" s="12"/>
      <c r="E11" s="12"/>
      <c r="F11" s="12"/>
      <c r="G11" s="12"/>
      <c r="H11" s="12"/>
      <c r="I11" s="12"/>
      <c r="J11" s="12" t="s">
        <v>9</v>
      </c>
      <c r="K11" s="12" t="s">
        <v>9</v>
      </c>
      <c r="L11" s="12" t="s">
        <v>9</v>
      </c>
      <c r="M11" s="12" t="s">
        <v>9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 t="s">
        <v>17</v>
      </c>
      <c r="AA11" s="12"/>
      <c r="AB11" s="12"/>
      <c r="AC11" s="12"/>
      <c r="AD11" s="12"/>
      <c r="AE11" s="12"/>
      <c r="AF11" s="12"/>
      <c r="AG11" s="12"/>
      <c r="AH11" s="15">
        <f>COUNTA(פברואר[[#This Row],[1]:[29]])</f>
        <v>5</v>
      </c>
    </row>
    <row r="12" spans="1:34" ht="30" customHeight="1" x14ac:dyDescent="0.2">
      <c r="A12" s="4"/>
      <c r="B12" s="16" t="str">
        <f>"סך הכל "&amp;MonthName</f>
        <v>סך הכל פברואר</v>
      </c>
      <c r="C12" s="17">
        <f>SUBTOTAL(103,פברואר[1])</f>
        <v>0</v>
      </c>
      <c r="D12" s="17">
        <f>SUBTOTAL(103,פברואר[2])</f>
        <v>0</v>
      </c>
      <c r="E12" s="17">
        <f>SUBTOTAL(103,פברואר[3])</f>
        <v>2</v>
      </c>
      <c r="F12" s="17">
        <f>SUBTOTAL(103,פברואר[4])</f>
        <v>1</v>
      </c>
      <c r="G12" s="17">
        <f>SUBTOTAL(103,פברואר[5])</f>
        <v>2</v>
      </c>
      <c r="H12" s="17">
        <f>SUBTOTAL(103,פברואר[6])</f>
        <v>2</v>
      </c>
      <c r="I12" s="17">
        <f>SUBTOTAL(103,פברואר[7])</f>
        <v>0</v>
      </c>
      <c r="J12" s="17">
        <f>SUBTOTAL(103,פברואר[8])</f>
        <v>1</v>
      </c>
      <c r="K12" s="17">
        <f>SUBTOTAL(103,פברואר[9])</f>
        <v>1</v>
      </c>
      <c r="L12" s="17">
        <f>SUBTOTAL(103,פברואר[10])</f>
        <v>1</v>
      </c>
      <c r="M12" s="17">
        <f>SUBTOTAL(103,פברואר[11])</f>
        <v>2</v>
      </c>
      <c r="N12" s="17">
        <f>SUBTOTAL(103,פברואר[12])</f>
        <v>0</v>
      </c>
      <c r="O12" s="17">
        <f>SUBTOTAL(103,פברואר[13])</f>
        <v>1</v>
      </c>
      <c r="P12" s="17">
        <f>SUBTOTAL(103,פברואר[14])</f>
        <v>1</v>
      </c>
      <c r="Q12" s="17">
        <f>SUBTOTAL(103,פברואר[15])</f>
        <v>0</v>
      </c>
      <c r="R12" s="17">
        <f>SUBTOTAL(103,פברואר[16])</f>
        <v>0</v>
      </c>
      <c r="S12" s="17">
        <f>SUBTOTAL(103,פברואר[17])</f>
        <v>0</v>
      </c>
      <c r="T12" s="17">
        <f>SUBTOTAL(103,פברואר[18])</f>
        <v>1</v>
      </c>
      <c r="U12" s="17">
        <f>SUBTOTAL(103,פברואר[19])</f>
        <v>0</v>
      </c>
      <c r="V12" s="17">
        <f>SUBTOTAL(103,פברואר[20])</f>
        <v>1</v>
      </c>
      <c r="W12" s="17">
        <f>SUBTOTAL(103,פברואר[21])</f>
        <v>0</v>
      </c>
      <c r="X12" s="17">
        <f>SUBTOTAL(103,פברואר[22])</f>
        <v>0</v>
      </c>
      <c r="Y12" s="17">
        <f>SUBTOTAL(103,פברואר[23])</f>
        <v>0</v>
      </c>
      <c r="Z12" s="17">
        <f>SUBTOTAL(103,פברואר[24])</f>
        <v>1</v>
      </c>
      <c r="AA12" s="17">
        <f>SUBTOTAL(103,פברואר[25])</f>
        <v>1</v>
      </c>
      <c r="AB12" s="17">
        <f>SUBTOTAL(103,פברואר[26])</f>
        <v>1</v>
      </c>
      <c r="AC12" s="17">
        <f>SUBTOTAL(103,פברואר[27])</f>
        <v>1</v>
      </c>
      <c r="AD12" s="17">
        <f>SUBTOTAL(103,פברואר[28])</f>
        <v>1</v>
      </c>
      <c r="AE12" s="17">
        <f>SUBTOTAL(103,פברואר[29])</f>
        <v>0</v>
      </c>
      <c r="AF12" s="17"/>
      <c r="AG12" s="17"/>
      <c r="AH12" s="17">
        <f>SUBTOTAL(109,פברואר[סה"כ ימים])</f>
        <v>21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AE6">
    <cfRule type="expression" dxfId="818" priority="16">
      <formula>MONTH(DATE(CalendarYear,2,29))&lt;&gt;2</formula>
    </cfRule>
  </conditionalFormatting>
  <conditionalFormatting sqref="AE5">
    <cfRule type="expression" dxfId="817" priority="15">
      <formula>MONTH(DATE(CalendarYear,2,29))&lt;&gt;2</formula>
    </cfRule>
  </conditionalFormatting>
  <conditionalFormatting sqref="C7:AG11">
    <cfRule type="expression" priority="2" stopIfTrue="1">
      <formula>C7=""</formula>
    </cfRule>
    <cfRule type="expression" dxfId="816" priority="3" stopIfTrue="1">
      <formula>C7=KeyCustom2</formula>
    </cfRule>
  </conditionalFormatting>
  <conditionalFormatting sqref="C7:AG11">
    <cfRule type="expression" dxfId="815" priority="5" stopIfTrue="1">
      <formula>C7=KeyCustom1</formula>
    </cfRule>
    <cfRule type="expression" dxfId="814" priority="6" stopIfTrue="1">
      <formula>C7=KeySick</formula>
    </cfRule>
    <cfRule type="expression" dxfId="813" priority="7" stopIfTrue="1">
      <formula>C7=KeyPersonal</formula>
    </cfRule>
    <cfRule type="expression" dxfId="812" priority="8" stopIfTrue="1">
      <formula>C7=KeyVacation</formula>
    </cfRule>
  </conditionalFormatting>
  <conditionalFormatting sqref="AH7:AH11">
    <cfRule type="dataBar" priority="153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{94738C71-AB78-40C3-A818-D083AE35CC38}</x14:id>
        </ext>
      </extLst>
    </cfRule>
  </conditionalFormatting>
  <dataValidations xWindow="232" yWindow="365" count="14">
    <dataValidation allowBlank="1" showInputMessage="1" showErrorMessage="1" prompt="השנה מתעדכנת באופן אוטומטי בהתבסס על השנה שהוזנה בגליון העבודה 'ינואר'" sqref="AH4" xr:uid="{00000000-0002-0000-0100-000000000000}"/>
    <dataValidation allowBlank="1" showInputMessage="1" showErrorMessage="1" prompt="עקוב אחר ההיעדרויות בחודש פברואר בגליון עבודה זה" sqref="A1" xr:uid="{00000000-0002-0000-0100-000001000000}"/>
    <dataValidation allowBlank="1" showInputMessage="1" showErrorMessage="1" prompt="בעמודה זו מופיע חישוב אוטומטי של מספר ימי ההיעדרויות הכולל של העובד בחודש זה" sqref="AH6" xr:uid="{00000000-0002-0000-0100-000002000000}"/>
    <dataValidation allowBlank="1" showInputMessage="1" showErrorMessage="1" prompt="הכותרת בתא זה מתעדכנת באופן אוטומטי. כדי לשנות את הכותרת, עדכן את תא B1 בגליון העבודה 'ינואר'" sqref="B1" xr:uid="{00000000-0002-0000-0100-000003000000}"/>
    <dataValidation allowBlank="1" showInputMessage="1" showErrorMessage="1" prompt="שם החודש עבור לוח הזמנים לניהול היעדרויות מופיע בתא זה. סה&quot;כ ההיעדרויות בחודש זה מופיע בתא האחרון של הטבלה. בחר את שמות העובדים בעמודה B של הטבלה" sqref="B4" xr:uid="{00000000-0002-0000-0100-000004000000}"/>
    <dataValidation errorStyle="warning" allowBlank="1" showInputMessage="1" showErrorMessage="1" error="בחר שם מהרשימה. בחר 'ביטול', הקש ALT+חץ למטה ולאחר מכן הקש ENTER כדי לבחור שם" prompt="הזן את שמות העובדים בגליון העבודה 'שמות העובדים' ולאחר מכן בחר אחד מהשמות הללו ברשימה בעמודה זו. הקש ALT+חץ למטה ולאחר מכן הקש ENTER כדי לבחור שם" sqref="B6" xr:uid="{00000000-0002-0000-0100-000005000000}"/>
    <dataValidation allowBlank="1" showInputMessage="1" showErrorMessage="1" prompt="שורה זו מגדירה את המפתחות שמופיעים בטבלה: תא C2 מכיל 'חופשה', תא G2 מכיל 'אישי' ותא K2 מכיל 'חופשת מחלה'. תאים N2 ו- R2 ניתנים להתאמה אישית" sqref="B2" xr:uid="{00000000-0002-0000-0100-000006000000}"/>
    <dataValidation allowBlank="1" showInputMessage="1" showErrorMessage="1" prompt="הזן תווית כדי לתאר את המפתח המותאם אישית בצד ימין" sqref="O2:Q2 S2:U2" xr:uid="{00000000-0002-0000-0100-000007000000}"/>
    <dataValidation allowBlank="1" showInputMessage="1" showErrorMessage="1" prompt="הזן אות והתאם אישית את התווית בצד שמאל כדי להוסיף פריט מפתח אחר" sqref="N2 R2" xr:uid="{00000000-0002-0000-0100-000008000000}"/>
    <dataValidation allowBlank="1" showInputMessage="1" showErrorMessage="1" prompt="האות &quot;מ&quot; מציינת היעדרות עקב מחלה" sqref="K2" xr:uid="{00000000-0002-0000-0100-000009000000}"/>
    <dataValidation allowBlank="1" showInputMessage="1" showErrorMessage="1" prompt="האות &quot;א&quot; מציינת היעדרות עקב סיבות אישיות" sqref="G2" xr:uid="{00000000-0002-0000-0100-00000A000000}"/>
    <dataValidation allowBlank="1" showInputMessage="1" showErrorMessage="1" prompt="האות &quot;ח&quot; מציינת היעדרות עקב חופשה" sqref="C2" xr:uid="{00000000-0002-0000-0100-00000B000000}"/>
    <dataValidation allowBlank="1" showInputMessage="1" showErrorMessage="1" prompt="ימות השבוע בשורה זו מתעדכנים באופן אוטומטי עבור החודש, בהתאם לשנה בתא AH4. כל יום בחודש הוא עמודה המשמשת לציון ההיעדרות וסוג ההיעדרות של העובד" sqref="C5" xr:uid="{00000000-0002-0000-0100-00000C000000}"/>
    <dataValidation allowBlank="1" showInputMessage="1" showErrorMessage="1" prompt="הימים בחודש בשורה זו נוצרים באופן אוטומטי. הזן את ההיעדרויות וסוגי ההיעדרויות של העובד בכל עמודה עבור כל יום בחודש. תא ריק מציין שלא היתה היעדרות" sqref="C6" xr:uid="{00000000-0002-0000-0100-00000D000000}"/>
  </dataValidations>
  <printOptions horizontalCentered="1"/>
  <pageMargins left="0.25" right="0.25" top="0.75" bottom="0.75" header="0.3" footer="0.3"/>
  <pageSetup paperSize="9" scale="69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738C71-AB78-40C3-A818-D083AE35CC38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232" yWindow="365" count="1">
        <x14:dataValidation type="list" allowBlank="1" showInputMessage="1" showErrorMessage="1" xr:uid="{00000000-0002-0000-0100-00000E000000}">
          <x14:formula1>
            <xm:f>'שמות העובדים'!$B$4:$B$8</xm:f>
          </x14:formula1>
          <xm:sqref>B7:B11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  <pageSetUpPr fitToPage="1"/>
  </sheetPr>
  <dimension ref="A1:AH12"/>
  <sheetViews>
    <sheetView showGridLines="0" rightToLeft="1" zoomScaleNormal="100" workbookViewId="0"/>
  </sheetViews>
  <sheetFormatPr defaultRowHeight="30" customHeight="1" x14ac:dyDescent="0.2"/>
  <cols>
    <col min="1" max="1" width="2.625" style="1" customWidth="1"/>
    <col min="2" max="2" width="25.625" style="1" customWidth="1"/>
    <col min="3" max="33" width="4.875" style="1" customWidth="1"/>
    <col min="34" max="34" width="13.5" style="1" customWidth="1"/>
    <col min="35" max="35" width="2.625" customWidth="1"/>
  </cols>
  <sheetData>
    <row r="1" spans="1:34" ht="50.1" customHeight="1" x14ac:dyDescent="0.2">
      <c r="A1" s="4"/>
      <c r="B1" s="3" t="str">
        <f>Employee_Absence_Title</f>
        <v>לוח זמנים לניהול היעדרות העובדים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5" customHeight="1" x14ac:dyDescent="0.2">
      <c r="A2" s="4"/>
      <c r="B2" s="5" t="s">
        <v>1</v>
      </c>
      <c r="C2" s="6" t="s">
        <v>9</v>
      </c>
      <c r="D2" s="27" t="s">
        <v>12</v>
      </c>
      <c r="E2" s="27"/>
      <c r="F2" s="27"/>
      <c r="G2" s="7" t="s">
        <v>15</v>
      </c>
      <c r="H2" s="27" t="s">
        <v>19</v>
      </c>
      <c r="I2" s="27"/>
      <c r="J2" s="27"/>
      <c r="K2" s="22" t="s">
        <v>17</v>
      </c>
      <c r="L2" s="27" t="s">
        <v>24</v>
      </c>
      <c r="M2" s="27"/>
      <c r="N2" s="23"/>
      <c r="O2" s="27" t="s">
        <v>28</v>
      </c>
      <c r="P2" s="27"/>
      <c r="Q2" s="27"/>
      <c r="R2" s="24"/>
      <c r="S2" s="27" t="s">
        <v>33</v>
      </c>
      <c r="T2" s="27"/>
      <c r="U2" s="27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5" customHeight="1" x14ac:dyDescent="0.2">
      <c r="A3" s="4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30" customHeight="1" x14ac:dyDescent="0.2">
      <c r="A4" s="4"/>
      <c r="B4" s="9" t="s">
        <v>54</v>
      </c>
      <c r="C4" s="26" t="s">
        <v>10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9">
        <f>CalendarYear</f>
        <v>2019</v>
      </c>
    </row>
    <row r="5" spans="1:34" ht="15" customHeight="1" x14ac:dyDescent="0.2">
      <c r="A5" s="4"/>
      <c r="B5" s="9"/>
      <c r="C5" s="10" t="str">
        <f>TEXT(WEEKDAY(DATE(CalendarYear,3,1),1),"aaa")</f>
        <v>יום ו</v>
      </c>
      <c r="D5" s="10" t="str">
        <f>TEXT(WEEKDAY(DATE(CalendarYear,3,2),1),"aaa")</f>
        <v>שבת</v>
      </c>
      <c r="E5" s="10" t="str">
        <f>TEXT(WEEKDAY(DATE(CalendarYear,3,3),1),"aaa")</f>
        <v>יום א</v>
      </c>
      <c r="F5" s="10" t="str">
        <f>TEXT(WEEKDAY(DATE(CalendarYear,3,4),1),"aaa")</f>
        <v>יום ב</v>
      </c>
      <c r="G5" s="10" t="str">
        <f>TEXT(WEEKDAY(DATE(CalendarYear,3,5),1),"aaa")</f>
        <v>יום ג</v>
      </c>
      <c r="H5" s="10" t="str">
        <f>TEXT(WEEKDAY(DATE(CalendarYear,3,6),1),"aaa")</f>
        <v>יום ד</v>
      </c>
      <c r="I5" s="10" t="str">
        <f>TEXT(WEEKDAY(DATE(CalendarYear,3,7),1),"aaa")</f>
        <v>יום ה</v>
      </c>
      <c r="J5" s="10" t="str">
        <f>TEXT(WEEKDAY(DATE(CalendarYear,3,8),1),"aaa")</f>
        <v>יום ו</v>
      </c>
      <c r="K5" s="10" t="str">
        <f>TEXT(WEEKDAY(DATE(CalendarYear,3,9),1),"aaa")</f>
        <v>שבת</v>
      </c>
      <c r="L5" s="10" t="str">
        <f>TEXT(WEEKDAY(DATE(CalendarYear,3,10),1),"aaa")</f>
        <v>יום א</v>
      </c>
      <c r="M5" s="10" t="str">
        <f>TEXT(WEEKDAY(DATE(CalendarYear,3,11),1),"aaa")</f>
        <v>יום ב</v>
      </c>
      <c r="N5" s="10" t="str">
        <f>TEXT(WEEKDAY(DATE(CalendarYear,3,12),1),"aaa")</f>
        <v>יום ג</v>
      </c>
      <c r="O5" s="10" t="str">
        <f>TEXT(WEEKDAY(DATE(CalendarYear,3,13),1),"aaa")</f>
        <v>יום ד</v>
      </c>
      <c r="P5" s="10" t="str">
        <f>TEXT(WEEKDAY(DATE(CalendarYear,3,14),1),"aaa")</f>
        <v>יום ה</v>
      </c>
      <c r="Q5" s="10" t="str">
        <f>TEXT(WEEKDAY(DATE(CalendarYear,3,15),1),"aaa")</f>
        <v>יום ו</v>
      </c>
      <c r="R5" s="10" t="str">
        <f>TEXT(WEEKDAY(DATE(CalendarYear,3,16),1),"aaa")</f>
        <v>שבת</v>
      </c>
      <c r="S5" s="10" t="str">
        <f>TEXT(WEEKDAY(DATE(CalendarYear,3,17),1),"aaa")</f>
        <v>יום א</v>
      </c>
      <c r="T5" s="10" t="str">
        <f>TEXT(WEEKDAY(DATE(CalendarYear,3,18),1),"aaa")</f>
        <v>יום ב</v>
      </c>
      <c r="U5" s="10" t="str">
        <f>TEXT(WEEKDAY(DATE(CalendarYear,3,19),1),"aaa")</f>
        <v>יום ג</v>
      </c>
      <c r="V5" s="10" t="str">
        <f>TEXT(WEEKDAY(DATE(CalendarYear,3,20),1),"aaa")</f>
        <v>יום ד</v>
      </c>
      <c r="W5" s="10" t="str">
        <f>TEXT(WEEKDAY(DATE(CalendarYear,3,21),1),"aaa")</f>
        <v>יום ה</v>
      </c>
      <c r="X5" s="10" t="str">
        <f>TEXT(WEEKDAY(DATE(CalendarYear,3,22),1),"aaa")</f>
        <v>יום ו</v>
      </c>
      <c r="Y5" s="10" t="str">
        <f>TEXT(WEEKDAY(DATE(CalendarYear,3,23),1),"aaa")</f>
        <v>שבת</v>
      </c>
      <c r="Z5" s="10" t="str">
        <f>TEXT(WEEKDAY(DATE(CalendarYear,3,24),1),"aaa")</f>
        <v>יום א</v>
      </c>
      <c r="AA5" s="10" t="str">
        <f>TEXT(WEEKDAY(DATE(CalendarYear,3,25),1),"aaa")</f>
        <v>יום ב</v>
      </c>
      <c r="AB5" s="10" t="str">
        <f>TEXT(WEEKDAY(DATE(CalendarYear,3,26),1),"aaa")</f>
        <v>יום ג</v>
      </c>
      <c r="AC5" s="10" t="str">
        <f>TEXT(WEEKDAY(DATE(CalendarYear,3,27),1),"aaa")</f>
        <v>יום ד</v>
      </c>
      <c r="AD5" s="10" t="str">
        <f>TEXT(WEEKDAY(DATE(CalendarYear,3,28),1),"aaa")</f>
        <v>יום ה</v>
      </c>
      <c r="AE5" s="10" t="str">
        <f>TEXT(WEEKDAY(DATE(CalendarYear,3,29),1),"aaa")</f>
        <v>יום ו</v>
      </c>
      <c r="AF5" s="10" t="str">
        <f>TEXT(WEEKDAY(DATE(CalendarYear,3,30),1),"aaa")</f>
        <v>שבת</v>
      </c>
      <c r="AG5" s="10" t="str">
        <f>TEXT(WEEKDAY(DATE(CalendarYear,3,31),1),"aaa")</f>
        <v>יום א</v>
      </c>
      <c r="AH5" s="9"/>
    </row>
    <row r="6" spans="1:34" ht="15" customHeight="1" x14ac:dyDescent="0.2">
      <c r="A6" s="4"/>
      <c r="B6" s="11" t="s">
        <v>3</v>
      </c>
      <c r="C6" s="12" t="s">
        <v>11</v>
      </c>
      <c r="D6" s="12" t="s">
        <v>13</v>
      </c>
      <c r="E6" s="12" t="s">
        <v>14</v>
      </c>
      <c r="F6" s="12" t="s">
        <v>16</v>
      </c>
      <c r="G6" s="12" t="s">
        <v>18</v>
      </c>
      <c r="H6" s="12" t="s">
        <v>20</v>
      </c>
      <c r="I6" s="12" t="s">
        <v>21</v>
      </c>
      <c r="J6" s="12" t="s">
        <v>22</v>
      </c>
      <c r="K6" s="12" t="s">
        <v>23</v>
      </c>
      <c r="L6" s="12" t="s">
        <v>25</v>
      </c>
      <c r="M6" s="12" t="s">
        <v>26</v>
      </c>
      <c r="N6" s="12" t="s">
        <v>27</v>
      </c>
      <c r="O6" s="12" t="s">
        <v>29</v>
      </c>
      <c r="P6" s="12" t="s">
        <v>30</v>
      </c>
      <c r="Q6" s="12" t="s">
        <v>31</v>
      </c>
      <c r="R6" s="12" t="s">
        <v>32</v>
      </c>
      <c r="S6" s="12" t="s">
        <v>34</v>
      </c>
      <c r="T6" s="12" t="s">
        <v>35</v>
      </c>
      <c r="U6" s="12" t="s">
        <v>36</v>
      </c>
      <c r="V6" s="12" t="s">
        <v>37</v>
      </c>
      <c r="W6" s="12" t="s">
        <v>38</v>
      </c>
      <c r="X6" s="12" t="s">
        <v>39</v>
      </c>
      <c r="Y6" s="12" t="s">
        <v>40</v>
      </c>
      <c r="Z6" s="12" t="s">
        <v>41</v>
      </c>
      <c r="AA6" s="12" t="s">
        <v>42</v>
      </c>
      <c r="AB6" s="12" t="s">
        <v>43</v>
      </c>
      <c r="AC6" s="12" t="s">
        <v>44</v>
      </c>
      <c r="AD6" s="12" t="s">
        <v>45</v>
      </c>
      <c r="AE6" s="12" t="s">
        <v>46</v>
      </c>
      <c r="AF6" s="12" t="s">
        <v>47</v>
      </c>
      <c r="AG6" s="12" t="s">
        <v>48</v>
      </c>
      <c r="AH6" s="13" t="s">
        <v>50</v>
      </c>
    </row>
    <row r="7" spans="1:34" ht="30" customHeight="1" x14ac:dyDescent="0.2">
      <c r="A7" s="4"/>
      <c r="B7" s="19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5">
        <f>COUNTA(מרץ[[#This Row],[1]:[31]])</f>
        <v>0</v>
      </c>
    </row>
    <row r="8" spans="1:34" ht="30" customHeight="1" x14ac:dyDescent="0.2">
      <c r="A8" s="4"/>
      <c r="B8" s="19" t="s">
        <v>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5">
        <f>COUNTA(מרץ[[#This Row],[1]:[31]])</f>
        <v>0</v>
      </c>
    </row>
    <row r="9" spans="1:34" ht="30" customHeight="1" x14ac:dyDescent="0.2">
      <c r="A9" s="4"/>
      <c r="B9" s="19" t="s">
        <v>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5">
        <f>COUNTA(מרץ[[#This Row],[1]:[31]])</f>
        <v>0</v>
      </c>
    </row>
    <row r="10" spans="1:34" ht="30" customHeight="1" x14ac:dyDescent="0.2">
      <c r="A10" s="4"/>
      <c r="B10" s="19" t="s">
        <v>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5">
        <f>COUNTA(מרץ[[#This Row],[1]:[31]])</f>
        <v>0</v>
      </c>
    </row>
    <row r="11" spans="1:34" ht="30" customHeight="1" x14ac:dyDescent="0.2">
      <c r="A11" s="4"/>
      <c r="B11" s="19" t="s">
        <v>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5">
        <f>COUNTA(מרץ[[#This Row],[1]:[31]])</f>
        <v>0</v>
      </c>
    </row>
    <row r="12" spans="1:34" ht="30" customHeight="1" x14ac:dyDescent="0.2">
      <c r="A12" s="4"/>
      <c r="B12" s="16" t="str">
        <f>"סך הכל "&amp;MonthName</f>
        <v>סך הכל מרץ</v>
      </c>
      <c r="C12" s="17">
        <f>SUBTOTAL(103,מרץ[1])</f>
        <v>0</v>
      </c>
      <c r="D12" s="17">
        <f>SUBTOTAL(103,מרץ[2])</f>
        <v>0</v>
      </c>
      <c r="E12" s="17">
        <f>SUBTOTAL(103,מרץ[3])</f>
        <v>0</v>
      </c>
      <c r="F12" s="17">
        <f>SUBTOTAL(103,מרץ[4])</f>
        <v>0</v>
      </c>
      <c r="G12" s="17">
        <f>SUBTOTAL(103,מרץ[5])</f>
        <v>0</v>
      </c>
      <c r="H12" s="17">
        <f>SUBTOTAL(103,מרץ[6])</f>
        <v>0</v>
      </c>
      <c r="I12" s="17">
        <f>SUBTOTAL(103,מרץ[7])</f>
        <v>0</v>
      </c>
      <c r="J12" s="17">
        <f>SUBTOTAL(103,מרץ[8])</f>
        <v>0</v>
      </c>
      <c r="K12" s="17">
        <f>SUBTOTAL(103,מרץ[9])</f>
        <v>0</v>
      </c>
      <c r="L12" s="17">
        <f>SUBTOTAL(103,מרץ[10])</f>
        <v>0</v>
      </c>
      <c r="M12" s="17">
        <f>SUBTOTAL(103,מרץ[11])</f>
        <v>0</v>
      </c>
      <c r="N12" s="17">
        <f>SUBTOTAL(103,מרץ[12])</f>
        <v>0</v>
      </c>
      <c r="O12" s="17">
        <f>SUBTOTAL(103,מרץ[13])</f>
        <v>0</v>
      </c>
      <c r="P12" s="17">
        <f>SUBTOTAL(103,מרץ[14])</f>
        <v>0</v>
      </c>
      <c r="Q12" s="17">
        <f>SUBTOTAL(103,מרץ[15])</f>
        <v>0</v>
      </c>
      <c r="R12" s="17">
        <f>SUBTOTAL(103,מרץ[16])</f>
        <v>0</v>
      </c>
      <c r="S12" s="17">
        <f>SUBTOTAL(103,מרץ[17])</f>
        <v>0</v>
      </c>
      <c r="T12" s="17">
        <f>SUBTOTAL(103,מרץ[18])</f>
        <v>0</v>
      </c>
      <c r="U12" s="17">
        <f>SUBTOTAL(103,מרץ[19])</f>
        <v>0</v>
      </c>
      <c r="V12" s="17">
        <f>SUBTOTAL(103,מרץ[20])</f>
        <v>0</v>
      </c>
      <c r="W12" s="17">
        <f>SUBTOTAL(103,מרץ[21])</f>
        <v>0</v>
      </c>
      <c r="X12" s="17">
        <f>SUBTOTAL(103,מרץ[22])</f>
        <v>0</v>
      </c>
      <c r="Y12" s="17">
        <f>SUBTOTAL(103,מרץ[23])</f>
        <v>0</v>
      </c>
      <c r="Z12" s="17">
        <f>SUBTOTAL(103,מרץ[24])</f>
        <v>0</v>
      </c>
      <c r="AA12" s="17">
        <f>SUBTOTAL(103,מרץ[25])</f>
        <v>0</v>
      </c>
      <c r="AB12" s="17">
        <f>SUBTOTAL(103,מרץ[26])</f>
        <v>0</v>
      </c>
      <c r="AC12" s="17">
        <f>SUBTOTAL(103,מרץ[27])</f>
        <v>0</v>
      </c>
      <c r="AD12" s="17">
        <f>SUBTOTAL(103,מרץ[28])</f>
        <v>0</v>
      </c>
      <c r="AE12" s="17">
        <f>SUBTOTAL(103,מרץ[29])</f>
        <v>0</v>
      </c>
      <c r="AF12" s="17">
        <f>SUBTOTAL(103,מרץ[30])</f>
        <v>0</v>
      </c>
      <c r="AG12" s="17">
        <f>SUBTOTAL(103,מרץ[31])</f>
        <v>0</v>
      </c>
      <c r="AH12" s="17">
        <f>SUBTOTAL(109,מרץ[סה"כ ימים])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742" priority="2" stopIfTrue="1">
      <formula>C7=KeyCustom2</formula>
    </cfRule>
    <cfRule type="expression" dxfId="741" priority="3" stopIfTrue="1">
      <formula>C7=KeyCustom1</formula>
    </cfRule>
    <cfRule type="expression" dxfId="740" priority="4" stopIfTrue="1">
      <formula>C7=KeySick</formula>
    </cfRule>
    <cfRule type="expression" dxfId="739" priority="5" stopIfTrue="1">
      <formula>C7=KeyPersonal</formula>
    </cfRule>
    <cfRule type="expression" dxfId="738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{7C2B6C3E-666E-4369-8C57-FD32A7D03A3C}</x14:id>
        </ext>
      </extLst>
    </cfRule>
  </conditionalFormatting>
  <dataValidations count="14">
    <dataValidation allowBlank="1" showInputMessage="1" showErrorMessage="1" prompt="הימים בחודש בשורה זו נוצרים באופן אוטומטי. הזן את ההיעדרויות וסוגי ההיעדרויות של העובד בכל עמודה עבור כל יום בחודש. תא ריק מציין שלא היתה היעדרות" sqref="C6" xr:uid="{00000000-0002-0000-0200-000000000000}"/>
    <dataValidation allowBlank="1" showInputMessage="1" showErrorMessage="1" prompt="ימות השבוע בשורה זו מתעדכנים באופן אוטומטי עבור החודש, בהתאם לשנה בתא AH4. כל יום בחודש הוא עמודה המשמשת לציון ההיעדרות וסוג ההיעדרות של העובד" sqref="C5" xr:uid="{00000000-0002-0000-0200-000001000000}"/>
    <dataValidation allowBlank="1" showInputMessage="1" showErrorMessage="1" prompt="שם החודש עבור לוח הזמנים לניהול היעדרויות מופיע בתא זה. סה&quot;כ ההיעדרויות בחודש זה מופיע בתא האחרון של הטבלה. בחר את שמות העובדים בעמודה B של הטבלה" sqref="B4" xr:uid="{00000000-0002-0000-0200-000002000000}"/>
    <dataValidation allowBlank="1" showInputMessage="1" showErrorMessage="1" prompt="שורה זו מגדירה את המפתחות שמופיעים בטבלה: תא C2 מכיל 'חופשה', תא G2 מכיל 'אישי' ותא K2 מכיל 'חופשת מחלה'. תאים N2 ו- R2 ניתנים להתאמה אישית" sqref="B2" xr:uid="{00000000-0002-0000-0200-000003000000}"/>
    <dataValidation allowBlank="1" showInputMessage="1" showErrorMessage="1" prompt="הזן תווית כדי לתאר את המפתח המותאם אישית בצד ימין" sqref="O2:Q2 S2:U2" xr:uid="{00000000-0002-0000-0200-000004000000}"/>
    <dataValidation allowBlank="1" showInputMessage="1" showErrorMessage="1" prompt="הזן אות והתאם אישית את התווית בצד שמאל כדי להוסיף פריט מפתח אחר" sqref="N2 R2" xr:uid="{00000000-0002-0000-0200-000005000000}"/>
    <dataValidation allowBlank="1" showInputMessage="1" showErrorMessage="1" prompt="האות &quot;מ&quot; מציינת היעדרות עקב מחלה" sqref="K2" xr:uid="{00000000-0002-0000-0200-000006000000}"/>
    <dataValidation allowBlank="1" showInputMessage="1" showErrorMessage="1" prompt="האות &quot;א&quot; מציינת היעדרות עקב סיבות אישיות" sqref="G2" xr:uid="{00000000-0002-0000-0200-000007000000}"/>
    <dataValidation allowBlank="1" showInputMessage="1" showErrorMessage="1" prompt="האות &quot;ח&quot; מציינת היעדרות עקב חופשה" sqref="C2" xr:uid="{00000000-0002-0000-0200-000008000000}"/>
    <dataValidation allowBlank="1" showInputMessage="1" showErrorMessage="1" prompt="הכותרת בתא זה מתעדכנת באופן אוטומטי. כדי לשנות את הכותרת, עדכן את תא B1 בגליון העבודה 'ינואר'" sqref="B1" xr:uid="{00000000-0002-0000-0200-000009000000}"/>
    <dataValidation errorStyle="warning" allowBlank="1" showInputMessage="1" showErrorMessage="1" error="בחר שם מהרשימה. בחר 'ביטול', הקש ALT+חץ למטה ולאחר מכן הקש ENTER כדי לבחור שם" prompt="הזן את שמות העובדים בגליון העבודה 'שמות העובדים' ולאחר מכן בחר אחד מהשמות הללו ברשימה בעמודה זו. הקש ALT+חץ למטה ולאחר מכן הקש ENTER כדי לבחור שם" sqref="B6" xr:uid="{00000000-0002-0000-0200-00000A000000}"/>
    <dataValidation allowBlank="1" showInputMessage="1" showErrorMessage="1" prompt="עקוב אחר ההיעדרויות בחודש מרץ בגליון עבודה זה" sqref="A1" xr:uid="{00000000-0002-0000-0200-00000B000000}"/>
    <dataValidation allowBlank="1" showInputMessage="1" showErrorMessage="1" prompt="בעמודה זו מופיע חישוב אוטומטי של מספר ימי ההיעדרויות הכולל של העובד בחודש זה" sqref="AH6" xr:uid="{00000000-0002-0000-0200-00000C000000}"/>
    <dataValidation allowBlank="1" showInputMessage="1" showErrorMessage="1" prompt="השנה מתעדכנת באופן אוטומטי בהתבסס על השנה שהוזנה בגליון העבודה 'ינואר'" sqref="AH4" xr:uid="{00000000-0002-0000-0200-00000D000000}"/>
  </dataValidations>
  <printOptions horizontalCentered="1"/>
  <pageMargins left="0.25" right="0.25" top="0.75" bottom="0.75" header="0.3" footer="0.3"/>
  <pageSetup paperSize="9" scale="69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2B6C3E-666E-4369-8C57-FD32A7D03A3C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E000000}">
          <x14:formula1>
            <xm:f>'שמות העובדים'!$B$4:$B$8</xm:f>
          </x14:formula1>
          <xm:sqref>B7:B11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  <pageSetUpPr fitToPage="1"/>
  </sheetPr>
  <dimension ref="A1:AH12"/>
  <sheetViews>
    <sheetView showGridLines="0" rightToLeft="1" zoomScaleNormal="100" workbookViewId="0"/>
  </sheetViews>
  <sheetFormatPr defaultRowHeight="30" customHeight="1" x14ac:dyDescent="0.2"/>
  <cols>
    <col min="1" max="1" width="2.625" style="1" customWidth="1"/>
    <col min="2" max="2" width="25.625" style="1" customWidth="1"/>
    <col min="3" max="33" width="4.875" style="1" customWidth="1"/>
    <col min="34" max="34" width="13.5" style="1" customWidth="1"/>
    <col min="35" max="35" width="2.625" customWidth="1"/>
  </cols>
  <sheetData>
    <row r="1" spans="1:34" ht="50.1" customHeight="1" x14ac:dyDescent="0.2">
      <c r="A1" s="4"/>
      <c r="B1" s="3" t="str">
        <f>Employee_Absence_Title</f>
        <v>לוח זמנים לניהול היעדרות העובדים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5" customHeight="1" x14ac:dyDescent="0.2">
      <c r="A2" s="4"/>
      <c r="B2" s="5" t="s">
        <v>1</v>
      </c>
      <c r="C2" s="6" t="s">
        <v>9</v>
      </c>
      <c r="D2" s="27" t="s">
        <v>12</v>
      </c>
      <c r="E2" s="27"/>
      <c r="F2" s="27"/>
      <c r="G2" s="7" t="s">
        <v>15</v>
      </c>
      <c r="H2" s="27" t="s">
        <v>19</v>
      </c>
      <c r="I2" s="27"/>
      <c r="J2" s="27"/>
      <c r="K2" s="22" t="s">
        <v>17</v>
      </c>
      <c r="L2" s="27" t="s">
        <v>24</v>
      </c>
      <c r="M2" s="27"/>
      <c r="N2" s="23"/>
      <c r="O2" s="27" t="s">
        <v>28</v>
      </c>
      <c r="P2" s="27"/>
      <c r="Q2" s="27"/>
      <c r="R2" s="24"/>
      <c r="S2" s="27" t="s">
        <v>33</v>
      </c>
      <c r="T2" s="27"/>
      <c r="U2" s="27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5" customHeight="1" x14ac:dyDescent="0.2">
      <c r="A3" s="4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30" customHeight="1" x14ac:dyDescent="0.2">
      <c r="A4" s="4"/>
      <c r="B4" s="9" t="s">
        <v>55</v>
      </c>
      <c r="C4" s="26" t="s">
        <v>10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9">
        <f>CalendarYear</f>
        <v>2019</v>
      </c>
    </row>
    <row r="5" spans="1:34" ht="15" customHeight="1" x14ac:dyDescent="0.2">
      <c r="A5" s="4"/>
      <c r="B5" s="9"/>
      <c r="C5" s="10" t="str">
        <f>TEXT(WEEKDAY(DATE(CalendarYear,4,1),1),"aaa")</f>
        <v>יום ב</v>
      </c>
      <c r="D5" s="10" t="str">
        <f>TEXT(WEEKDAY(DATE(CalendarYear,4,2),1),"aaa")</f>
        <v>יום ג</v>
      </c>
      <c r="E5" s="10" t="str">
        <f>TEXT(WEEKDAY(DATE(CalendarYear,4,3),1),"aaa")</f>
        <v>יום ד</v>
      </c>
      <c r="F5" s="10" t="str">
        <f>TEXT(WEEKDAY(DATE(CalendarYear,4,4),1),"aaa")</f>
        <v>יום ה</v>
      </c>
      <c r="G5" s="10" t="str">
        <f>TEXT(WEEKDAY(DATE(CalendarYear,4,5),1),"aaa")</f>
        <v>יום ו</v>
      </c>
      <c r="H5" s="10" t="str">
        <f>TEXT(WEEKDAY(DATE(CalendarYear,4,6),1),"aaa")</f>
        <v>שבת</v>
      </c>
      <c r="I5" s="10" t="str">
        <f>TEXT(WEEKDAY(DATE(CalendarYear,4,7),1),"aaa")</f>
        <v>יום א</v>
      </c>
      <c r="J5" s="10" t="str">
        <f>TEXT(WEEKDAY(DATE(CalendarYear,4,8),1),"aaa")</f>
        <v>יום ב</v>
      </c>
      <c r="K5" s="10" t="str">
        <f>TEXT(WEEKDAY(DATE(CalendarYear,4,9),1),"aaa")</f>
        <v>יום ג</v>
      </c>
      <c r="L5" s="10" t="str">
        <f>TEXT(WEEKDAY(DATE(CalendarYear,4,10),1),"aaa")</f>
        <v>יום ד</v>
      </c>
      <c r="M5" s="10" t="str">
        <f>TEXT(WEEKDAY(DATE(CalendarYear,4,11),1),"aaa")</f>
        <v>יום ה</v>
      </c>
      <c r="N5" s="10" t="str">
        <f>TEXT(WEEKDAY(DATE(CalendarYear,4,12),1),"aaa")</f>
        <v>יום ו</v>
      </c>
      <c r="O5" s="10" t="str">
        <f>TEXT(WEEKDAY(DATE(CalendarYear,4,13),1),"aaa")</f>
        <v>שבת</v>
      </c>
      <c r="P5" s="10" t="str">
        <f>TEXT(WEEKDAY(DATE(CalendarYear,4,14),1),"aaa")</f>
        <v>יום א</v>
      </c>
      <c r="Q5" s="10" t="str">
        <f>TEXT(WEEKDAY(DATE(CalendarYear,4,15),1),"aaa")</f>
        <v>יום ב</v>
      </c>
      <c r="R5" s="10" t="str">
        <f>TEXT(WEEKDAY(DATE(CalendarYear,4,16),1),"aaa")</f>
        <v>יום ג</v>
      </c>
      <c r="S5" s="10" t="str">
        <f>TEXT(WEEKDAY(DATE(CalendarYear,4,17),1),"aaa")</f>
        <v>יום ד</v>
      </c>
      <c r="T5" s="10" t="str">
        <f>TEXT(WEEKDAY(DATE(CalendarYear,4,18),1),"aaa")</f>
        <v>יום ה</v>
      </c>
      <c r="U5" s="10" t="str">
        <f>TEXT(WEEKDAY(DATE(CalendarYear,4,19),1),"aaa")</f>
        <v>יום ו</v>
      </c>
      <c r="V5" s="10" t="str">
        <f>TEXT(WEEKDAY(DATE(CalendarYear,4,20),1),"aaa")</f>
        <v>שבת</v>
      </c>
      <c r="W5" s="10" t="str">
        <f>TEXT(WEEKDAY(DATE(CalendarYear,4,21),1),"aaa")</f>
        <v>יום א</v>
      </c>
      <c r="X5" s="10" t="str">
        <f>TEXT(WEEKDAY(DATE(CalendarYear,4,22),1),"aaa")</f>
        <v>יום ב</v>
      </c>
      <c r="Y5" s="10" t="str">
        <f>TEXT(WEEKDAY(DATE(CalendarYear,4,23),1),"aaa")</f>
        <v>יום ג</v>
      </c>
      <c r="Z5" s="10" t="str">
        <f>TEXT(WEEKDAY(DATE(CalendarYear,4,24),1),"aaa")</f>
        <v>יום ד</v>
      </c>
      <c r="AA5" s="10" t="str">
        <f>TEXT(WEEKDAY(DATE(CalendarYear,4,25),1),"aaa")</f>
        <v>יום ה</v>
      </c>
      <c r="AB5" s="10" t="str">
        <f>TEXT(WEEKDAY(DATE(CalendarYear,4,26),1),"aaa")</f>
        <v>יום ו</v>
      </c>
      <c r="AC5" s="10" t="str">
        <f>TEXT(WEEKDAY(DATE(CalendarYear,4,27),1),"aaa")</f>
        <v>שבת</v>
      </c>
      <c r="AD5" s="10" t="str">
        <f>TEXT(WEEKDAY(DATE(CalendarYear,4,28),1),"aaa")</f>
        <v>יום א</v>
      </c>
      <c r="AE5" s="10" t="str">
        <f>TEXT(WEEKDAY(DATE(CalendarYear,4,29),1),"aaa")</f>
        <v>יום ב</v>
      </c>
      <c r="AF5" s="10" t="str">
        <f>TEXT(WEEKDAY(DATE(CalendarYear,4,30),1),"aaa")</f>
        <v>יום ג</v>
      </c>
      <c r="AG5" s="10"/>
      <c r="AH5" s="9"/>
    </row>
    <row r="6" spans="1:34" ht="15" customHeight="1" x14ac:dyDescent="0.2">
      <c r="A6" s="4"/>
      <c r="B6" s="11" t="s">
        <v>3</v>
      </c>
      <c r="C6" s="12" t="s">
        <v>11</v>
      </c>
      <c r="D6" s="12" t="s">
        <v>13</v>
      </c>
      <c r="E6" s="12" t="s">
        <v>14</v>
      </c>
      <c r="F6" s="12" t="s">
        <v>16</v>
      </c>
      <c r="G6" s="12" t="s">
        <v>18</v>
      </c>
      <c r="H6" s="12" t="s">
        <v>20</v>
      </c>
      <c r="I6" s="12" t="s">
        <v>21</v>
      </c>
      <c r="J6" s="12" t="s">
        <v>22</v>
      </c>
      <c r="K6" s="12" t="s">
        <v>23</v>
      </c>
      <c r="L6" s="12" t="s">
        <v>25</v>
      </c>
      <c r="M6" s="12" t="s">
        <v>26</v>
      </c>
      <c r="N6" s="12" t="s">
        <v>27</v>
      </c>
      <c r="O6" s="12" t="s">
        <v>29</v>
      </c>
      <c r="P6" s="12" t="s">
        <v>30</v>
      </c>
      <c r="Q6" s="12" t="s">
        <v>31</v>
      </c>
      <c r="R6" s="12" t="s">
        <v>32</v>
      </c>
      <c r="S6" s="12" t="s">
        <v>34</v>
      </c>
      <c r="T6" s="12" t="s">
        <v>35</v>
      </c>
      <c r="U6" s="12" t="s">
        <v>36</v>
      </c>
      <c r="V6" s="12" t="s">
        <v>37</v>
      </c>
      <c r="W6" s="12" t="s">
        <v>38</v>
      </c>
      <c r="X6" s="12" t="s">
        <v>39</v>
      </c>
      <c r="Y6" s="12" t="s">
        <v>40</v>
      </c>
      <c r="Z6" s="12" t="s">
        <v>41</v>
      </c>
      <c r="AA6" s="12" t="s">
        <v>42</v>
      </c>
      <c r="AB6" s="12" t="s">
        <v>43</v>
      </c>
      <c r="AC6" s="12" t="s">
        <v>44</v>
      </c>
      <c r="AD6" s="12" t="s">
        <v>45</v>
      </c>
      <c r="AE6" s="12" t="s">
        <v>46</v>
      </c>
      <c r="AF6" s="12" t="s">
        <v>47</v>
      </c>
      <c r="AG6" s="25" t="s">
        <v>52</v>
      </c>
      <c r="AH6" s="13" t="s">
        <v>50</v>
      </c>
    </row>
    <row r="7" spans="1:34" ht="30" customHeight="1" x14ac:dyDescent="0.2">
      <c r="A7" s="4"/>
      <c r="B7" s="19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5">
        <f>COUNTA(אפריל[[#This Row],[1]:[30]])</f>
        <v>0</v>
      </c>
    </row>
    <row r="8" spans="1:34" ht="30" customHeight="1" x14ac:dyDescent="0.2">
      <c r="A8" s="4"/>
      <c r="B8" s="19" t="s">
        <v>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5">
        <f>COUNTA(אפריל[[#This Row],[1]:[30]])</f>
        <v>0</v>
      </c>
    </row>
    <row r="9" spans="1:34" ht="30" customHeight="1" x14ac:dyDescent="0.2">
      <c r="A9" s="4"/>
      <c r="B9" s="19" t="s">
        <v>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5">
        <f>COUNTA(אפריל[[#This Row],[1]:[30]])</f>
        <v>0</v>
      </c>
    </row>
    <row r="10" spans="1:34" ht="30" customHeight="1" x14ac:dyDescent="0.2">
      <c r="A10" s="4"/>
      <c r="B10" s="19" t="s">
        <v>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5">
        <f>COUNTA(אפריל[[#This Row],[1]:[30]])</f>
        <v>0</v>
      </c>
    </row>
    <row r="11" spans="1:34" ht="30" customHeight="1" x14ac:dyDescent="0.2">
      <c r="A11" s="4"/>
      <c r="B11" s="19" t="s">
        <v>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5">
        <f>COUNTA(אפריל[[#This Row],[1]:[30]])</f>
        <v>0</v>
      </c>
    </row>
    <row r="12" spans="1:34" ht="30" customHeight="1" x14ac:dyDescent="0.2">
      <c r="A12" s="4"/>
      <c r="B12" s="16" t="str">
        <f>"סך הכל "&amp;MonthName</f>
        <v>סך הכל אפריל</v>
      </c>
      <c r="C12" s="17">
        <f>SUBTOTAL(103,אפריל[1])</f>
        <v>0</v>
      </c>
      <c r="D12" s="17">
        <f>SUBTOTAL(103,אפריל[2])</f>
        <v>0</v>
      </c>
      <c r="E12" s="17">
        <f>SUBTOTAL(103,אפריל[3])</f>
        <v>0</v>
      </c>
      <c r="F12" s="17">
        <f>SUBTOTAL(103,אפריל[4])</f>
        <v>0</v>
      </c>
      <c r="G12" s="17">
        <f>SUBTOTAL(103,אפריל[5])</f>
        <v>0</v>
      </c>
      <c r="H12" s="17">
        <f>SUBTOTAL(103,אפריל[6])</f>
        <v>0</v>
      </c>
      <c r="I12" s="17">
        <f>SUBTOTAL(103,אפריל[7])</f>
        <v>0</v>
      </c>
      <c r="J12" s="17">
        <f>SUBTOTAL(103,אפריל[8])</f>
        <v>0</v>
      </c>
      <c r="K12" s="17">
        <f>SUBTOTAL(103,אפריל[9])</f>
        <v>0</v>
      </c>
      <c r="L12" s="17">
        <f>SUBTOTAL(103,אפריל[10])</f>
        <v>0</v>
      </c>
      <c r="M12" s="17">
        <f>SUBTOTAL(103,אפריל[11])</f>
        <v>0</v>
      </c>
      <c r="N12" s="17">
        <f>SUBTOTAL(103,אפריל[12])</f>
        <v>0</v>
      </c>
      <c r="O12" s="17">
        <f>SUBTOTAL(103,אפריל[13])</f>
        <v>0</v>
      </c>
      <c r="P12" s="17">
        <f>SUBTOTAL(103,אפריל[14])</f>
        <v>0</v>
      </c>
      <c r="Q12" s="17">
        <f>SUBTOTAL(103,אפריל[15])</f>
        <v>0</v>
      </c>
      <c r="R12" s="17">
        <f>SUBTOTAL(103,אפריל[16])</f>
        <v>0</v>
      </c>
      <c r="S12" s="17">
        <f>SUBTOTAL(103,אפריל[17])</f>
        <v>0</v>
      </c>
      <c r="T12" s="17">
        <f>SUBTOTAL(103,אפריל[18])</f>
        <v>0</v>
      </c>
      <c r="U12" s="17">
        <f>SUBTOTAL(103,אפריל[19])</f>
        <v>0</v>
      </c>
      <c r="V12" s="17">
        <f>SUBTOTAL(103,אפריל[20])</f>
        <v>0</v>
      </c>
      <c r="W12" s="17">
        <f>SUBTOTAL(103,אפריל[21])</f>
        <v>0</v>
      </c>
      <c r="X12" s="17">
        <f>SUBTOTAL(103,אפריל[22])</f>
        <v>0</v>
      </c>
      <c r="Y12" s="17">
        <f>SUBTOTAL(103,אפריל[23])</f>
        <v>0</v>
      </c>
      <c r="Z12" s="17">
        <f>SUBTOTAL(103,אפריל[24])</f>
        <v>0</v>
      </c>
      <c r="AA12" s="17">
        <f>SUBTOTAL(103,אפריל[25])</f>
        <v>0</v>
      </c>
      <c r="AB12" s="17">
        <f>SUBTOTAL(103,אפריל[26])</f>
        <v>0</v>
      </c>
      <c r="AC12" s="17">
        <f>SUBTOTAL(103,אפריל[27])</f>
        <v>0</v>
      </c>
      <c r="AD12" s="17">
        <f>SUBTOTAL(103,אפריל[28])</f>
        <v>0</v>
      </c>
      <c r="AE12" s="17">
        <f>SUBTOTAL(103,אפריל[29])</f>
        <v>0</v>
      </c>
      <c r="AF12" s="17">
        <f>SUBTOTAL(103,אפריל[30])</f>
        <v>0</v>
      </c>
      <c r="AG12" s="17">
        <f>SUBTOTAL(103,אפריל[30])</f>
        <v>0</v>
      </c>
      <c r="AH12" s="17">
        <f>SUBTOTAL(109,אפריל[סה"כ ימים])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668" priority="2" stopIfTrue="1">
      <formula>C7=KeyCustom2</formula>
    </cfRule>
    <cfRule type="expression" dxfId="667" priority="3" stopIfTrue="1">
      <formula>C7=KeyCustom1</formula>
    </cfRule>
    <cfRule type="expression" dxfId="666" priority="4" stopIfTrue="1">
      <formula>C7=KeySick</formula>
    </cfRule>
    <cfRule type="expression" dxfId="665" priority="5" stopIfTrue="1">
      <formula>C7=KeyPersonal</formula>
    </cfRule>
    <cfRule type="expression" dxfId="664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{0C86709F-D813-4066-A3F1-C30F11214F4B}</x14:id>
        </ext>
      </extLst>
    </cfRule>
  </conditionalFormatting>
  <dataValidations count="14">
    <dataValidation allowBlank="1" showInputMessage="1" showErrorMessage="1" prompt="השנה מתעדכנת באופן אוטומטי בהתבסס על השנה שהוזנה בגליון העבודה 'ינואר'" sqref="AH4" xr:uid="{00000000-0002-0000-0300-000000000000}"/>
    <dataValidation allowBlank="1" showInputMessage="1" showErrorMessage="1" prompt="בעמודה זו מופיע חישוב אוטומטי של מספר ימי ההיעדרויות הכולל של העובד בחודש זה" sqref="AH6" xr:uid="{00000000-0002-0000-0300-000001000000}"/>
    <dataValidation allowBlank="1" showInputMessage="1" showErrorMessage="1" prompt="עקוב אחר ההיעדרויות בחודש אפריל בגליון עבודה זה" sqref="A1" xr:uid="{00000000-0002-0000-0300-000002000000}"/>
    <dataValidation errorStyle="warning" allowBlank="1" showInputMessage="1" showErrorMessage="1" error="בחר שם מהרשימה. בחר 'ביטול', הקש ALT+חץ למטה ולאחר מכן הקש ENTER כדי לבחור שם" prompt="הזן את שמות העובדים בגליון העבודה 'שמות העובדים' ולאחר מכן בחר אחד מהשמות הללו ברשימה בעמודה זו. הקש ALT+חץ למטה ולאחר מכן הקש ENTER כדי לבחור שם" sqref="B6" xr:uid="{00000000-0002-0000-0300-000003000000}"/>
    <dataValidation allowBlank="1" showInputMessage="1" showErrorMessage="1" prompt="הכותרת בתא זה מתעדכנת באופן אוטומטי. כדי לשנות את הכותרת, עדכן את תא B1 בגליון העבודה 'ינואר'" sqref="B1" xr:uid="{00000000-0002-0000-0300-000004000000}"/>
    <dataValidation allowBlank="1" showInputMessage="1" showErrorMessage="1" prompt="האות &quot;ח&quot; מציינת היעדרות עקב חופשה" sqref="C2" xr:uid="{00000000-0002-0000-0300-000005000000}"/>
    <dataValidation allowBlank="1" showInputMessage="1" showErrorMessage="1" prompt="האות &quot;א&quot; מציינת היעדרות עקב סיבות אישיות" sqref="G2" xr:uid="{00000000-0002-0000-0300-000006000000}"/>
    <dataValidation allowBlank="1" showInputMessage="1" showErrorMessage="1" prompt="האות &quot;מ&quot; מציינת היעדרות עקב מחלה" sqref="K2" xr:uid="{00000000-0002-0000-0300-000007000000}"/>
    <dataValidation allowBlank="1" showInputMessage="1" showErrorMessage="1" prompt="הזן אות והתאם אישית את התווית בצד שמאל כדי להוסיף פריט מפתח אחר" sqref="N2 R2" xr:uid="{00000000-0002-0000-0300-000008000000}"/>
    <dataValidation allowBlank="1" showInputMessage="1" showErrorMessage="1" prompt="הזן תווית כדי לתאר את המפתח המותאם אישית בצד ימין" sqref="O2:Q2 S2:U2" xr:uid="{00000000-0002-0000-0300-000009000000}"/>
    <dataValidation allowBlank="1" showInputMessage="1" showErrorMessage="1" prompt="שורה זו מגדירה את המפתחות שמופיעים בטבלה: תא C2 מכיל 'חופשה', תא G2 מכיל 'אישי' ותא K2 מכיל 'חופשת מחלה'. תאים N2 ו- R2 ניתנים להתאמה אישית" sqref="B2" xr:uid="{00000000-0002-0000-0300-00000A000000}"/>
    <dataValidation allowBlank="1" showInputMessage="1" showErrorMessage="1" prompt="שם החודש עבור לוח הזמנים לניהול היעדרויות מופיע בתא זה. סה&quot;כ ההיעדרויות בחודש זה מופיע בתא האחרון של הטבלה. בחר את שמות העובדים בעמודה B של הטבלה" sqref="B4" xr:uid="{00000000-0002-0000-0300-00000B000000}"/>
    <dataValidation allowBlank="1" showInputMessage="1" showErrorMessage="1" prompt="הימים בחודש בשורה זו נוצרים באופן אוטומטי. הזן את ההיעדרויות וסוגי ההיעדרויות של העובד בכל עמודה עבור כל יום בחודש. תא ריק מציין שלא היתה היעדרות" sqref="C6" xr:uid="{00000000-0002-0000-0300-00000C000000}"/>
    <dataValidation allowBlank="1" showInputMessage="1" showErrorMessage="1" prompt="ימות השבוע בשורה זו מתעדכנים באופן אוטומטי עבור החודש, בהתאם לשנה בתא AH4. כל יום בחודש הוא עמודה המשמשת לציון ההיעדרות וסוג ההיעדרות של העובד" sqref="C5" xr:uid="{00000000-0002-0000-0300-00000D000000}"/>
  </dataValidations>
  <printOptions horizontalCentered="1"/>
  <pageMargins left="0.25" right="0.25" top="0.75" bottom="0.75" header="0.3" footer="0.3"/>
  <pageSetup paperSize="9" scale="69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86709F-D813-4066-A3F1-C30F11214F4B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E000000}">
          <x14:formula1>
            <xm:f>'שמות העובדים'!$B$4:$B$8</xm:f>
          </x14:formula1>
          <xm:sqref>B7:B11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AH12"/>
  <sheetViews>
    <sheetView showGridLines="0" rightToLeft="1" zoomScaleNormal="100" workbookViewId="0"/>
  </sheetViews>
  <sheetFormatPr defaultRowHeight="30" customHeight="1" x14ac:dyDescent="0.2"/>
  <cols>
    <col min="1" max="1" width="2.625" style="1" customWidth="1"/>
    <col min="2" max="2" width="25.625" style="1" customWidth="1"/>
    <col min="3" max="33" width="4.875" style="1" customWidth="1"/>
    <col min="34" max="34" width="13.5" style="1" customWidth="1"/>
    <col min="35" max="35" width="2.625" customWidth="1"/>
  </cols>
  <sheetData>
    <row r="1" spans="1:34" ht="50.1" customHeight="1" x14ac:dyDescent="0.2">
      <c r="A1" s="4"/>
      <c r="B1" s="3" t="str">
        <f>Employee_Absence_Title</f>
        <v>לוח זמנים לניהול היעדרות העובדים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5" customHeight="1" x14ac:dyDescent="0.2">
      <c r="A2" s="4"/>
      <c r="B2" s="5" t="s">
        <v>1</v>
      </c>
      <c r="C2" s="6" t="s">
        <v>9</v>
      </c>
      <c r="D2" s="27" t="s">
        <v>12</v>
      </c>
      <c r="E2" s="27"/>
      <c r="F2" s="27"/>
      <c r="G2" s="7" t="s">
        <v>15</v>
      </c>
      <c r="H2" s="27" t="s">
        <v>19</v>
      </c>
      <c r="I2" s="27"/>
      <c r="J2" s="27"/>
      <c r="K2" s="22" t="s">
        <v>17</v>
      </c>
      <c r="L2" s="27" t="s">
        <v>24</v>
      </c>
      <c r="M2" s="27"/>
      <c r="N2" s="23"/>
      <c r="O2" s="27" t="s">
        <v>28</v>
      </c>
      <c r="P2" s="27"/>
      <c r="Q2" s="27"/>
      <c r="R2" s="24"/>
      <c r="S2" s="27" t="s">
        <v>33</v>
      </c>
      <c r="T2" s="27"/>
      <c r="U2" s="27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5" customHeight="1" x14ac:dyDescent="0.2">
      <c r="A3" s="4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30" customHeight="1" x14ac:dyDescent="0.2">
      <c r="A4" s="4"/>
      <c r="B4" s="9" t="s">
        <v>56</v>
      </c>
      <c r="C4" s="26" t="s">
        <v>10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9">
        <f>CalendarYear</f>
        <v>2019</v>
      </c>
    </row>
    <row r="5" spans="1:34" ht="15" customHeight="1" x14ac:dyDescent="0.2">
      <c r="A5" s="4"/>
      <c r="B5" s="9"/>
      <c r="C5" s="10" t="str">
        <f>TEXT(WEEKDAY(DATE(CalendarYear,5,1),1),"aaa")</f>
        <v>יום ד</v>
      </c>
      <c r="D5" s="10" t="str">
        <f>TEXT(WEEKDAY(DATE(CalendarYear,5,2),1),"aaa")</f>
        <v>יום ה</v>
      </c>
      <c r="E5" s="10" t="str">
        <f>TEXT(WEEKDAY(DATE(CalendarYear,5,3),1),"aaa")</f>
        <v>יום ו</v>
      </c>
      <c r="F5" s="10" t="str">
        <f>TEXT(WEEKDAY(DATE(CalendarYear,5,4),1),"aaa")</f>
        <v>שבת</v>
      </c>
      <c r="G5" s="10" t="str">
        <f>TEXT(WEEKDAY(DATE(CalendarYear,5,5),1),"aaa")</f>
        <v>יום א</v>
      </c>
      <c r="H5" s="10" t="str">
        <f>TEXT(WEEKDAY(DATE(CalendarYear,5,6),1),"aaa")</f>
        <v>יום ב</v>
      </c>
      <c r="I5" s="10" t="str">
        <f>TEXT(WEEKDAY(DATE(CalendarYear,5,7),1),"aaa")</f>
        <v>יום ג</v>
      </c>
      <c r="J5" s="10" t="str">
        <f>TEXT(WEEKDAY(DATE(CalendarYear,5,8),1),"aaa")</f>
        <v>יום ד</v>
      </c>
      <c r="K5" s="10" t="str">
        <f>TEXT(WEEKDAY(DATE(CalendarYear,5,9),1),"aaa")</f>
        <v>יום ה</v>
      </c>
      <c r="L5" s="10" t="str">
        <f>TEXT(WEEKDAY(DATE(CalendarYear,5,10),1),"aaa")</f>
        <v>יום ו</v>
      </c>
      <c r="M5" s="10" t="str">
        <f>TEXT(WEEKDAY(DATE(CalendarYear,5,11),1),"aaa")</f>
        <v>שבת</v>
      </c>
      <c r="N5" s="10" t="str">
        <f>TEXT(WEEKDAY(DATE(CalendarYear,5,12),1),"aaa")</f>
        <v>יום א</v>
      </c>
      <c r="O5" s="10" t="str">
        <f>TEXT(WEEKDAY(DATE(CalendarYear,5,13),1),"aaa")</f>
        <v>יום ב</v>
      </c>
      <c r="P5" s="10" t="str">
        <f>TEXT(WEEKDAY(DATE(CalendarYear,5,14),1),"aaa")</f>
        <v>יום ג</v>
      </c>
      <c r="Q5" s="10" t="str">
        <f>TEXT(WEEKDAY(DATE(CalendarYear,5,15),1),"aaa")</f>
        <v>יום ד</v>
      </c>
      <c r="R5" s="10" t="str">
        <f>TEXT(WEEKDAY(DATE(CalendarYear,5,16),1),"aaa")</f>
        <v>יום ה</v>
      </c>
      <c r="S5" s="10" t="str">
        <f>TEXT(WEEKDAY(DATE(CalendarYear,5,17),1),"aaa")</f>
        <v>יום ו</v>
      </c>
      <c r="T5" s="10" t="str">
        <f>TEXT(WEEKDAY(DATE(CalendarYear,5,18),1),"aaa")</f>
        <v>שבת</v>
      </c>
      <c r="U5" s="10" t="str">
        <f>TEXT(WEEKDAY(DATE(CalendarYear,5,19),1),"aaa")</f>
        <v>יום א</v>
      </c>
      <c r="V5" s="10" t="str">
        <f>TEXT(WEEKDAY(DATE(CalendarYear,5,20),1),"aaa")</f>
        <v>יום ב</v>
      </c>
      <c r="W5" s="10" t="str">
        <f>TEXT(WEEKDAY(DATE(CalendarYear,5,21),1),"aaa")</f>
        <v>יום ג</v>
      </c>
      <c r="X5" s="10" t="str">
        <f>TEXT(WEEKDAY(DATE(CalendarYear,5,22),1),"aaa")</f>
        <v>יום ד</v>
      </c>
      <c r="Y5" s="10" t="str">
        <f>TEXT(WEEKDAY(DATE(CalendarYear,5,23),1),"aaa")</f>
        <v>יום ה</v>
      </c>
      <c r="Z5" s="10" t="str">
        <f>TEXT(WEEKDAY(DATE(CalendarYear,5,24),1),"aaa")</f>
        <v>יום ו</v>
      </c>
      <c r="AA5" s="10" t="str">
        <f>TEXT(WEEKDAY(DATE(CalendarYear,5,25),1),"aaa")</f>
        <v>שבת</v>
      </c>
      <c r="AB5" s="10" t="str">
        <f>TEXT(WEEKDAY(DATE(CalendarYear,5,26),1),"aaa")</f>
        <v>יום א</v>
      </c>
      <c r="AC5" s="10" t="str">
        <f>TEXT(WEEKDAY(DATE(CalendarYear,5,27),1),"aaa")</f>
        <v>יום ב</v>
      </c>
      <c r="AD5" s="10" t="str">
        <f>TEXT(WEEKDAY(DATE(CalendarYear,5,28),1),"aaa")</f>
        <v>יום ג</v>
      </c>
      <c r="AE5" s="10" t="str">
        <f>TEXT(WEEKDAY(DATE(CalendarYear,5,29),1),"aaa")</f>
        <v>יום ד</v>
      </c>
      <c r="AF5" s="10" t="str">
        <f>TEXT(WEEKDAY(DATE(CalendarYear,5,30),1),"aaa")</f>
        <v>יום ה</v>
      </c>
      <c r="AG5" s="10" t="str">
        <f>TEXT(WEEKDAY(DATE(CalendarYear,5,31),1),"aaa")</f>
        <v>יום ו</v>
      </c>
      <c r="AH5" s="9"/>
    </row>
    <row r="6" spans="1:34" ht="15" customHeight="1" x14ac:dyDescent="0.2">
      <c r="A6" s="4"/>
      <c r="B6" s="11" t="s">
        <v>3</v>
      </c>
      <c r="C6" s="12" t="s">
        <v>11</v>
      </c>
      <c r="D6" s="12" t="s">
        <v>13</v>
      </c>
      <c r="E6" s="12" t="s">
        <v>14</v>
      </c>
      <c r="F6" s="12" t="s">
        <v>16</v>
      </c>
      <c r="G6" s="12" t="s">
        <v>18</v>
      </c>
      <c r="H6" s="12" t="s">
        <v>20</v>
      </c>
      <c r="I6" s="12" t="s">
        <v>21</v>
      </c>
      <c r="J6" s="12" t="s">
        <v>22</v>
      </c>
      <c r="K6" s="12" t="s">
        <v>23</v>
      </c>
      <c r="L6" s="12" t="s">
        <v>25</v>
      </c>
      <c r="M6" s="12" t="s">
        <v>26</v>
      </c>
      <c r="N6" s="12" t="s">
        <v>27</v>
      </c>
      <c r="O6" s="12" t="s">
        <v>29</v>
      </c>
      <c r="P6" s="12" t="s">
        <v>30</v>
      </c>
      <c r="Q6" s="12" t="s">
        <v>31</v>
      </c>
      <c r="R6" s="12" t="s">
        <v>32</v>
      </c>
      <c r="S6" s="12" t="s">
        <v>34</v>
      </c>
      <c r="T6" s="12" t="s">
        <v>35</v>
      </c>
      <c r="U6" s="12" t="s">
        <v>36</v>
      </c>
      <c r="V6" s="12" t="s">
        <v>37</v>
      </c>
      <c r="W6" s="12" t="s">
        <v>38</v>
      </c>
      <c r="X6" s="12" t="s">
        <v>39</v>
      </c>
      <c r="Y6" s="12" t="s">
        <v>40</v>
      </c>
      <c r="Z6" s="12" t="s">
        <v>41</v>
      </c>
      <c r="AA6" s="12" t="s">
        <v>42</v>
      </c>
      <c r="AB6" s="12" t="s">
        <v>43</v>
      </c>
      <c r="AC6" s="12" t="s">
        <v>44</v>
      </c>
      <c r="AD6" s="12" t="s">
        <v>45</v>
      </c>
      <c r="AE6" s="12" t="s">
        <v>46</v>
      </c>
      <c r="AF6" s="12" t="s">
        <v>47</v>
      </c>
      <c r="AG6" s="12" t="s">
        <v>48</v>
      </c>
      <c r="AH6" s="13" t="s">
        <v>50</v>
      </c>
    </row>
    <row r="7" spans="1:34" ht="30" customHeight="1" x14ac:dyDescent="0.2">
      <c r="A7" s="4"/>
      <c r="B7" s="19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5">
        <f>COUNTA(מאי[[#This Row],[1]:[31]])</f>
        <v>0</v>
      </c>
    </row>
    <row r="8" spans="1:34" ht="30" customHeight="1" x14ac:dyDescent="0.2">
      <c r="A8" s="4"/>
      <c r="B8" s="19" t="s">
        <v>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5">
        <f>COUNTA(מאי[[#This Row],[1]:[31]])</f>
        <v>0</v>
      </c>
    </row>
    <row r="9" spans="1:34" ht="30" customHeight="1" x14ac:dyDescent="0.2">
      <c r="A9" s="4"/>
      <c r="B9" s="19" t="s">
        <v>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5">
        <f>COUNTA(מאי[[#This Row],[1]:[31]])</f>
        <v>0</v>
      </c>
    </row>
    <row r="10" spans="1:34" ht="30" customHeight="1" x14ac:dyDescent="0.2">
      <c r="A10" s="4"/>
      <c r="B10" s="19" t="s">
        <v>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5">
        <f>COUNTA(מאי[[#This Row],[1]:[31]])</f>
        <v>0</v>
      </c>
    </row>
    <row r="11" spans="1:34" ht="30" customHeight="1" x14ac:dyDescent="0.2">
      <c r="A11" s="4"/>
      <c r="B11" s="19" t="s">
        <v>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5">
        <f>COUNTA(מאי[[#This Row],[1]:[31]])</f>
        <v>0</v>
      </c>
    </row>
    <row r="12" spans="1:34" ht="30" customHeight="1" x14ac:dyDescent="0.2">
      <c r="A12" s="4"/>
      <c r="B12" s="16" t="str">
        <f>"סך הכל "&amp;MonthName</f>
        <v>סך הכל מאי</v>
      </c>
      <c r="C12" s="17">
        <f>SUBTOTAL(103,מאי[1])</f>
        <v>0</v>
      </c>
      <c r="D12" s="17">
        <f>SUBTOTAL(103,מאי[2])</f>
        <v>0</v>
      </c>
      <c r="E12" s="17">
        <f>SUBTOTAL(103,מאי[3])</f>
        <v>0</v>
      </c>
      <c r="F12" s="17">
        <f>SUBTOTAL(103,מאי[4])</f>
        <v>0</v>
      </c>
      <c r="G12" s="17">
        <f>SUBTOTAL(103,מאי[5])</f>
        <v>0</v>
      </c>
      <c r="H12" s="17">
        <f>SUBTOTAL(103,מאי[6])</f>
        <v>0</v>
      </c>
      <c r="I12" s="17">
        <f>SUBTOTAL(103,מאי[7])</f>
        <v>0</v>
      </c>
      <c r="J12" s="17">
        <f>SUBTOTAL(103,מאי[8])</f>
        <v>0</v>
      </c>
      <c r="K12" s="17">
        <f>SUBTOTAL(103,מאי[9])</f>
        <v>0</v>
      </c>
      <c r="L12" s="17">
        <f>SUBTOTAL(103,מאי[10])</f>
        <v>0</v>
      </c>
      <c r="M12" s="17">
        <f>SUBTOTAL(103,מאי[11])</f>
        <v>0</v>
      </c>
      <c r="N12" s="17">
        <f>SUBTOTAL(103,מאי[12])</f>
        <v>0</v>
      </c>
      <c r="O12" s="17">
        <f>SUBTOTAL(103,מאי[13])</f>
        <v>0</v>
      </c>
      <c r="P12" s="17">
        <f>SUBTOTAL(103,מאי[14])</f>
        <v>0</v>
      </c>
      <c r="Q12" s="17">
        <f>SUBTOTAL(103,מאי[15])</f>
        <v>0</v>
      </c>
      <c r="R12" s="17">
        <f>SUBTOTAL(103,מאי[16])</f>
        <v>0</v>
      </c>
      <c r="S12" s="17">
        <f>SUBTOTAL(103,מאי[17])</f>
        <v>0</v>
      </c>
      <c r="T12" s="17">
        <f>SUBTOTAL(103,מאי[18])</f>
        <v>0</v>
      </c>
      <c r="U12" s="17">
        <f>SUBTOTAL(103,מאי[19])</f>
        <v>0</v>
      </c>
      <c r="V12" s="17">
        <f>SUBTOTAL(103,מאי[20])</f>
        <v>0</v>
      </c>
      <c r="W12" s="17">
        <f>SUBTOTAL(103,מאי[21])</f>
        <v>0</v>
      </c>
      <c r="X12" s="17">
        <f>SUBTOTAL(103,מאי[22])</f>
        <v>0</v>
      </c>
      <c r="Y12" s="17">
        <f>SUBTOTAL(103,מאי[23])</f>
        <v>0</v>
      </c>
      <c r="Z12" s="17">
        <f>SUBTOTAL(103,מאי[24])</f>
        <v>0</v>
      </c>
      <c r="AA12" s="17">
        <f>SUBTOTAL(103,מאי[25])</f>
        <v>0</v>
      </c>
      <c r="AB12" s="17">
        <f>SUBTOTAL(103,מאי[26])</f>
        <v>0</v>
      </c>
      <c r="AC12" s="17">
        <f>SUBTOTAL(103,מאי[27])</f>
        <v>0</v>
      </c>
      <c r="AD12" s="17">
        <f>SUBTOTAL(103,מאי[28])</f>
        <v>0</v>
      </c>
      <c r="AE12" s="17">
        <f>SUBTOTAL(103,מאי[29])</f>
        <v>0</v>
      </c>
      <c r="AF12" s="17">
        <f>SUBTOTAL(103,מאי[30])</f>
        <v>0</v>
      </c>
      <c r="AG12" s="17">
        <f>SUBTOTAL(103,מאי[31])</f>
        <v>0</v>
      </c>
      <c r="AH12" s="17">
        <f>SUBTOTAL(109,מאי[סה"כ ימים])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627" priority="2" stopIfTrue="1">
      <formula>C7=KeyCustom2</formula>
    </cfRule>
    <cfRule type="expression" dxfId="626" priority="3" stopIfTrue="1">
      <formula>C7=KeyCustom1</formula>
    </cfRule>
    <cfRule type="expression" dxfId="625" priority="4" stopIfTrue="1">
      <formula>C7=KeySick</formula>
    </cfRule>
    <cfRule type="expression" dxfId="624" priority="5" stopIfTrue="1">
      <formula>C7=KeyPersonal</formula>
    </cfRule>
    <cfRule type="expression" dxfId="623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{5670947F-8B3C-4A6C-A280-4F5E10811DCE}</x14:id>
        </ext>
      </extLst>
    </cfRule>
  </conditionalFormatting>
  <dataValidations count="14">
    <dataValidation allowBlank="1" showInputMessage="1" showErrorMessage="1" prompt="הימים בחודש בשורה זו נוצרים באופן אוטומטי. הזן את ההיעדרויות וסוגי ההיעדרויות של העובד בכל עמודה עבור כל יום בחודש. תא ריק מציין שלא היתה היעדרות" sqref="C6" xr:uid="{00000000-0002-0000-0400-000000000000}"/>
    <dataValidation allowBlank="1" showInputMessage="1" showErrorMessage="1" prompt="שם החודש עבור לוח הזמנים לניהול היעדרויות מופיע בתא זה. סה&quot;כ ההיעדרויות בחודש זה מופיע בתא האחרון של הטבלה. בחר את שמות העובדים בעמודה B של הטבלה" sqref="B4" xr:uid="{00000000-0002-0000-0400-000001000000}"/>
    <dataValidation allowBlank="1" showInputMessage="1" showErrorMessage="1" prompt="שורה זו מגדירה את המפתחות שמופיעים בטבלה: תא C2 מכיל 'חופשה', תא G2 מכיל 'אישי' ותא K2 מכיל 'חופשת מחלה'. תאים N2 ו- R2 ניתנים להתאמה אישית" sqref="B2" xr:uid="{00000000-0002-0000-0400-000002000000}"/>
    <dataValidation allowBlank="1" showInputMessage="1" showErrorMessage="1" prompt="הזן תווית כדי לתאר את המפתח המותאם אישית בצד ימין" sqref="O2:Q2 S2:U2" xr:uid="{00000000-0002-0000-0400-000003000000}"/>
    <dataValidation allowBlank="1" showInputMessage="1" showErrorMessage="1" prompt="הזן אות והתאם אישית את התווית בצד שמאל כדי להוסיף פריט מפתח אחר" sqref="N2 R2" xr:uid="{00000000-0002-0000-0400-000004000000}"/>
    <dataValidation allowBlank="1" showInputMessage="1" showErrorMessage="1" prompt="האות &quot;מ&quot; מציינת היעדרות עקב מחלה" sqref="K2" xr:uid="{00000000-0002-0000-0400-000005000000}"/>
    <dataValidation allowBlank="1" showInputMessage="1" showErrorMessage="1" prompt="האות &quot;א&quot; מציינת היעדרות עקב סיבות אישיות" sqref="G2" xr:uid="{00000000-0002-0000-0400-000006000000}"/>
    <dataValidation allowBlank="1" showInputMessage="1" showErrorMessage="1" prompt="האות &quot;ח&quot; מציינת היעדרות עקב חופשה" sqref="C2" xr:uid="{00000000-0002-0000-0400-000007000000}"/>
    <dataValidation allowBlank="1" showInputMessage="1" showErrorMessage="1" prompt="הכותרת בתא זה מתעדכנת באופן אוטומטי. כדי לשנות את הכותרת, עדכן את תא B1 בגליון העבודה 'ינואר'" sqref="B1" xr:uid="{00000000-0002-0000-0400-000008000000}"/>
    <dataValidation errorStyle="warning" allowBlank="1" showInputMessage="1" showErrorMessage="1" error="בחר שם מהרשימה. בחר 'ביטול', הקש ALT+חץ למטה ולאחר מכן הקש ENTER כדי לבחור שם" prompt="הזן את שמות העובדים בגליון העבודה 'שמות העובדים' ולאחר מכן בחר אחד מהשמות הללו ברשימה בעמודה זו. הקש ALT+חץ למטה ולאחר מכן הקש ENTER כדי לבחור שם" sqref="B6" xr:uid="{00000000-0002-0000-0400-000009000000}"/>
    <dataValidation allowBlank="1" showInputMessage="1" showErrorMessage="1" prompt="עקוב אחר ההיעדרויות בחודש מאי בגליון עבודה זה" sqref="A1" xr:uid="{00000000-0002-0000-0400-00000A000000}"/>
    <dataValidation allowBlank="1" showInputMessage="1" showErrorMessage="1" prompt="בעמודה זו מופיע חישוב אוטומטי של מספר ימי ההיעדרויות הכולל של העובד בחודש זה" sqref="AH6" xr:uid="{00000000-0002-0000-0400-00000B000000}"/>
    <dataValidation allowBlank="1" showInputMessage="1" showErrorMessage="1" prompt="השנה מתעדכנת באופן אוטומטי בהתבסס על השנה שהוזנה בגליון העבודה 'ינואר'" sqref="AH4" xr:uid="{00000000-0002-0000-0400-00000C000000}"/>
    <dataValidation allowBlank="1" showInputMessage="1" showErrorMessage="1" prompt="ימות השבוע בשורה זו מתעדכנים באופן אוטומטי עבור החודש, בהתאם לשנה בתא AH4. כל יום בחודש הוא עמודה המשמשת לציון ההיעדרות וסוג ההיעדרות של העובד" sqref="C5" xr:uid="{00000000-0002-0000-0400-00000D000000}"/>
  </dataValidations>
  <printOptions horizontalCentered="1"/>
  <pageMargins left="0.25" right="0.25" top="0.75" bottom="0.75" header="0.3" footer="0.3"/>
  <pageSetup paperSize="9" scale="69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70947F-8B3C-4A6C-A280-4F5E10811DCE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E000000}">
          <x14:formula1>
            <xm:f>'שמות העובדים'!$B$4:$B$8</xm:f>
          </x14:formula1>
          <xm:sqref>B7:B11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/>
    <pageSetUpPr fitToPage="1"/>
  </sheetPr>
  <dimension ref="A1:AH12"/>
  <sheetViews>
    <sheetView showGridLines="0" rightToLeft="1" zoomScaleNormal="100" workbookViewId="0"/>
  </sheetViews>
  <sheetFormatPr defaultRowHeight="30" customHeight="1" x14ac:dyDescent="0.2"/>
  <cols>
    <col min="1" max="1" width="2.625" style="1" customWidth="1"/>
    <col min="2" max="2" width="25.625" style="1" customWidth="1"/>
    <col min="3" max="33" width="4.875" style="1" customWidth="1"/>
    <col min="34" max="34" width="13.5" style="1" customWidth="1"/>
    <col min="35" max="35" width="2.625" customWidth="1"/>
  </cols>
  <sheetData>
    <row r="1" spans="1:34" ht="50.1" customHeight="1" x14ac:dyDescent="0.2">
      <c r="A1" s="4"/>
      <c r="B1" s="3" t="str">
        <f>Employee_Absence_Title</f>
        <v>לוח זמנים לניהול היעדרות העובדים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5" customHeight="1" x14ac:dyDescent="0.2">
      <c r="A2" s="4"/>
      <c r="B2" s="5" t="s">
        <v>1</v>
      </c>
      <c r="C2" s="6" t="s">
        <v>9</v>
      </c>
      <c r="D2" s="27" t="s">
        <v>12</v>
      </c>
      <c r="E2" s="27"/>
      <c r="F2" s="27"/>
      <c r="G2" s="7" t="s">
        <v>15</v>
      </c>
      <c r="H2" s="27" t="s">
        <v>19</v>
      </c>
      <c r="I2" s="27"/>
      <c r="J2" s="27"/>
      <c r="K2" s="22" t="s">
        <v>17</v>
      </c>
      <c r="L2" s="27" t="s">
        <v>24</v>
      </c>
      <c r="M2" s="27"/>
      <c r="N2" s="23"/>
      <c r="O2" s="27" t="s">
        <v>28</v>
      </c>
      <c r="P2" s="27"/>
      <c r="Q2" s="27"/>
      <c r="R2" s="24"/>
      <c r="S2" s="27" t="s">
        <v>33</v>
      </c>
      <c r="T2" s="27"/>
      <c r="U2" s="27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5" customHeight="1" x14ac:dyDescent="0.2">
      <c r="A3" s="4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30" customHeight="1" x14ac:dyDescent="0.2">
      <c r="A4" s="4"/>
      <c r="B4" s="9" t="s">
        <v>57</v>
      </c>
      <c r="C4" s="26" t="s">
        <v>10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9">
        <f>CalendarYear</f>
        <v>2019</v>
      </c>
    </row>
    <row r="5" spans="1:34" ht="15" customHeight="1" x14ac:dyDescent="0.2">
      <c r="A5" s="4"/>
      <c r="B5" s="9"/>
      <c r="C5" s="10" t="str">
        <f>TEXT(WEEKDAY(DATE(CalendarYear,6,1),1),"aaa")</f>
        <v>שבת</v>
      </c>
      <c r="D5" s="10" t="str">
        <f>TEXT(WEEKDAY(DATE(CalendarYear,6,2),1),"aaa")</f>
        <v>יום א</v>
      </c>
      <c r="E5" s="10" t="str">
        <f>TEXT(WEEKDAY(DATE(CalendarYear,6,3),1),"aaa")</f>
        <v>יום ב</v>
      </c>
      <c r="F5" s="10" t="str">
        <f>TEXT(WEEKDAY(DATE(CalendarYear,6,4),1),"aaa")</f>
        <v>יום ג</v>
      </c>
      <c r="G5" s="10" t="str">
        <f>TEXT(WEEKDAY(DATE(CalendarYear,6,5),1),"aaa")</f>
        <v>יום ד</v>
      </c>
      <c r="H5" s="10" t="str">
        <f>TEXT(WEEKDAY(DATE(CalendarYear,6,6),1),"aaa")</f>
        <v>יום ה</v>
      </c>
      <c r="I5" s="10" t="str">
        <f>TEXT(WEEKDAY(DATE(CalendarYear,6,7),1),"aaa")</f>
        <v>יום ו</v>
      </c>
      <c r="J5" s="10" t="str">
        <f>TEXT(WEEKDAY(DATE(CalendarYear,6,8),1),"aaa")</f>
        <v>שבת</v>
      </c>
      <c r="K5" s="10" t="str">
        <f>TEXT(WEEKDAY(DATE(CalendarYear,6,9),1),"aaa")</f>
        <v>יום א</v>
      </c>
      <c r="L5" s="10" t="str">
        <f>TEXT(WEEKDAY(DATE(CalendarYear,6,10),1),"aaa")</f>
        <v>יום ב</v>
      </c>
      <c r="M5" s="10" t="str">
        <f>TEXT(WEEKDAY(DATE(CalendarYear,6,11),1),"aaa")</f>
        <v>יום ג</v>
      </c>
      <c r="N5" s="10" t="str">
        <f>TEXT(WEEKDAY(DATE(CalendarYear,6,12),1),"aaa")</f>
        <v>יום ד</v>
      </c>
      <c r="O5" s="10" t="str">
        <f>TEXT(WEEKDAY(DATE(CalendarYear,6,13),1),"aaa")</f>
        <v>יום ה</v>
      </c>
      <c r="P5" s="10" t="str">
        <f>TEXT(WEEKDAY(DATE(CalendarYear,6,14),1),"aaa")</f>
        <v>יום ו</v>
      </c>
      <c r="Q5" s="10" t="str">
        <f>TEXT(WEEKDAY(DATE(CalendarYear,6,15),1),"aaa")</f>
        <v>שבת</v>
      </c>
      <c r="R5" s="10" t="str">
        <f>TEXT(WEEKDAY(DATE(CalendarYear,6,16),1),"aaa")</f>
        <v>יום א</v>
      </c>
      <c r="S5" s="10" t="str">
        <f>TEXT(WEEKDAY(DATE(CalendarYear,6,17),1),"aaa")</f>
        <v>יום ב</v>
      </c>
      <c r="T5" s="10" t="str">
        <f>TEXT(WEEKDAY(DATE(CalendarYear,6,18),1),"aaa")</f>
        <v>יום ג</v>
      </c>
      <c r="U5" s="10" t="str">
        <f>TEXT(WEEKDAY(DATE(CalendarYear,6,19),1),"aaa")</f>
        <v>יום ד</v>
      </c>
      <c r="V5" s="10" t="str">
        <f>TEXT(WEEKDAY(DATE(CalendarYear,6,20),1),"aaa")</f>
        <v>יום ה</v>
      </c>
      <c r="W5" s="10" t="str">
        <f>TEXT(WEEKDAY(DATE(CalendarYear,6,21),1),"aaa")</f>
        <v>יום ו</v>
      </c>
      <c r="X5" s="10" t="str">
        <f>TEXT(WEEKDAY(DATE(CalendarYear,6,22),1),"aaa")</f>
        <v>שבת</v>
      </c>
      <c r="Y5" s="10" t="str">
        <f>TEXT(WEEKDAY(DATE(CalendarYear,6,23),1),"aaa")</f>
        <v>יום א</v>
      </c>
      <c r="Z5" s="10" t="str">
        <f>TEXT(WEEKDAY(DATE(CalendarYear,6,24),1),"aaa")</f>
        <v>יום ב</v>
      </c>
      <c r="AA5" s="10" t="str">
        <f>TEXT(WEEKDAY(DATE(CalendarYear,6,25),1),"aaa")</f>
        <v>יום ג</v>
      </c>
      <c r="AB5" s="10" t="str">
        <f>TEXT(WEEKDAY(DATE(CalendarYear,6,26),1),"aaa")</f>
        <v>יום ד</v>
      </c>
      <c r="AC5" s="10" t="str">
        <f>TEXT(WEEKDAY(DATE(CalendarYear,6,27),1),"aaa")</f>
        <v>יום ה</v>
      </c>
      <c r="AD5" s="10" t="str">
        <f>TEXT(WEEKDAY(DATE(CalendarYear,6,28),1),"aaa")</f>
        <v>יום ו</v>
      </c>
      <c r="AE5" s="10" t="str">
        <f>TEXT(WEEKDAY(DATE(CalendarYear,6,29),1),"aaa")</f>
        <v>שבת</v>
      </c>
      <c r="AF5" s="10" t="str">
        <f>TEXT(WEEKDAY(DATE(CalendarYear,6,30),1),"aaa")</f>
        <v>יום א</v>
      </c>
      <c r="AG5" s="10"/>
      <c r="AH5" s="9"/>
    </row>
    <row r="6" spans="1:34" ht="15" customHeight="1" x14ac:dyDescent="0.2">
      <c r="A6" s="4"/>
      <c r="B6" s="11" t="s">
        <v>3</v>
      </c>
      <c r="C6" s="12" t="s">
        <v>11</v>
      </c>
      <c r="D6" s="12" t="s">
        <v>13</v>
      </c>
      <c r="E6" s="12" t="s">
        <v>14</v>
      </c>
      <c r="F6" s="12" t="s">
        <v>16</v>
      </c>
      <c r="G6" s="12" t="s">
        <v>18</v>
      </c>
      <c r="H6" s="12" t="s">
        <v>20</v>
      </c>
      <c r="I6" s="12" t="s">
        <v>21</v>
      </c>
      <c r="J6" s="12" t="s">
        <v>22</v>
      </c>
      <c r="K6" s="12" t="s">
        <v>23</v>
      </c>
      <c r="L6" s="12" t="s">
        <v>25</v>
      </c>
      <c r="M6" s="12" t="s">
        <v>26</v>
      </c>
      <c r="N6" s="12" t="s">
        <v>27</v>
      </c>
      <c r="O6" s="12" t="s">
        <v>29</v>
      </c>
      <c r="P6" s="12" t="s">
        <v>30</v>
      </c>
      <c r="Q6" s="12" t="s">
        <v>31</v>
      </c>
      <c r="R6" s="12" t="s">
        <v>32</v>
      </c>
      <c r="S6" s="12" t="s">
        <v>34</v>
      </c>
      <c r="T6" s="12" t="s">
        <v>35</v>
      </c>
      <c r="U6" s="12" t="s">
        <v>36</v>
      </c>
      <c r="V6" s="12" t="s">
        <v>37</v>
      </c>
      <c r="W6" s="12" t="s">
        <v>38</v>
      </c>
      <c r="X6" s="12" t="s">
        <v>39</v>
      </c>
      <c r="Y6" s="12" t="s">
        <v>40</v>
      </c>
      <c r="Z6" s="12" t="s">
        <v>41</v>
      </c>
      <c r="AA6" s="12" t="s">
        <v>42</v>
      </c>
      <c r="AB6" s="12" t="s">
        <v>43</v>
      </c>
      <c r="AC6" s="12" t="s">
        <v>44</v>
      </c>
      <c r="AD6" s="12" t="s">
        <v>45</v>
      </c>
      <c r="AE6" s="12" t="s">
        <v>46</v>
      </c>
      <c r="AF6" s="12" t="s">
        <v>47</v>
      </c>
      <c r="AG6" s="12" t="s">
        <v>52</v>
      </c>
      <c r="AH6" s="13" t="s">
        <v>50</v>
      </c>
    </row>
    <row r="7" spans="1:34" ht="30" customHeight="1" x14ac:dyDescent="0.2">
      <c r="A7" s="4"/>
      <c r="B7" s="19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5">
        <f>COUNTA(יוני[[#This Row],[1]:[30]])</f>
        <v>0</v>
      </c>
    </row>
    <row r="8" spans="1:34" ht="30" customHeight="1" x14ac:dyDescent="0.2">
      <c r="A8" s="4"/>
      <c r="B8" s="19" t="s">
        <v>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5">
        <f>COUNTA(יוני[[#This Row],[1]:[30]])</f>
        <v>0</v>
      </c>
    </row>
    <row r="9" spans="1:34" ht="30" customHeight="1" x14ac:dyDescent="0.2">
      <c r="A9" s="4"/>
      <c r="B9" s="19" t="s">
        <v>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5">
        <f>COUNTA(יוני[[#This Row],[1]:[30]])</f>
        <v>0</v>
      </c>
    </row>
    <row r="10" spans="1:34" ht="30" customHeight="1" x14ac:dyDescent="0.2">
      <c r="A10" s="4"/>
      <c r="B10" s="19" t="s">
        <v>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5">
        <f>COUNTA(יוני[[#This Row],[1]:[30]])</f>
        <v>0</v>
      </c>
    </row>
    <row r="11" spans="1:34" ht="30" customHeight="1" x14ac:dyDescent="0.2">
      <c r="A11" s="4"/>
      <c r="B11" s="19" t="s">
        <v>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5">
        <f>COUNTA(יוני[[#This Row],[1]:[30]])</f>
        <v>0</v>
      </c>
    </row>
    <row r="12" spans="1:34" ht="30" customHeight="1" x14ac:dyDescent="0.2">
      <c r="A12" s="4"/>
      <c r="B12" s="16" t="str">
        <f>"סך הכל "&amp;MonthName</f>
        <v>סך הכל יוני</v>
      </c>
      <c r="C12" s="17">
        <f>SUBTOTAL(103,יוני[1])</f>
        <v>0</v>
      </c>
      <c r="D12" s="17">
        <f>SUBTOTAL(103,יוני[2])</f>
        <v>0</v>
      </c>
      <c r="E12" s="17">
        <f>SUBTOTAL(103,יוני[3])</f>
        <v>0</v>
      </c>
      <c r="F12" s="17">
        <f>SUBTOTAL(103,יוני[4])</f>
        <v>0</v>
      </c>
      <c r="G12" s="17">
        <f>SUBTOTAL(103,יוני[5])</f>
        <v>0</v>
      </c>
      <c r="H12" s="17">
        <f>SUBTOTAL(103,יוני[6])</f>
        <v>0</v>
      </c>
      <c r="I12" s="17">
        <f>SUBTOTAL(103,יוני[7])</f>
        <v>0</v>
      </c>
      <c r="J12" s="17">
        <f>SUBTOTAL(103,יוני[8])</f>
        <v>0</v>
      </c>
      <c r="K12" s="17">
        <f>SUBTOTAL(103,יוני[9])</f>
        <v>0</v>
      </c>
      <c r="L12" s="17">
        <f>SUBTOTAL(103,יוני[10])</f>
        <v>0</v>
      </c>
      <c r="M12" s="17">
        <f>SUBTOTAL(103,יוני[11])</f>
        <v>0</v>
      </c>
      <c r="N12" s="17">
        <f>SUBTOTAL(103,יוני[12])</f>
        <v>0</v>
      </c>
      <c r="O12" s="17">
        <f>SUBTOTAL(103,יוני[13])</f>
        <v>0</v>
      </c>
      <c r="P12" s="17">
        <f>SUBTOTAL(103,יוני[14])</f>
        <v>0</v>
      </c>
      <c r="Q12" s="17">
        <f>SUBTOTAL(103,יוני[15])</f>
        <v>0</v>
      </c>
      <c r="R12" s="17">
        <f>SUBTOTAL(103,יוני[16])</f>
        <v>0</v>
      </c>
      <c r="S12" s="17">
        <f>SUBTOTAL(103,יוני[17])</f>
        <v>0</v>
      </c>
      <c r="T12" s="17">
        <f>SUBTOTAL(103,יוני[18])</f>
        <v>0</v>
      </c>
      <c r="U12" s="17">
        <f>SUBTOTAL(103,יוני[19])</f>
        <v>0</v>
      </c>
      <c r="V12" s="17">
        <f>SUBTOTAL(103,יוני[20])</f>
        <v>0</v>
      </c>
      <c r="W12" s="17">
        <f>SUBTOTAL(103,יוני[21])</f>
        <v>0</v>
      </c>
      <c r="X12" s="17">
        <f>SUBTOTAL(103,יוני[22])</f>
        <v>0</v>
      </c>
      <c r="Y12" s="17">
        <f>SUBTOTAL(103,יוני[23])</f>
        <v>0</v>
      </c>
      <c r="Z12" s="17">
        <f>SUBTOTAL(103,יוני[24])</f>
        <v>0</v>
      </c>
      <c r="AA12" s="17">
        <f>SUBTOTAL(103,יוני[25])</f>
        <v>0</v>
      </c>
      <c r="AB12" s="17">
        <f>SUBTOTAL(103,יוני[26])</f>
        <v>0</v>
      </c>
      <c r="AC12" s="17">
        <f>SUBTOTAL(103,יוני[27])</f>
        <v>0</v>
      </c>
      <c r="AD12" s="17">
        <f>SUBTOTAL(103,יוני[28])</f>
        <v>0</v>
      </c>
      <c r="AE12" s="17">
        <f>SUBTOTAL(103,יוני[29])</f>
        <v>0</v>
      </c>
      <c r="AF12" s="17">
        <f>SUBTOTAL(103,יוני[30])</f>
        <v>0</v>
      </c>
      <c r="AG12" s="17">
        <f>SUBTOTAL(103,יוני[[ ]])</f>
        <v>0</v>
      </c>
      <c r="AH12" s="17">
        <f>SUBTOTAL(109,יוני[סה"כ ימים])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553" priority="2" stopIfTrue="1">
      <formula>C7=KeyCustom2</formula>
    </cfRule>
    <cfRule type="expression" dxfId="552" priority="3" stopIfTrue="1">
      <formula>C7=KeyCustom1</formula>
    </cfRule>
    <cfRule type="expression" dxfId="551" priority="4" stopIfTrue="1">
      <formula>C7=KeySick</formula>
    </cfRule>
    <cfRule type="expression" dxfId="550" priority="5" stopIfTrue="1">
      <formula>C7=KeyPersonal</formula>
    </cfRule>
    <cfRule type="expression" dxfId="549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{5E94D469-7B22-408B-924D-8DC8A136AD3B}</x14:id>
        </ext>
      </extLst>
    </cfRule>
  </conditionalFormatting>
  <dataValidations count="14">
    <dataValidation allowBlank="1" showInputMessage="1" showErrorMessage="1" prompt="ימות השבוע בשורה זו מתעדכנים באופן אוטומטי עבור החודש, בהתאם לשנה בתא AH4. כל יום בחודש הוא עמודה המשמשת לציון ההיעדרות וסוג ההיעדרות של העובד" sqref="C5" xr:uid="{00000000-0002-0000-0500-000000000000}"/>
    <dataValidation allowBlank="1" showInputMessage="1" showErrorMessage="1" prompt="השנה מתעדכנת באופן אוטומטי בהתבסס על השנה שהוזנה בגליון העבודה 'ינואר'" sqref="AH4" xr:uid="{00000000-0002-0000-0500-000001000000}"/>
    <dataValidation allowBlank="1" showInputMessage="1" showErrorMessage="1" prompt="בעמודה זו מופיע חישוב אוטומטי של מספר ימי ההיעדרויות הכולל של העובד בחודש זה" sqref="AH6" xr:uid="{00000000-0002-0000-0500-000002000000}"/>
    <dataValidation allowBlank="1" showInputMessage="1" showErrorMessage="1" prompt="עקוב אחר ההיעדרויות בחודש יוני בגליון עבודה זה" sqref="A1" xr:uid="{00000000-0002-0000-0500-000003000000}"/>
    <dataValidation errorStyle="warning" allowBlank="1" showInputMessage="1" showErrorMessage="1" error="בחר שם מהרשימה. בחר 'ביטול', הקש ALT+חץ למטה ולאחר מכן הקש ENTER כדי לבחור שם" prompt="הזן את שמות העובדים בגליון העבודה 'שמות העובדים' ולאחר מכן בחר אחד מהשמות הללו ברשימה בעמודה זו. הקש ALT+חץ למטה ולאחר מכן הקש ENTER כדי לבחור שם" sqref="B6" xr:uid="{00000000-0002-0000-0500-000004000000}"/>
    <dataValidation allowBlank="1" showInputMessage="1" showErrorMessage="1" prompt="הכותרת בתא זה מתעדכנת באופן אוטומטי. כדי לשנות את הכותרת, עדכן את תא B1 בגליון העבודה 'ינואר'" sqref="B1" xr:uid="{00000000-0002-0000-0500-000005000000}"/>
    <dataValidation allowBlank="1" showInputMessage="1" showErrorMessage="1" prompt="האות &quot;ח&quot; מציינת היעדרות עקב חופשה" sqref="C2" xr:uid="{00000000-0002-0000-0500-000006000000}"/>
    <dataValidation allowBlank="1" showInputMessage="1" showErrorMessage="1" prompt="האות &quot;א&quot; מציינת היעדרות עקב סיבות אישיות" sqref="G2" xr:uid="{00000000-0002-0000-0500-000007000000}"/>
    <dataValidation allowBlank="1" showInputMessage="1" showErrorMessage="1" prompt="האות &quot;מ&quot; מציינת היעדרות עקב מחלה" sqref="K2" xr:uid="{00000000-0002-0000-0500-000008000000}"/>
    <dataValidation allowBlank="1" showInputMessage="1" showErrorMessage="1" prompt="הזן אות והתאם אישית את התווית בצד שמאל כדי להוסיף פריט מפתח אחר" sqref="N2 R2" xr:uid="{00000000-0002-0000-0500-000009000000}"/>
    <dataValidation allowBlank="1" showInputMessage="1" showErrorMessage="1" prompt="הזן תווית כדי לתאר את המפתח המותאם אישית בצד ימין" sqref="O2:Q2 S2:U2" xr:uid="{00000000-0002-0000-0500-00000A000000}"/>
    <dataValidation allowBlank="1" showInputMessage="1" showErrorMessage="1" prompt="שורה זו מגדירה את המפתחות שמופיעים בטבלה: תא C2 מכיל 'חופשה', תא G2 מכיל 'אישי' ותא K2 מכיל 'חופשת מחלה'. תאים N2 ו- R2 ניתנים להתאמה אישית" sqref="B2" xr:uid="{00000000-0002-0000-0500-00000B000000}"/>
    <dataValidation allowBlank="1" showInputMessage="1" showErrorMessage="1" prompt="שם החודש עבור לוח הזמנים לניהול היעדרויות מופיע בתא זה. סה&quot;כ ההיעדרויות בחודש זה מופיע בתא האחרון של הטבלה. בחר את שמות העובדים בעמודה B של הטבלה" sqref="B4" xr:uid="{00000000-0002-0000-0500-00000C000000}"/>
    <dataValidation allowBlank="1" showInputMessage="1" showErrorMessage="1" prompt="הימים בחודש בשורה זו נוצרים באופן אוטומטי. הזן את ההיעדרויות וסוגי ההיעדרויות של העובד בכל עמודה עבור כל יום בחודש. תא ריק מציין שלא היתה היעדרות" sqref="C6" xr:uid="{00000000-0002-0000-0500-00000D000000}"/>
  </dataValidations>
  <printOptions horizontalCentered="1"/>
  <pageMargins left="0.25" right="0.25" top="0.75" bottom="0.75" header="0.3" footer="0.3"/>
  <pageSetup paperSize="9" scale="69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E94D469-7B22-408B-924D-8DC8A136AD3B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E000000}">
          <x14:formula1>
            <xm:f>'שמות העובדים'!$B$4:$B$8</xm:f>
          </x14:formula1>
          <xm:sqref>B7:B11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  <pageSetUpPr fitToPage="1"/>
  </sheetPr>
  <dimension ref="A1:AH12"/>
  <sheetViews>
    <sheetView showGridLines="0" rightToLeft="1" zoomScaleNormal="100" workbookViewId="0"/>
  </sheetViews>
  <sheetFormatPr defaultRowHeight="30" customHeight="1" x14ac:dyDescent="0.2"/>
  <cols>
    <col min="1" max="1" width="2.625" style="1" customWidth="1"/>
    <col min="2" max="2" width="25.625" style="1" customWidth="1"/>
    <col min="3" max="33" width="4.875" style="1" customWidth="1"/>
    <col min="34" max="34" width="13.5" style="1" customWidth="1"/>
    <col min="35" max="35" width="2.625" customWidth="1"/>
  </cols>
  <sheetData>
    <row r="1" spans="1:34" ht="50.1" customHeight="1" x14ac:dyDescent="0.2">
      <c r="A1" s="4"/>
      <c r="B1" s="3" t="str">
        <f>Employee_Absence_Title</f>
        <v>לוח זמנים לניהול היעדרות העובדים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5" customHeight="1" x14ac:dyDescent="0.2">
      <c r="A2" s="4"/>
      <c r="B2" s="5" t="s">
        <v>1</v>
      </c>
      <c r="C2" s="6" t="s">
        <v>9</v>
      </c>
      <c r="D2" s="27" t="s">
        <v>12</v>
      </c>
      <c r="E2" s="27"/>
      <c r="F2" s="27"/>
      <c r="G2" s="7" t="s">
        <v>15</v>
      </c>
      <c r="H2" s="27" t="s">
        <v>19</v>
      </c>
      <c r="I2" s="27"/>
      <c r="J2" s="27"/>
      <c r="K2" s="22" t="s">
        <v>17</v>
      </c>
      <c r="L2" s="27" t="s">
        <v>24</v>
      </c>
      <c r="M2" s="27"/>
      <c r="N2" s="23"/>
      <c r="O2" s="27" t="s">
        <v>28</v>
      </c>
      <c r="P2" s="27"/>
      <c r="Q2" s="27"/>
      <c r="R2" s="24"/>
      <c r="S2" s="27" t="s">
        <v>33</v>
      </c>
      <c r="T2" s="27"/>
      <c r="U2" s="27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5" customHeight="1" x14ac:dyDescent="0.2">
      <c r="A3" s="4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30" customHeight="1" x14ac:dyDescent="0.2">
      <c r="A4" s="4"/>
      <c r="B4" s="9" t="s">
        <v>58</v>
      </c>
      <c r="C4" s="26" t="s">
        <v>10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9">
        <f>CalendarYear</f>
        <v>2019</v>
      </c>
    </row>
    <row r="5" spans="1:34" ht="15" customHeight="1" x14ac:dyDescent="0.2">
      <c r="A5" s="4"/>
      <c r="B5" s="9"/>
      <c r="C5" s="10" t="str">
        <f>TEXT(WEEKDAY(DATE(CalendarYear,7,1),1),"aaa")</f>
        <v>יום ב</v>
      </c>
      <c r="D5" s="10" t="str">
        <f>TEXT(WEEKDAY(DATE(CalendarYear,7,2),1),"aaa")</f>
        <v>יום ג</v>
      </c>
      <c r="E5" s="10" t="str">
        <f>TEXT(WEEKDAY(DATE(CalendarYear,7,3),1),"aaa")</f>
        <v>יום ד</v>
      </c>
      <c r="F5" s="10" t="str">
        <f>TEXT(WEEKDAY(DATE(CalendarYear,7,4),1),"aaa")</f>
        <v>יום ה</v>
      </c>
      <c r="G5" s="10" t="str">
        <f>TEXT(WEEKDAY(DATE(CalendarYear,7,5),1),"aaa")</f>
        <v>יום ו</v>
      </c>
      <c r="H5" s="10" t="str">
        <f>TEXT(WEEKDAY(DATE(CalendarYear,7,6),1),"aaa")</f>
        <v>שבת</v>
      </c>
      <c r="I5" s="10" t="str">
        <f>TEXT(WEEKDAY(DATE(CalendarYear,7,7),1),"aaa")</f>
        <v>יום א</v>
      </c>
      <c r="J5" s="10" t="str">
        <f>TEXT(WEEKDAY(DATE(CalendarYear,7,8),1),"aaa")</f>
        <v>יום ב</v>
      </c>
      <c r="K5" s="10" t="str">
        <f>TEXT(WEEKDAY(DATE(CalendarYear,7,9),1),"aaa")</f>
        <v>יום ג</v>
      </c>
      <c r="L5" s="10" t="str">
        <f>TEXT(WEEKDAY(DATE(CalendarYear,7,10),1),"aaa")</f>
        <v>יום ד</v>
      </c>
      <c r="M5" s="10" t="str">
        <f>TEXT(WEEKDAY(DATE(CalendarYear,7,11),1),"aaa")</f>
        <v>יום ה</v>
      </c>
      <c r="N5" s="10" t="str">
        <f>TEXT(WEEKDAY(DATE(CalendarYear,7,12),1),"aaa")</f>
        <v>יום ו</v>
      </c>
      <c r="O5" s="10" t="str">
        <f>TEXT(WEEKDAY(DATE(CalendarYear,7,13),1),"aaa")</f>
        <v>שבת</v>
      </c>
      <c r="P5" s="10" t="str">
        <f>TEXT(WEEKDAY(DATE(CalendarYear,7,14),1),"aaa")</f>
        <v>יום א</v>
      </c>
      <c r="Q5" s="10" t="str">
        <f>TEXT(WEEKDAY(DATE(CalendarYear,7,15),1),"aaa")</f>
        <v>יום ב</v>
      </c>
      <c r="R5" s="10" t="str">
        <f>TEXT(WEEKDAY(DATE(CalendarYear,7,16),1),"aaa")</f>
        <v>יום ג</v>
      </c>
      <c r="S5" s="10" t="str">
        <f>TEXT(WEEKDAY(DATE(CalendarYear,7,17),1),"aaa")</f>
        <v>יום ד</v>
      </c>
      <c r="T5" s="10" t="str">
        <f>TEXT(WEEKDAY(DATE(CalendarYear,7,18),1),"aaa")</f>
        <v>יום ה</v>
      </c>
      <c r="U5" s="10" t="str">
        <f>TEXT(WEEKDAY(DATE(CalendarYear,7,19),1),"aaa")</f>
        <v>יום ו</v>
      </c>
      <c r="V5" s="10" t="str">
        <f>TEXT(WEEKDAY(DATE(CalendarYear,7,20),1),"aaa")</f>
        <v>שבת</v>
      </c>
      <c r="W5" s="10" t="str">
        <f>TEXT(WEEKDAY(DATE(CalendarYear,7,21),1),"aaa")</f>
        <v>יום א</v>
      </c>
      <c r="X5" s="10" t="str">
        <f>TEXT(WEEKDAY(DATE(CalendarYear,7,22),1),"aaa")</f>
        <v>יום ב</v>
      </c>
      <c r="Y5" s="10" t="str">
        <f>TEXT(WEEKDAY(DATE(CalendarYear,7,23),1),"aaa")</f>
        <v>יום ג</v>
      </c>
      <c r="Z5" s="10" t="str">
        <f>TEXT(WEEKDAY(DATE(CalendarYear,7,24),1),"aaa")</f>
        <v>יום ד</v>
      </c>
      <c r="AA5" s="10" t="str">
        <f>TEXT(WEEKDAY(DATE(CalendarYear,7,25),1),"aaa")</f>
        <v>יום ה</v>
      </c>
      <c r="AB5" s="10" t="str">
        <f>TEXT(WEEKDAY(DATE(CalendarYear,7,26),1),"aaa")</f>
        <v>יום ו</v>
      </c>
      <c r="AC5" s="10" t="str">
        <f>TEXT(WEEKDAY(DATE(CalendarYear,7,27),1),"aaa")</f>
        <v>שבת</v>
      </c>
      <c r="AD5" s="10" t="str">
        <f>TEXT(WEEKDAY(DATE(CalendarYear,7,28),1),"aaa")</f>
        <v>יום א</v>
      </c>
      <c r="AE5" s="10" t="str">
        <f>TEXT(WEEKDAY(DATE(CalendarYear,7,29),1),"aaa")</f>
        <v>יום ב</v>
      </c>
      <c r="AF5" s="10" t="str">
        <f>TEXT(WEEKDAY(DATE(CalendarYear,7,30),1),"aaa")</f>
        <v>יום ג</v>
      </c>
      <c r="AG5" s="10" t="str">
        <f>TEXT(WEEKDAY(DATE(CalendarYear,7,31),1),"aaa")</f>
        <v>יום ד</v>
      </c>
      <c r="AH5" s="9"/>
    </row>
    <row r="6" spans="1:34" ht="15" customHeight="1" x14ac:dyDescent="0.2">
      <c r="A6" s="4"/>
      <c r="B6" s="11" t="s">
        <v>3</v>
      </c>
      <c r="C6" s="12" t="s">
        <v>11</v>
      </c>
      <c r="D6" s="12" t="s">
        <v>13</v>
      </c>
      <c r="E6" s="12" t="s">
        <v>14</v>
      </c>
      <c r="F6" s="12" t="s">
        <v>16</v>
      </c>
      <c r="G6" s="12" t="s">
        <v>18</v>
      </c>
      <c r="H6" s="12" t="s">
        <v>20</v>
      </c>
      <c r="I6" s="12" t="s">
        <v>21</v>
      </c>
      <c r="J6" s="12" t="s">
        <v>22</v>
      </c>
      <c r="K6" s="12" t="s">
        <v>23</v>
      </c>
      <c r="L6" s="12" t="s">
        <v>25</v>
      </c>
      <c r="M6" s="12" t="s">
        <v>26</v>
      </c>
      <c r="N6" s="12" t="s">
        <v>27</v>
      </c>
      <c r="O6" s="12" t="s">
        <v>29</v>
      </c>
      <c r="P6" s="12" t="s">
        <v>30</v>
      </c>
      <c r="Q6" s="12" t="s">
        <v>31</v>
      </c>
      <c r="R6" s="12" t="s">
        <v>32</v>
      </c>
      <c r="S6" s="12" t="s">
        <v>34</v>
      </c>
      <c r="T6" s="12" t="s">
        <v>35</v>
      </c>
      <c r="U6" s="12" t="s">
        <v>36</v>
      </c>
      <c r="V6" s="12" t="s">
        <v>37</v>
      </c>
      <c r="W6" s="12" t="s">
        <v>38</v>
      </c>
      <c r="X6" s="12" t="s">
        <v>39</v>
      </c>
      <c r="Y6" s="12" t="s">
        <v>40</v>
      </c>
      <c r="Z6" s="12" t="s">
        <v>41</v>
      </c>
      <c r="AA6" s="12" t="s">
        <v>42</v>
      </c>
      <c r="AB6" s="12" t="s">
        <v>43</v>
      </c>
      <c r="AC6" s="12" t="s">
        <v>44</v>
      </c>
      <c r="AD6" s="12" t="s">
        <v>45</v>
      </c>
      <c r="AE6" s="12" t="s">
        <v>46</v>
      </c>
      <c r="AF6" s="12" t="s">
        <v>47</v>
      </c>
      <c r="AG6" s="12" t="s">
        <v>48</v>
      </c>
      <c r="AH6" s="13" t="s">
        <v>50</v>
      </c>
    </row>
    <row r="7" spans="1:34" ht="30" customHeight="1" x14ac:dyDescent="0.2">
      <c r="A7" s="4"/>
      <c r="B7" s="19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5">
        <f>COUNTA(יולי[[#This Row],[1]:[31]])</f>
        <v>0</v>
      </c>
    </row>
    <row r="8" spans="1:34" ht="30" customHeight="1" x14ac:dyDescent="0.2">
      <c r="A8" s="4"/>
      <c r="B8" s="19" t="s">
        <v>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5">
        <f>COUNTA(יולי[[#This Row],[1]:[31]])</f>
        <v>0</v>
      </c>
    </row>
    <row r="9" spans="1:34" ht="30" customHeight="1" x14ac:dyDescent="0.2">
      <c r="A9" s="4"/>
      <c r="B9" s="19" t="s">
        <v>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5">
        <f>COUNTA(יולי[[#This Row],[1]:[31]])</f>
        <v>0</v>
      </c>
    </row>
    <row r="10" spans="1:34" ht="30" customHeight="1" x14ac:dyDescent="0.2">
      <c r="A10" s="4"/>
      <c r="B10" s="19" t="s">
        <v>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5">
        <f>COUNTA(יולי[[#This Row],[1]:[31]])</f>
        <v>0</v>
      </c>
    </row>
    <row r="11" spans="1:34" ht="30" customHeight="1" x14ac:dyDescent="0.2">
      <c r="A11" s="4"/>
      <c r="B11" s="19" t="s">
        <v>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5">
        <f>COUNTA(יולי[[#This Row],[1]:[31]])</f>
        <v>0</v>
      </c>
    </row>
    <row r="12" spans="1:34" ht="30" customHeight="1" x14ac:dyDescent="0.2">
      <c r="A12" s="4"/>
      <c r="B12" s="16" t="str">
        <f>"סך הכל "&amp;MonthName</f>
        <v>סך הכל יולי</v>
      </c>
      <c r="C12" s="17">
        <f>SUBTOTAL(103,יולי[1])</f>
        <v>0</v>
      </c>
      <c r="D12" s="17">
        <f>SUBTOTAL(103,יולי[2])</f>
        <v>0</v>
      </c>
      <c r="E12" s="17">
        <f>SUBTOTAL(103,יולי[3])</f>
        <v>0</v>
      </c>
      <c r="F12" s="17">
        <f>SUBTOTAL(103,יולי[4])</f>
        <v>0</v>
      </c>
      <c r="G12" s="17">
        <f>SUBTOTAL(103,יולי[5])</f>
        <v>0</v>
      </c>
      <c r="H12" s="17">
        <f>SUBTOTAL(103,יולי[6])</f>
        <v>0</v>
      </c>
      <c r="I12" s="17">
        <f>SUBTOTAL(103,יולי[7])</f>
        <v>0</v>
      </c>
      <c r="J12" s="17">
        <f>SUBTOTAL(103,יולי[8])</f>
        <v>0</v>
      </c>
      <c r="K12" s="17">
        <f>SUBTOTAL(103,יולי[9])</f>
        <v>0</v>
      </c>
      <c r="L12" s="17">
        <f>SUBTOTAL(103,יולי[10])</f>
        <v>0</v>
      </c>
      <c r="M12" s="17">
        <f>SUBTOTAL(103,יולי[11])</f>
        <v>0</v>
      </c>
      <c r="N12" s="17">
        <f>SUBTOTAL(103,יולי[12])</f>
        <v>0</v>
      </c>
      <c r="O12" s="17">
        <f>SUBTOTAL(103,יולי[13])</f>
        <v>0</v>
      </c>
      <c r="P12" s="17">
        <f>SUBTOTAL(103,יולי[14])</f>
        <v>0</v>
      </c>
      <c r="Q12" s="17">
        <f>SUBTOTAL(103,יולי[15])</f>
        <v>0</v>
      </c>
      <c r="R12" s="17">
        <f>SUBTOTAL(103,יולי[16])</f>
        <v>0</v>
      </c>
      <c r="S12" s="17">
        <f>SUBTOTAL(103,יולי[17])</f>
        <v>0</v>
      </c>
      <c r="T12" s="17">
        <f>SUBTOTAL(103,יולי[18])</f>
        <v>0</v>
      </c>
      <c r="U12" s="17">
        <f>SUBTOTAL(103,יולי[19])</f>
        <v>0</v>
      </c>
      <c r="V12" s="17">
        <f>SUBTOTAL(103,יולי[20])</f>
        <v>0</v>
      </c>
      <c r="W12" s="17">
        <f>SUBTOTAL(103,יולי[21])</f>
        <v>0</v>
      </c>
      <c r="X12" s="17">
        <f>SUBTOTAL(103,יולי[22])</f>
        <v>0</v>
      </c>
      <c r="Y12" s="17">
        <f>SUBTOTAL(103,יולי[23])</f>
        <v>0</v>
      </c>
      <c r="Z12" s="17">
        <f>SUBTOTAL(103,יולי[24])</f>
        <v>0</v>
      </c>
      <c r="AA12" s="17">
        <f>SUBTOTAL(103,יולי[25])</f>
        <v>0</v>
      </c>
      <c r="AB12" s="17">
        <f>SUBTOTAL(103,יולי[26])</f>
        <v>0</v>
      </c>
      <c r="AC12" s="17">
        <f>SUBTOTAL(103,יולי[27])</f>
        <v>0</v>
      </c>
      <c r="AD12" s="17">
        <f>SUBTOTAL(103,יולי[28])</f>
        <v>0</v>
      </c>
      <c r="AE12" s="17">
        <f>SUBTOTAL(103,יולי[29])</f>
        <v>0</v>
      </c>
      <c r="AF12" s="17">
        <f>SUBTOTAL(103,יולי[30])</f>
        <v>0</v>
      </c>
      <c r="AG12" s="17">
        <f>SUBTOTAL(103,יולי[31])</f>
        <v>0</v>
      </c>
      <c r="AH12" s="17">
        <f>SUBTOTAL(109,יולי[סה"כ ימים])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512" priority="2" stopIfTrue="1">
      <formula>C7=KeyCustom2</formula>
    </cfRule>
    <cfRule type="expression" dxfId="511" priority="3" stopIfTrue="1">
      <formula>C7=KeyCustom1</formula>
    </cfRule>
    <cfRule type="expression" dxfId="510" priority="4" stopIfTrue="1">
      <formula>C7=KeySick</formula>
    </cfRule>
    <cfRule type="expression" dxfId="509" priority="5" stopIfTrue="1">
      <formula>C7=KeyPersonal</formula>
    </cfRule>
    <cfRule type="expression" dxfId="508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{E0DCF129-9B2A-4CEB-9E56-27607F4BED20}</x14:id>
        </ext>
      </extLst>
    </cfRule>
  </conditionalFormatting>
  <dataValidations count="14">
    <dataValidation allowBlank="1" showInputMessage="1" showErrorMessage="1" prompt="הימים בחודש בשורה זו נוצרים באופן אוטומטי. הזן את ההיעדרויות וסוגי ההיעדרויות של העובד בכל עמודה עבור כל יום בחודש. תא ריק מציין שלא היתה היעדרות" sqref="C6" xr:uid="{00000000-0002-0000-0600-000000000000}"/>
    <dataValidation allowBlank="1" showInputMessage="1" showErrorMessage="1" prompt="שם החודש עבור לוח הזמנים לניהול היעדרויות מופיע בתא זה. סה&quot;כ ההיעדרויות בחודש זה מופיע בתא האחרון של הטבלה. בחר את שמות העובדים בעמודה B של הטבלה" sqref="B4" xr:uid="{00000000-0002-0000-0600-000001000000}"/>
    <dataValidation allowBlank="1" showInputMessage="1" showErrorMessage="1" prompt="שורה זו מגדירה את המפתחות שמופיעים בטבלה: תא C2 מכיל 'חופשה', תא G2 מכיל 'אישי' ותא K2 מכיל 'חופשת מחלה'. תאים N2 ו- R2 ניתנים להתאמה אישית" sqref="B2" xr:uid="{00000000-0002-0000-0600-000002000000}"/>
    <dataValidation allowBlank="1" showInputMessage="1" showErrorMessage="1" prompt="הזן תווית כדי לתאר את המפתח המותאם אישית בצד ימין" sqref="O2:Q2 S2:U2" xr:uid="{00000000-0002-0000-0600-000003000000}"/>
    <dataValidation allowBlank="1" showInputMessage="1" showErrorMessage="1" prompt="הזן אות והתאם אישית את התווית בצד שמאל כדי להוסיף פריט מפתח אחר" sqref="N2 R2" xr:uid="{00000000-0002-0000-0600-000004000000}"/>
    <dataValidation allowBlank="1" showInputMessage="1" showErrorMessage="1" prompt="האות &quot;מ&quot; מציינת היעדרות עקב מחלה" sqref="K2" xr:uid="{00000000-0002-0000-0600-000005000000}"/>
    <dataValidation allowBlank="1" showInputMessage="1" showErrorMessage="1" prompt="האות &quot;א&quot; מציינת היעדרות עקב סיבות אישיות" sqref="G2" xr:uid="{00000000-0002-0000-0600-000006000000}"/>
    <dataValidation allowBlank="1" showInputMessage="1" showErrorMessage="1" prompt="האות &quot;ח&quot; מציינת היעדרות עקב חופשה" sqref="C2" xr:uid="{00000000-0002-0000-0600-000007000000}"/>
    <dataValidation allowBlank="1" showInputMessage="1" showErrorMessage="1" prompt="הכותרת בתא זה מתעדכנת באופן אוטומטי. כדי לשנות את הכותרת, עדכן את תא B1 בגליון העבודה 'ינואר'" sqref="B1" xr:uid="{00000000-0002-0000-0600-000008000000}"/>
    <dataValidation errorStyle="warning" allowBlank="1" showInputMessage="1" showErrorMessage="1" error="בחר שם מהרשימה. בחר 'ביטול', הקש ALT+חץ למטה ולאחר מכן הקש ENTER כדי לבחור שם" prompt="הזן את שמות העובדים בגליון העבודה 'שמות העובדים' ולאחר מכן בחר אחד מהשמות הללו ברשימה בעמודה זו. הקש ALT+חץ למטה ולאחר מכן הקש ENTER כדי לבחור שם" sqref="B6" xr:uid="{00000000-0002-0000-0600-000009000000}"/>
    <dataValidation allowBlank="1" showInputMessage="1" showErrorMessage="1" prompt="עקוב אחר ההיעדרויות בחודש יולי בגליון עבודה זה" sqref="A1" xr:uid="{00000000-0002-0000-0600-00000A000000}"/>
    <dataValidation allowBlank="1" showInputMessage="1" showErrorMessage="1" prompt="בעמודה זו מופיע חישוב אוטומטי של מספר ימי ההיעדרויות הכולל של העובד בחודש זה" sqref="AH6" xr:uid="{00000000-0002-0000-0600-00000B000000}"/>
    <dataValidation allowBlank="1" showInputMessage="1" showErrorMessage="1" prompt="השנה מתעדכנת באופן אוטומטי בהתבסס על השנה שהוזנה בגליון העבודה 'ינואר'" sqref="AH4" xr:uid="{00000000-0002-0000-0600-00000C000000}"/>
    <dataValidation allowBlank="1" showInputMessage="1" showErrorMessage="1" prompt="ימות השבוע בשורה זו מתעדכנים באופן אוטומטי עבור החודש, בהתאם לשנה בתא AH4. כל יום בחודש הוא עמודה המשמשת לציון ההיעדרות וסוג ההיעדרות של העובד" sqref="C5" xr:uid="{00000000-0002-0000-0600-00000D000000}"/>
  </dataValidations>
  <printOptions horizontalCentered="1"/>
  <pageMargins left="0.25" right="0.25" top="0.75" bottom="0.75" header="0.3" footer="0.3"/>
  <pageSetup paperSize="9" scale="69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DCF129-9B2A-4CEB-9E56-27607F4BED20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E000000}">
          <x14:formula1>
            <xm:f>'שמות העובדים'!$B$4:$B$8</xm:f>
          </x14:formula1>
          <xm:sqref>B7:B11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749992370372631"/>
    <pageSetUpPr fitToPage="1"/>
  </sheetPr>
  <dimension ref="A1:AH12"/>
  <sheetViews>
    <sheetView showGridLines="0" rightToLeft="1" zoomScaleNormal="100" workbookViewId="0"/>
  </sheetViews>
  <sheetFormatPr defaultRowHeight="30" customHeight="1" x14ac:dyDescent="0.2"/>
  <cols>
    <col min="1" max="1" width="2.625" style="1" customWidth="1"/>
    <col min="2" max="2" width="25.625" style="1" customWidth="1"/>
    <col min="3" max="33" width="4.875" style="1" customWidth="1"/>
    <col min="34" max="34" width="13.5" style="1" customWidth="1"/>
    <col min="35" max="35" width="2.625" customWidth="1"/>
  </cols>
  <sheetData>
    <row r="1" spans="1:34" ht="50.1" customHeight="1" x14ac:dyDescent="0.2">
      <c r="A1" s="4"/>
      <c r="B1" s="3" t="str">
        <f>Employee_Absence_Title</f>
        <v>לוח זמנים לניהול היעדרות העובדים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5" customHeight="1" x14ac:dyDescent="0.2">
      <c r="A2" s="4"/>
      <c r="B2" s="5" t="s">
        <v>1</v>
      </c>
      <c r="C2" s="6" t="s">
        <v>9</v>
      </c>
      <c r="D2" s="27" t="s">
        <v>12</v>
      </c>
      <c r="E2" s="27"/>
      <c r="F2" s="27"/>
      <c r="G2" s="7" t="s">
        <v>15</v>
      </c>
      <c r="H2" s="27" t="s">
        <v>19</v>
      </c>
      <c r="I2" s="27"/>
      <c r="J2" s="27"/>
      <c r="K2" s="22" t="s">
        <v>17</v>
      </c>
      <c r="L2" s="27" t="s">
        <v>24</v>
      </c>
      <c r="M2" s="27"/>
      <c r="N2" s="23"/>
      <c r="O2" s="27" t="s">
        <v>28</v>
      </c>
      <c r="P2" s="27"/>
      <c r="Q2" s="27"/>
      <c r="R2" s="24"/>
      <c r="S2" s="27" t="s">
        <v>33</v>
      </c>
      <c r="T2" s="27"/>
      <c r="U2" s="27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5" customHeight="1" x14ac:dyDescent="0.2">
      <c r="A3" s="4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30" customHeight="1" x14ac:dyDescent="0.2">
      <c r="A4" s="4"/>
      <c r="B4" s="9" t="s">
        <v>59</v>
      </c>
      <c r="C4" s="26" t="s">
        <v>10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9">
        <f>CalendarYear</f>
        <v>2019</v>
      </c>
    </row>
    <row r="5" spans="1:34" ht="15" customHeight="1" x14ac:dyDescent="0.2">
      <c r="A5" s="4"/>
      <c r="B5" s="9"/>
      <c r="C5" s="10" t="str">
        <f>TEXT(WEEKDAY(DATE(CalendarYear,8,1),1),"aaa")</f>
        <v>יום ה</v>
      </c>
      <c r="D5" s="10" t="str">
        <f>TEXT(WEEKDAY(DATE(CalendarYear,8,2),1),"aaa")</f>
        <v>יום ו</v>
      </c>
      <c r="E5" s="10" t="str">
        <f>TEXT(WEEKDAY(DATE(CalendarYear,8,3),1),"aaa")</f>
        <v>שבת</v>
      </c>
      <c r="F5" s="10" t="str">
        <f>TEXT(WEEKDAY(DATE(CalendarYear,8,4),1),"aaa")</f>
        <v>יום א</v>
      </c>
      <c r="G5" s="10" t="str">
        <f>TEXT(WEEKDAY(DATE(CalendarYear,8,5),1),"aaa")</f>
        <v>יום ב</v>
      </c>
      <c r="H5" s="10" t="str">
        <f>TEXT(WEEKDAY(DATE(CalendarYear,8,6),1),"aaa")</f>
        <v>יום ג</v>
      </c>
      <c r="I5" s="10" t="str">
        <f>TEXT(WEEKDAY(DATE(CalendarYear,8,7),1),"aaa")</f>
        <v>יום ד</v>
      </c>
      <c r="J5" s="10" t="str">
        <f>TEXT(WEEKDAY(DATE(CalendarYear,8,8),1),"aaa")</f>
        <v>יום ה</v>
      </c>
      <c r="K5" s="10" t="str">
        <f>TEXT(WEEKDAY(DATE(CalendarYear,8,9),1),"aaa")</f>
        <v>יום ו</v>
      </c>
      <c r="L5" s="10" t="str">
        <f>TEXT(WEEKDAY(DATE(CalendarYear,8,10),1),"aaa")</f>
        <v>שבת</v>
      </c>
      <c r="M5" s="10" t="str">
        <f>TEXT(WEEKDAY(DATE(CalendarYear,8,11),1),"aaa")</f>
        <v>יום א</v>
      </c>
      <c r="N5" s="10" t="str">
        <f>TEXT(WEEKDAY(DATE(CalendarYear,8,12),1),"aaa")</f>
        <v>יום ב</v>
      </c>
      <c r="O5" s="10" t="str">
        <f>TEXT(WEEKDAY(DATE(CalendarYear,8,13),1),"aaa")</f>
        <v>יום ג</v>
      </c>
      <c r="P5" s="10" t="str">
        <f>TEXT(WEEKDAY(DATE(CalendarYear,8,14),1),"aaa")</f>
        <v>יום ד</v>
      </c>
      <c r="Q5" s="10" t="str">
        <f>TEXT(WEEKDAY(DATE(CalendarYear,8,15),1),"aaa")</f>
        <v>יום ה</v>
      </c>
      <c r="R5" s="10" t="str">
        <f>TEXT(WEEKDAY(DATE(CalendarYear,8,16),1),"aaa")</f>
        <v>יום ו</v>
      </c>
      <c r="S5" s="10" t="str">
        <f>TEXT(WEEKDAY(DATE(CalendarYear,8,17),1),"aaa")</f>
        <v>שבת</v>
      </c>
      <c r="T5" s="10" t="str">
        <f>TEXT(WEEKDAY(DATE(CalendarYear,8,18),1),"aaa")</f>
        <v>יום א</v>
      </c>
      <c r="U5" s="10" t="str">
        <f>TEXT(WEEKDAY(DATE(CalendarYear,8,19),1),"aaa")</f>
        <v>יום ב</v>
      </c>
      <c r="V5" s="10" t="str">
        <f>TEXT(WEEKDAY(DATE(CalendarYear,8,20),1),"aaa")</f>
        <v>יום ג</v>
      </c>
      <c r="W5" s="10" t="str">
        <f>TEXT(WEEKDAY(DATE(CalendarYear,8,21),1),"aaa")</f>
        <v>יום ד</v>
      </c>
      <c r="X5" s="10" t="str">
        <f>TEXT(WEEKDAY(DATE(CalendarYear,8,22),1),"aaa")</f>
        <v>יום ה</v>
      </c>
      <c r="Y5" s="10" t="str">
        <f>TEXT(WEEKDAY(DATE(CalendarYear,8,23),1),"aaa")</f>
        <v>יום ו</v>
      </c>
      <c r="Z5" s="10" t="str">
        <f>TEXT(WEEKDAY(DATE(CalendarYear,8,24),1),"aaa")</f>
        <v>שבת</v>
      </c>
      <c r="AA5" s="10" t="str">
        <f>TEXT(WEEKDAY(DATE(CalendarYear,8,25),1),"aaa")</f>
        <v>יום א</v>
      </c>
      <c r="AB5" s="10" t="str">
        <f>TEXT(WEEKDAY(DATE(CalendarYear,8,26),1),"aaa")</f>
        <v>יום ב</v>
      </c>
      <c r="AC5" s="10" t="str">
        <f>TEXT(WEEKDAY(DATE(CalendarYear,8,27),1),"aaa")</f>
        <v>יום ג</v>
      </c>
      <c r="AD5" s="10" t="str">
        <f>TEXT(WEEKDAY(DATE(CalendarYear,8,28),1),"aaa")</f>
        <v>יום ד</v>
      </c>
      <c r="AE5" s="10" t="str">
        <f>TEXT(WEEKDAY(DATE(CalendarYear,8,29),1),"aaa")</f>
        <v>יום ה</v>
      </c>
      <c r="AF5" s="10" t="str">
        <f>TEXT(WEEKDAY(DATE(CalendarYear,8,30),1),"aaa")</f>
        <v>יום ו</v>
      </c>
      <c r="AG5" s="10" t="str">
        <f>TEXT(WEEKDAY(DATE(CalendarYear,8,31),1),"aaa")</f>
        <v>שבת</v>
      </c>
      <c r="AH5" s="9"/>
    </row>
    <row r="6" spans="1:34" ht="15" customHeight="1" x14ac:dyDescent="0.2">
      <c r="A6" s="4"/>
      <c r="B6" s="11" t="s">
        <v>3</v>
      </c>
      <c r="C6" s="12" t="s">
        <v>11</v>
      </c>
      <c r="D6" s="12" t="s">
        <v>13</v>
      </c>
      <c r="E6" s="12" t="s">
        <v>14</v>
      </c>
      <c r="F6" s="12" t="s">
        <v>16</v>
      </c>
      <c r="G6" s="12" t="s">
        <v>18</v>
      </c>
      <c r="H6" s="12" t="s">
        <v>20</v>
      </c>
      <c r="I6" s="12" t="s">
        <v>21</v>
      </c>
      <c r="J6" s="12" t="s">
        <v>22</v>
      </c>
      <c r="K6" s="12" t="s">
        <v>23</v>
      </c>
      <c r="L6" s="12" t="s">
        <v>25</v>
      </c>
      <c r="M6" s="12" t="s">
        <v>26</v>
      </c>
      <c r="N6" s="12" t="s">
        <v>27</v>
      </c>
      <c r="O6" s="12" t="s">
        <v>29</v>
      </c>
      <c r="P6" s="12" t="s">
        <v>30</v>
      </c>
      <c r="Q6" s="12" t="s">
        <v>31</v>
      </c>
      <c r="R6" s="12" t="s">
        <v>32</v>
      </c>
      <c r="S6" s="12" t="s">
        <v>34</v>
      </c>
      <c r="T6" s="12" t="s">
        <v>35</v>
      </c>
      <c r="U6" s="12" t="s">
        <v>36</v>
      </c>
      <c r="V6" s="12" t="s">
        <v>37</v>
      </c>
      <c r="W6" s="12" t="s">
        <v>38</v>
      </c>
      <c r="X6" s="12" t="s">
        <v>39</v>
      </c>
      <c r="Y6" s="12" t="s">
        <v>40</v>
      </c>
      <c r="Z6" s="12" t="s">
        <v>41</v>
      </c>
      <c r="AA6" s="12" t="s">
        <v>42</v>
      </c>
      <c r="AB6" s="12" t="s">
        <v>43</v>
      </c>
      <c r="AC6" s="12" t="s">
        <v>44</v>
      </c>
      <c r="AD6" s="12" t="s">
        <v>45</v>
      </c>
      <c r="AE6" s="12" t="s">
        <v>46</v>
      </c>
      <c r="AF6" s="12" t="s">
        <v>47</v>
      </c>
      <c r="AG6" s="12" t="s">
        <v>48</v>
      </c>
      <c r="AH6" s="13" t="s">
        <v>50</v>
      </c>
    </row>
    <row r="7" spans="1:34" ht="30" customHeight="1" x14ac:dyDescent="0.2">
      <c r="A7" s="4"/>
      <c r="B7" s="19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5">
        <f>COUNTA(אוגוסט[[#This Row],[1]:[31]])</f>
        <v>0</v>
      </c>
    </row>
    <row r="8" spans="1:34" ht="30" customHeight="1" x14ac:dyDescent="0.2">
      <c r="A8" s="4"/>
      <c r="B8" s="19" t="s">
        <v>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5">
        <f>COUNTA(אוגוסט[[#This Row],[1]:[31]])</f>
        <v>0</v>
      </c>
    </row>
    <row r="9" spans="1:34" ht="30" customHeight="1" x14ac:dyDescent="0.2">
      <c r="A9" s="4"/>
      <c r="B9" s="19" t="s">
        <v>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5">
        <f>COUNTA(אוגוסט[[#This Row],[1]:[31]])</f>
        <v>0</v>
      </c>
    </row>
    <row r="10" spans="1:34" ht="30" customHeight="1" x14ac:dyDescent="0.2">
      <c r="A10" s="4"/>
      <c r="B10" s="19" t="s">
        <v>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5">
        <f>COUNTA(אוגוסט[[#This Row],[1]:[31]])</f>
        <v>0</v>
      </c>
    </row>
    <row r="11" spans="1:34" ht="30" customHeight="1" x14ac:dyDescent="0.2">
      <c r="A11" s="4"/>
      <c r="B11" s="19" t="s">
        <v>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5">
        <f>COUNTA(אוגוסט[[#This Row],[1]:[31]])</f>
        <v>0</v>
      </c>
    </row>
    <row r="12" spans="1:34" ht="30" customHeight="1" x14ac:dyDescent="0.2">
      <c r="A12" s="4"/>
      <c r="B12" s="16" t="str">
        <f>"סך הכל "&amp;MonthName</f>
        <v>סך הכל אוגוסט</v>
      </c>
      <c r="C12" s="17">
        <f>SUBTOTAL(103,אוגוסט[1])</f>
        <v>0</v>
      </c>
      <c r="D12" s="17">
        <f>SUBTOTAL(103,אוגוסט[2])</f>
        <v>0</v>
      </c>
      <c r="E12" s="17">
        <f>SUBTOTAL(103,אוגוסט[3])</f>
        <v>0</v>
      </c>
      <c r="F12" s="17">
        <f>SUBTOTAL(103,אוגוסט[4])</f>
        <v>0</v>
      </c>
      <c r="G12" s="17">
        <f>SUBTOTAL(103,אוגוסט[5])</f>
        <v>0</v>
      </c>
      <c r="H12" s="17">
        <f>SUBTOTAL(103,אוגוסט[6])</f>
        <v>0</v>
      </c>
      <c r="I12" s="17">
        <f>SUBTOTAL(103,אוגוסט[7])</f>
        <v>0</v>
      </c>
      <c r="J12" s="17">
        <f>SUBTOTAL(103,אוגוסט[8])</f>
        <v>0</v>
      </c>
      <c r="K12" s="17">
        <f>SUBTOTAL(103,אוגוסט[9])</f>
        <v>0</v>
      </c>
      <c r="L12" s="17">
        <f>SUBTOTAL(103,אוגוסט[10])</f>
        <v>0</v>
      </c>
      <c r="M12" s="17">
        <f>SUBTOTAL(103,אוגוסט[11])</f>
        <v>0</v>
      </c>
      <c r="N12" s="17">
        <f>SUBTOTAL(103,אוגוסט[12])</f>
        <v>0</v>
      </c>
      <c r="O12" s="17">
        <f>SUBTOTAL(103,אוגוסט[13])</f>
        <v>0</v>
      </c>
      <c r="P12" s="17">
        <f>SUBTOTAL(103,אוגוסט[14])</f>
        <v>0</v>
      </c>
      <c r="Q12" s="17">
        <f>SUBTOTAL(103,אוגוסט[15])</f>
        <v>0</v>
      </c>
      <c r="R12" s="17">
        <f>SUBTOTAL(103,אוגוסט[16])</f>
        <v>0</v>
      </c>
      <c r="S12" s="17">
        <f>SUBTOTAL(103,אוגוסט[17])</f>
        <v>0</v>
      </c>
      <c r="T12" s="17">
        <f>SUBTOTAL(103,אוגוסט[18])</f>
        <v>0</v>
      </c>
      <c r="U12" s="17">
        <f>SUBTOTAL(103,אוגוסט[19])</f>
        <v>0</v>
      </c>
      <c r="V12" s="17">
        <f>SUBTOTAL(103,אוגוסט[20])</f>
        <v>0</v>
      </c>
      <c r="W12" s="17">
        <f>SUBTOTAL(103,אוגוסט[21])</f>
        <v>0</v>
      </c>
      <c r="X12" s="17">
        <f>SUBTOTAL(103,אוגוסט[22])</f>
        <v>0</v>
      </c>
      <c r="Y12" s="17">
        <f>SUBTOTAL(103,אוגוסט[23])</f>
        <v>0</v>
      </c>
      <c r="Z12" s="17">
        <f>SUBTOTAL(103,אוגוסט[24])</f>
        <v>0</v>
      </c>
      <c r="AA12" s="17">
        <f>SUBTOTAL(103,אוגוסט[25])</f>
        <v>0</v>
      </c>
      <c r="AB12" s="17">
        <f>SUBTOTAL(103,אוגוסט[26])</f>
        <v>0</v>
      </c>
      <c r="AC12" s="17">
        <f>SUBTOTAL(103,אוגוסט[27])</f>
        <v>0</v>
      </c>
      <c r="AD12" s="17">
        <f>SUBTOTAL(103,אוגוסט[28])</f>
        <v>0</v>
      </c>
      <c r="AE12" s="17">
        <f>SUBTOTAL(103,אוגוסט[29])</f>
        <v>0</v>
      </c>
      <c r="AF12" s="17">
        <f>SUBTOTAL(103,אוגוסט[30])</f>
        <v>0</v>
      </c>
      <c r="AG12" s="17">
        <f>SUBTOTAL(103,אוגוסט[31])</f>
        <v>0</v>
      </c>
      <c r="AH12" s="17">
        <f>SUBTOTAL(109,אוגוסט[סה"כ ימים])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438" priority="2" stopIfTrue="1">
      <formula>C7=KeyCustom2</formula>
    </cfRule>
    <cfRule type="expression" dxfId="437" priority="3" stopIfTrue="1">
      <formula>C7=KeyCustom1</formula>
    </cfRule>
    <cfRule type="expression" dxfId="436" priority="4" stopIfTrue="1">
      <formula>C7=KeySick</formula>
    </cfRule>
    <cfRule type="expression" dxfId="435" priority="5" stopIfTrue="1">
      <formula>C7=KeyPersonal</formula>
    </cfRule>
    <cfRule type="expression" dxfId="434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{09900229-9536-43AB-AAE0-FC121BDECD61}</x14:id>
        </ext>
      </extLst>
    </cfRule>
  </conditionalFormatting>
  <dataValidations count="14">
    <dataValidation allowBlank="1" showInputMessage="1" showErrorMessage="1" prompt="ימות השבוע בשורה זו מתעדכנים באופן אוטומטי עבור החודש, בהתאם לשנה בתא AH4. כל יום בחודש הוא עמודה המשמשת לציון ההיעדרות וסוג ההיעדרות של העובד" sqref="C5" xr:uid="{00000000-0002-0000-0700-000000000000}"/>
    <dataValidation allowBlank="1" showInputMessage="1" showErrorMessage="1" prompt="השנה מתעדכנת באופן אוטומטי בהתבסס על השנה שהוזנה בגליון העבודה 'ינואר'" sqref="AH4" xr:uid="{00000000-0002-0000-0700-000001000000}"/>
    <dataValidation allowBlank="1" showInputMessage="1" showErrorMessage="1" prompt="בעמודה זו מופיע חישוב אוטומטי של מספר ימי ההיעדרויות הכולל של העובד בחודש זה" sqref="AH6" xr:uid="{00000000-0002-0000-0700-000002000000}"/>
    <dataValidation allowBlank="1" showInputMessage="1" showErrorMessage="1" prompt="עקוב אחר ההיעדרויות בחודש אוגוסט בגליון עבודה זה" sqref="A1" xr:uid="{00000000-0002-0000-0700-000003000000}"/>
    <dataValidation errorStyle="warning" allowBlank="1" showInputMessage="1" showErrorMessage="1" error="בחר שם מהרשימה. בחר 'ביטול', הקש ALT+חץ למטה ולאחר מכן הקש ENTER כדי לבחור שם" prompt="הזן את שמות העובדים בגליון העבודה 'שמות העובדים' ולאחר מכן בחר אחד מהשמות הללו ברשימה בעמודה זו. הקש ALT+חץ למטה ולאחר מכן הקש ENTER כדי לבחור שם" sqref="B6" xr:uid="{00000000-0002-0000-0700-000004000000}"/>
    <dataValidation allowBlank="1" showInputMessage="1" showErrorMessage="1" prompt="הכותרת בתא זה מתעדכנת באופן אוטומטי. כדי לשנות את הכותרת, עדכן את תא B1 בגליון העבודה 'ינואר'" sqref="B1" xr:uid="{00000000-0002-0000-0700-000005000000}"/>
    <dataValidation allowBlank="1" showInputMessage="1" showErrorMessage="1" prompt="האות &quot;ח&quot; מציינת היעדרות עקב חופשה" sqref="C2" xr:uid="{00000000-0002-0000-0700-000006000000}"/>
    <dataValidation allowBlank="1" showInputMessage="1" showErrorMessage="1" prompt="האות &quot;א&quot; מציינת היעדרות עקב סיבות אישיות" sqref="G2" xr:uid="{00000000-0002-0000-0700-000007000000}"/>
    <dataValidation allowBlank="1" showInputMessage="1" showErrorMessage="1" prompt="האות &quot;מ&quot; מציינת היעדרות עקב מחלה" sqref="K2" xr:uid="{00000000-0002-0000-0700-000008000000}"/>
    <dataValidation allowBlank="1" showInputMessage="1" showErrorMessage="1" prompt="הזן אות והתאם אישית את התווית בצד שמאל כדי להוסיף פריט מפתח אחר" sqref="N2 R2" xr:uid="{00000000-0002-0000-0700-000009000000}"/>
    <dataValidation allowBlank="1" showInputMessage="1" showErrorMessage="1" prompt="הזן תווית כדי לתאר את המפתח המותאם אישית בצד ימין" sqref="O2:Q2 S2:U2" xr:uid="{00000000-0002-0000-0700-00000A000000}"/>
    <dataValidation allowBlank="1" showInputMessage="1" showErrorMessage="1" prompt="שורה זו מגדירה את המפתחות שמופיעים בטבלה: תא C2 מכיל 'חופשה', תא G2 מכיל 'אישי' ותא K2 מכיל 'חופשת מחלה'. תאים N2 ו- R2 ניתנים להתאמה אישית" sqref="B2" xr:uid="{00000000-0002-0000-0700-00000B000000}"/>
    <dataValidation allowBlank="1" showInputMessage="1" showErrorMessage="1" prompt="שם החודש עבור לוח הזמנים לניהול היעדרויות מופיע בתא זה. סה&quot;כ ההיעדרויות בחודש זה מופיע בתא האחרון של הטבלה. בחר את שמות העובדים בעמודה B של הטבלה" sqref="B4" xr:uid="{00000000-0002-0000-0700-00000C000000}"/>
    <dataValidation allowBlank="1" showInputMessage="1" showErrorMessage="1" prompt="הימים בחודש בשורה זו נוצרים באופן אוטומטי. הזן את ההיעדרויות וסוגי ההיעדרויות של העובד בכל עמודה עבור כל יום בחודש. תא ריק מציין שלא היתה היעדרות" sqref="C6" xr:uid="{00000000-0002-0000-0700-00000D000000}"/>
  </dataValidations>
  <printOptions horizontalCentered="1"/>
  <pageMargins left="0.25" right="0.25" top="0.75" bottom="0.75" header="0.3" footer="0.3"/>
  <pageSetup paperSize="9" scale="69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900229-9536-43AB-AAE0-FC121BDECD61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E000000}">
          <x14:formula1>
            <xm:f>'שמות העובדים'!$B$4:$B$8</xm:f>
          </x14:formula1>
          <xm:sqref>B7:B11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  <pageSetUpPr fitToPage="1"/>
  </sheetPr>
  <dimension ref="A1:AH12"/>
  <sheetViews>
    <sheetView showGridLines="0" rightToLeft="1" zoomScaleNormal="100" workbookViewId="0"/>
  </sheetViews>
  <sheetFormatPr defaultRowHeight="30" customHeight="1" x14ac:dyDescent="0.2"/>
  <cols>
    <col min="1" max="1" width="2.625" style="1" customWidth="1"/>
    <col min="2" max="2" width="25.625" style="1" customWidth="1"/>
    <col min="3" max="33" width="4.875" style="1" customWidth="1"/>
    <col min="34" max="34" width="13.5" style="1" customWidth="1"/>
    <col min="35" max="35" width="2.625" customWidth="1"/>
  </cols>
  <sheetData>
    <row r="1" spans="1:34" ht="50.1" customHeight="1" x14ac:dyDescent="0.2">
      <c r="A1" s="4"/>
      <c r="B1" s="3" t="str">
        <f>Employee_Absence_Title</f>
        <v>לוח זמנים לניהול היעדרות העובדים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5" customHeight="1" x14ac:dyDescent="0.2">
      <c r="A2" s="4"/>
      <c r="B2" s="5" t="s">
        <v>1</v>
      </c>
      <c r="C2" s="6" t="s">
        <v>9</v>
      </c>
      <c r="D2" s="27" t="s">
        <v>12</v>
      </c>
      <c r="E2" s="27"/>
      <c r="F2" s="27"/>
      <c r="G2" s="7" t="s">
        <v>15</v>
      </c>
      <c r="H2" s="27" t="s">
        <v>19</v>
      </c>
      <c r="I2" s="27"/>
      <c r="J2" s="27"/>
      <c r="K2" s="22" t="s">
        <v>17</v>
      </c>
      <c r="L2" s="27" t="s">
        <v>24</v>
      </c>
      <c r="M2" s="27"/>
      <c r="N2" s="23"/>
      <c r="O2" s="27" t="s">
        <v>28</v>
      </c>
      <c r="P2" s="27"/>
      <c r="Q2" s="27"/>
      <c r="R2" s="24"/>
      <c r="S2" s="27" t="s">
        <v>33</v>
      </c>
      <c r="T2" s="27"/>
      <c r="U2" s="27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5" customHeight="1" x14ac:dyDescent="0.2">
      <c r="A3" s="4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30" customHeight="1" x14ac:dyDescent="0.2">
      <c r="A4" s="4"/>
      <c r="B4" s="9" t="s">
        <v>60</v>
      </c>
      <c r="C4" s="26" t="s">
        <v>10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9">
        <f>CalendarYear</f>
        <v>2019</v>
      </c>
    </row>
    <row r="5" spans="1:34" ht="15" customHeight="1" x14ac:dyDescent="0.2">
      <c r="A5" s="4"/>
      <c r="B5" s="9"/>
      <c r="C5" s="10" t="str">
        <f>TEXT(WEEKDAY(DATE(CalendarYear,9,1),1),"aaa")</f>
        <v>יום א</v>
      </c>
      <c r="D5" s="10" t="str">
        <f>TEXT(WEEKDAY(DATE(CalendarYear,9,2),1),"aaa")</f>
        <v>יום ב</v>
      </c>
      <c r="E5" s="10" t="str">
        <f>TEXT(WEEKDAY(DATE(CalendarYear,9,3),1),"aaa")</f>
        <v>יום ג</v>
      </c>
      <c r="F5" s="10" t="str">
        <f>TEXT(WEEKDAY(DATE(CalendarYear,9,4),1),"aaa")</f>
        <v>יום ד</v>
      </c>
      <c r="G5" s="10" t="str">
        <f>TEXT(WEEKDAY(DATE(CalendarYear,9,5),1),"aaa")</f>
        <v>יום ה</v>
      </c>
      <c r="H5" s="10" t="str">
        <f>TEXT(WEEKDAY(DATE(CalendarYear,9,6),1),"aaa")</f>
        <v>יום ו</v>
      </c>
      <c r="I5" s="10" t="str">
        <f>TEXT(WEEKDAY(DATE(CalendarYear,9,7),1),"aaa")</f>
        <v>שבת</v>
      </c>
      <c r="J5" s="10" t="str">
        <f>TEXT(WEEKDAY(DATE(CalendarYear,9,8),1),"aaa")</f>
        <v>יום א</v>
      </c>
      <c r="K5" s="10" t="str">
        <f>TEXT(WEEKDAY(DATE(CalendarYear,9,9),1),"aaa")</f>
        <v>יום ב</v>
      </c>
      <c r="L5" s="10" t="str">
        <f>TEXT(WEEKDAY(DATE(CalendarYear,9,10),1),"aaa")</f>
        <v>יום ג</v>
      </c>
      <c r="M5" s="10" t="str">
        <f>TEXT(WEEKDAY(DATE(CalendarYear,9,11),1),"aaa")</f>
        <v>יום ד</v>
      </c>
      <c r="N5" s="10" t="str">
        <f>TEXT(WEEKDAY(DATE(CalendarYear,9,12),1),"aaa")</f>
        <v>יום ה</v>
      </c>
      <c r="O5" s="10" t="str">
        <f>TEXT(WEEKDAY(DATE(CalendarYear,9,13),1),"aaa")</f>
        <v>יום ו</v>
      </c>
      <c r="P5" s="10" t="str">
        <f>TEXT(WEEKDAY(DATE(CalendarYear,9,14),1),"aaa")</f>
        <v>שבת</v>
      </c>
      <c r="Q5" s="10" t="str">
        <f>TEXT(WEEKDAY(DATE(CalendarYear,9,15),1),"aaa")</f>
        <v>יום א</v>
      </c>
      <c r="R5" s="10" t="str">
        <f>TEXT(WEEKDAY(DATE(CalendarYear,9,16),1),"aaa")</f>
        <v>יום ב</v>
      </c>
      <c r="S5" s="10" t="str">
        <f>TEXT(WEEKDAY(DATE(CalendarYear,9,17),1),"aaa")</f>
        <v>יום ג</v>
      </c>
      <c r="T5" s="10" t="str">
        <f>TEXT(WEEKDAY(DATE(CalendarYear,9,18),1),"aaa")</f>
        <v>יום ד</v>
      </c>
      <c r="U5" s="10" t="str">
        <f>TEXT(WEEKDAY(DATE(CalendarYear,9,19),1),"aaa")</f>
        <v>יום ה</v>
      </c>
      <c r="V5" s="10" t="str">
        <f>TEXT(WEEKDAY(DATE(CalendarYear,9,20),1),"aaa")</f>
        <v>יום ו</v>
      </c>
      <c r="W5" s="10" t="str">
        <f>TEXT(WEEKDAY(DATE(CalendarYear,9,21),1),"aaa")</f>
        <v>שבת</v>
      </c>
      <c r="X5" s="10" t="str">
        <f>TEXT(WEEKDAY(DATE(CalendarYear,9,22),1),"aaa")</f>
        <v>יום א</v>
      </c>
      <c r="Y5" s="10" t="str">
        <f>TEXT(WEEKDAY(DATE(CalendarYear,9,23),1),"aaa")</f>
        <v>יום ב</v>
      </c>
      <c r="Z5" s="10" t="str">
        <f>TEXT(WEEKDAY(DATE(CalendarYear,9,24),1),"aaa")</f>
        <v>יום ג</v>
      </c>
      <c r="AA5" s="10" t="str">
        <f>TEXT(WEEKDAY(DATE(CalendarYear,9,25),1),"aaa")</f>
        <v>יום ד</v>
      </c>
      <c r="AB5" s="10" t="str">
        <f>TEXT(WEEKDAY(DATE(CalendarYear,9,26),1),"aaa")</f>
        <v>יום ה</v>
      </c>
      <c r="AC5" s="10" t="str">
        <f>TEXT(WEEKDAY(DATE(CalendarYear,9,27),1),"aaa")</f>
        <v>יום ו</v>
      </c>
      <c r="AD5" s="10" t="str">
        <f>TEXT(WEEKDAY(DATE(CalendarYear,9,28),1),"aaa")</f>
        <v>שבת</v>
      </c>
      <c r="AE5" s="10" t="str">
        <f>TEXT(WEEKDAY(DATE(CalendarYear,9,29),1),"aaa")</f>
        <v>יום א</v>
      </c>
      <c r="AF5" s="10" t="str">
        <f>TEXT(WEEKDAY(DATE(CalendarYear,9,30),1),"aaa")</f>
        <v>יום ב</v>
      </c>
      <c r="AG5" s="10"/>
      <c r="AH5" s="9"/>
    </row>
    <row r="6" spans="1:34" ht="15" customHeight="1" x14ac:dyDescent="0.2">
      <c r="A6" s="4"/>
      <c r="B6" s="11" t="s">
        <v>3</v>
      </c>
      <c r="C6" s="12" t="s">
        <v>11</v>
      </c>
      <c r="D6" s="12" t="s">
        <v>13</v>
      </c>
      <c r="E6" s="12" t="s">
        <v>14</v>
      </c>
      <c r="F6" s="12" t="s">
        <v>16</v>
      </c>
      <c r="G6" s="12" t="s">
        <v>18</v>
      </c>
      <c r="H6" s="12" t="s">
        <v>20</v>
      </c>
      <c r="I6" s="12" t="s">
        <v>21</v>
      </c>
      <c r="J6" s="12" t="s">
        <v>22</v>
      </c>
      <c r="K6" s="12" t="s">
        <v>23</v>
      </c>
      <c r="L6" s="12" t="s">
        <v>25</v>
      </c>
      <c r="M6" s="12" t="s">
        <v>26</v>
      </c>
      <c r="N6" s="12" t="s">
        <v>27</v>
      </c>
      <c r="O6" s="12" t="s">
        <v>29</v>
      </c>
      <c r="P6" s="12" t="s">
        <v>30</v>
      </c>
      <c r="Q6" s="12" t="s">
        <v>31</v>
      </c>
      <c r="R6" s="12" t="s">
        <v>32</v>
      </c>
      <c r="S6" s="12" t="s">
        <v>34</v>
      </c>
      <c r="T6" s="12" t="s">
        <v>35</v>
      </c>
      <c r="U6" s="12" t="s">
        <v>36</v>
      </c>
      <c r="V6" s="12" t="s">
        <v>37</v>
      </c>
      <c r="W6" s="12" t="s">
        <v>38</v>
      </c>
      <c r="X6" s="12" t="s">
        <v>39</v>
      </c>
      <c r="Y6" s="12" t="s">
        <v>40</v>
      </c>
      <c r="Z6" s="12" t="s">
        <v>41</v>
      </c>
      <c r="AA6" s="12" t="s">
        <v>42</v>
      </c>
      <c r="AB6" s="12" t="s">
        <v>43</v>
      </c>
      <c r="AC6" s="12" t="s">
        <v>44</v>
      </c>
      <c r="AD6" s="12" t="s">
        <v>45</v>
      </c>
      <c r="AE6" s="12" t="s">
        <v>46</v>
      </c>
      <c r="AF6" s="12" t="s">
        <v>47</v>
      </c>
      <c r="AG6" s="12" t="s">
        <v>52</v>
      </c>
      <c r="AH6" s="13" t="s">
        <v>50</v>
      </c>
    </row>
    <row r="7" spans="1:34" ht="30" customHeight="1" x14ac:dyDescent="0.2">
      <c r="A7" s="4"/>
      <c r="B7" s="19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5">
        <f>COUNTA(ספטמבר[[#This Row],[1]:[30]])</f>
        <v>0</v>
      </c>
    </row>
    <row r="8" spans="1:34" ht="30" customHeight="1" x14ac:dyDescent="0.2">
      <c r="A8" s="4"/>
      <c r="B8" s="19" t="s">
        <v>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5">
        <f>COUNTA(ספטמבר[[#This Row],[1]:[30]])</f>
        <v>0</v>
      </c>
    </row>
    <row r="9" spans="1:34" ht="30" customHeight="1" x14ac:dyDescent="0.2">
      <c r="A9" s="4"/>
      <c r="B9" s="19" t="s">
        <v>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5">
        <f>COUNTA(ספטמבר[[#This Row],[1]:[30]])</f>
        <v>0</v>
      </c>
    </row>
    <row r="10" spans="1:34" ht="30" customHeight="1" x14ac:dyDescent="0.2">
      <c r="A10" s="4"/>
      <c r="B10" s="19" t="s">
        <v>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5">
        <f>COUNTA(ספטמבר[[#This Row],[1]:[30]])</f>
        <v>0</v>
      </c>
    </row>
    <row r="11" spans="1:34" ht="30" customHeight="1" x14ac:dyDescent="0.2">
      <c r="A11" s="4"/>
      <c r="B11" s="19" t="s">
        <v>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5">
        <f>COUNTA(ספטמבר[[#This Row],[1]:[30]])</f>
        <v>0</v>
      </c>
    </row>
    <row r="12" spans="1:34" ht="30" customHeight="1" x14ac:dyDescent="0.2">
      <c r="A12" s="4"/>
      <c r="B12" s="16" t="str">
        <f>"סך הכל "&amp;MonthName</f>
        <v>סך הכל ספטמבר</v>
      </c>
      <c r="C12" s="17">
        <f>SUBTOTAL(103,ספטמבר[1])</f>
        <v>0</v>
      </c>
      <c r="D12" s="17">
        <f>SUBTOTAL(103,ספטמבר[2])</f>
        <v>0</v>
      </c>
      <c r="E12" s="17">
        <f>SUBTOTAL(103,ספטמבר[3])</f>
        <v>0</v>
      </c>
      <c r="F12" s="17">
        <f>SUBTOTAL(103,ספטמבר[4])</f>
        <v>0</v>
      </c>
      <c r="G12" s="17">
        <f>SUBTOTAL(103,ספטמבר[5])</f>
        <v>0</v>
      </c>
      <c r="H12" s="17">
        <f>SUBTOTAL(103,ספטמבר[6])</f>
        <v>0</v>
      </c>
      <c r="I12" s="17">
        <f>SUBTOTAL(103,ספטמבר[7])</f>
        <v>0</v>
      </c>
      <c r="J12" s="17">
        <f>SUBTOTAL(103,ספטמבר[8])</f>
        <v>0</v>
      </c>
      <c r="K12" s="17">
        <f>SUBTOTAL(103,ספטמבר[9])</f>
        <v>0</v>
      </c>
      <c r="L12" s="17">
        <f>SUBTOTAL(103,ספטמבר[10])</f>
        <v>0</v>
      </c>
      <c r="M12" s="17">
        <f>SUBTOTAL(103,ספטמבר[11])</f>
        <v>0</v>
      </c>
      <c r="N12" s="17">
        <f>SUBTOTAL(103,ספטמבר[12])</f>
        <v>0</v>
      </c>
      <c r="O12" s="17">
        <f>SUBTOTAL(103,ספטמבר[13])</f>
        <v>0</v>
      </c>
      <c r="P12" s="17">
        <f>SUBTOTAL(103,ספטמבר[14])</f>
        <v>0</v>
      </c>
      <c r="Q12" s="17">
        <f>SUBTOTAL(103,ספטמבר[15])</f>
        <v>0</v>
      </c>
      <c r="R12" s="17">
        <f>SUBTOTAL(103,ספטמבר[16])</f>
        <v>0</v>
      </c>
      <c r="S12" s="17">
        <f>SUBTOTAL(103,ספטמבר[17])</f>
        <v>0</v>
      </c>
      <c r="T12" s="17">
        <f>SUBTOTAL(103,ספטמבר[18])</f>
        <v>0</v>
      </c>
      <c r="U12" s="17">
        <f>SUBTOTAL(103,ספטמבר[19])</f>
        <v>0</v>
      </c>
      <c r="V12" s="17">
        <f>SUBTOTAL(103,ספטמבר[20])</f>
        <v>0</v>
      </c>
      <c r="W12" s="17">
        <f>SUBTOTAL(103,ספטמבר[21])</f>
        <v>0</v>
      </c>
      <c r="X12" s="17">
        <f>SUBTOTAL(103,ספטמבר[22])</f>
        <v>0</v>
      </c>
      <c r="Y12" s="17">
        <f>SUBTOTAL(103,ספטמבר[23])</f>
        <v>0</v>
      </c>
      <c r="Z12" s="17">
        <f>SUBTOTAL(103,ספטמבר[24])</f>
        <v>0</v>
      </c>
      <c r="AA12" s="17">
        <f>SUBTOTAL(103,ספטמבר[25])</f>
        <v>0</v>
      </c>
      <c r="AB12" s="17">
        <f>SUBTOTAL(103,ספטמבר[26])</f>
        <v>0</v>
      </c>
      <c r="AC12" s="17">
        <f>SUBTOTAL(103,ספטמבר[27])</f>
        <v>0</v>
      </c>
      <c r="AD12" s="17">
        <f>SUBTOTAL(103,ספטמבר[28])</f>
        <v>0</v>
      </c>
      <c r="AE12" s="17">
        <f>SUBTOTAL(103,ספטמבר[29])</f>
        <v>0</v>
      </c>
      <c r="AF12" s="17">
        <f>SUBTOTAL(103,ספטמבר[30])</f>
        <v>0</v>
      </c>
      <c r="AG12" s="17">
        <f>SUBTOTAL(103,ספטמבר[[ ]])</f>
        <v>0</v>
      </c>
      <c r="AH12" s="17">
        <f>SUBTOTAL(109,ספטמבר[סה"כ ימים])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364" priority="2" stopIfTrue="1">
      <formula>C7=KeyCustom2</formula>
    </cfRule>
    <cfRule type="expression" dxfId="363" priority="3" stopIfTrue="1">
      <formula>C7=KeyCustom1</formula>
    </cfRule>
    <cfRule type="expression" dxfId="362" priority="4" stopIfTrue="1">
      <formula>C7=KeySick</formula>
    </cfRule>
    <cfRule type="expression" dxfId="361" priority="5" stopIfTrue="1">
      <formula>C7=KeyPersonal</formula>
    </cfRule>
    <cfRule type="expression" dxfId="360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{1A021984-06A1-41D9-90D2-8C16E885020B}</x14:id>
        </ext>
      </extLst>
    </cfRule>
  </conditionalFormatting>
  <dataValidations count="14">
    <dataValidation allowBlank="1" showInputMessage="1" showErrorMessage="1" prompt="הימים בחודש בשורה זו נוצרים באופן אוטומטי. הזן את ההיעדרויות וסוגי ההיעדרויות של העובד בכל עמודה עבור כל יום בחודש. תא ריק מציין שלא היתה היעדרות" sqref="C6" xr:uid="{00000000-0002-0000-0800-000000000000}"/>
    <dataValidation allowBlank="1" showInputMessage="1" showErrorMessage="1" prompt="שם החודש עבור לוח הזמנים לניהול היעדרויות מופיע בתא זה. סה&quot;כ ההיעדרויות בחודש זה מופיע בתא האחרון של הטבלה. בחר את שמות העובדים בעמודה B של הטבלה" sqref="B4" xr:uid="{00000000-0002-0000-0800-000001000000}"/>
    <dataValidation allowBlank="1" showInputMessage="1" showErrorMessage="1" prompt="שורה זו מגדירה את המפתחות שמופיעים בטבלה: תא C2 מכיל 'חופשה', תא G2 מכיל 'אישי' ותא K2 מכיל 'חופשת מחלה'. תאים N2 ו- R2 ניתנים להתאמה אישית" sqref="B2" xr:uid="{00000000-0002-0000-0800-000002000000}"/>
    <dataValidation allowBlank="1" showInputMessage="1" showErrorMessage="1" prompt="הזן תווית כדי לתאר את המפתח המותאם אישית בצד ימין" sqref="O2:Q2 S2:U2" xr:uid="{00000000-0002-0000-0800-000003000000}"/>
    <dataValidation allowBlank="1" showInputMessage="1" showErrorMessage="1" prompt="הזן אות והתאם אישית את התווית בצד שמאל כדי להוסיף פריט מפתח אחר" sqref="N2 R2" xr:uid="{00000000-0002-0000-0800-000004000000}"/>
    <dataValidation allowBlank="1" showInputMessage="1" showErrorMessage="1" prompt="האות &quot;מ&quot; מציינת היעדרות עקב מחלה" sqref="K2" xr:uid="{00000000-0002-0000-0800-000005000000}"/>
    <dataValidation allowBlank="1" showInputMessage="1" showErrorMessage="1" prompt="האות &quot;א&quot; מציינת היעדרות עקב סיבות אישיות" sqref="G2" xr:uid="{00000000-0002-0000-0800-000006000000}"/>
    <dataValidation allowBlank="1" showInputMessage="1" showErrorMessage="1" prompt="האות &quot;ח&quot; מציינת היעדרות עקב חופשה" sqref="C2" xr:uid="{00000000-0002-0000-0800-000007000000}"/>
    <dataValidation allowBlank="1" showInputMessage="1" showErrorMessage="1" prompt="הכותרת בתא זה מתעדכנת באופן אוטומטי. כדי לשנות את הכותרת, עדכן את תא B1 בגליון העבודה 'ינואר'" sqref="B1" xr:uid="{00000000-0002-0000-0800-000008000000}"/>
    <dataValidation errorStyle="warning" allowBlank="1" showInputMessage="1" showErrorMessage="1" error="בחר שם מהרשימה. בחר 'ביטול', הקש ALT+חץ למטה ולאחר מכן הקש ENTER כדי לבחור שם" prompt="הזן את שמות העובדים בגליון העבודה 'שמות העובדים' ולאחר מכן בחר אחד מהשמות הללו ברשימה בעמודה זו. הקש ALT+חץ למטה ולאחר מכן הקש ENTER כדי לבחור שם" sqref="B6" xr:uid="{00000000-0002-0000-0800-000009000000}"/>
    <dataValidation allowBlank="1" showInputMessage="1" showErrorMessage="1" prompt="עקוב אחר ההיעדרויות בחודש ספטמבר בגליון עבודה זה" sqref="A1" xr:uid="{00000000-0002-0000-0800-00000A000000}"/>
    <dataValidation allowBlank="1" showInputMessage="1" showErrorMessage="1" prompt="בעמודה זו מופיע חישוב אוטומטי של מספר ימי ההיעדרויות הכולל של העובד בחודש זה" sqref="AH6" xr:uid="{00000000-0002-0000-0800-00000B000000}"/>
    <dataValidation allowBlank="1" showInputMessage="1" showErrorMessage="1" prompt="השנה מתעדכנת באופן אוטומטי בהתבסס על השנה שהוזנה בגליון העבודה 'ינואר'" sqref="AH4" xr:uid="{00000000-0002-0000-0800-00000C000000}"/>
    <dataValidation allowBlank="1" showInputMessage="1" showErrorMessage="1" prompt="ימות השבוע בשורה זו מתעדכנים באופן אוטומטי עבור החודש, בהתאם לשנה בתא AH4. כל יום בחודש הוא עמודה המשמשת לציון ההיעדרות וסוג ההיעדרות של העובד" sqref="C5" xr:uid="{00000000-0002-0000-0800-00000D000000}"/>
  </dataValidations>
  <printOptions horizontalCentered="1"/>
  <pageMargins left="0.25" right="0.25" top="0.75" bottom="0.75" header="0.3" footer="0.3"/>
  <pageSetup paperSize="9" scale="69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021984-06A1-41D9-90D2-8C16E885020B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E000000}">
          <x14:formula1>
            <xm:f>'שמות העובדים'!$B$4:$B$8</xm:f>
          </x14:formula1>
          <xm:sqref>B7:B11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גליונות עבודה</vt:lpstr>
      </vt:variant>
      <vt:variant>
        <vt:i4>13</vt:i4>
      </vt:variant>
      <vt:variant>
        <vt:lpstr>טווחים בעלי שם</vt:lpstr>
      </vt:variant>
      <vt:variant>
        <vt:i4>50</vt:i4>
      </vt:variant>
    </vt:vector>
  </HeadingPairs>
  <TitlesOfParts>
    <vt:vector size="63" baseType="lpstr">
      <vt:lpstr>ינואר</vt:lpstr>
      <vt:lpstr>פברואר</vt:lpstr>
      <vt:lpstr>מרץ</vt:lpstr>
      <vt:lpstr>אפריל</vt:lpstr>
      <vt:lpstr>מאי</vt:lpstr>
      <vt:lpstr>יוני</vt:lpstr>
      <vt:lpstr>יולי</vt:lpstr>
      <vt:lpstr>אוגוסט</vt:lpstr>
      <vt:lpstr>ספטמבר</vt:lpstr>
      <vt:lpstr>אוקטובר</vt:lpstr>
      <vt:lpstr>נובמבר</vt:lpstr>
      <vt:lpstr>דצמבר</vt:lpstr>
      <vt:lpstr>שמות העובדים</vt:lpstr>
      <vt:lpstr>CalendarYear</vt:lpstr>
      <vt:lpstr>ColumnTitle13</vt:lpstr>
      <vt:lpstr>Employee_Absence_Title</vt:lpstr>
      <vt:lpstr>Key_name</vt:lpstr>
      <vt:lpstr>KeyCustom1</vt:lpstr>
      <vt:lpstr>KeyCustom1Label</vt:lpstr>
      <vt:lpstr>KeyCustom2</vt:lpstr>
      <vt:lpstr>KeyCustom2Label</vt:lpstr>
      <vt:lpstr>KeyPersonal</vt:lpstr>
      <vt:lpstr>KeyPersonalLabel</vt:lpstr>
      <vt:lpstr>KeySick</vt:lpstr>
      <vt:lpstr>KeySickLabel</vt:lpstr>
      <vt:lpstr>KeyVacation</vt:lpstr>
      <vt:lpstr>KeyVacationLabel</vt:lpstr>
      <vt:lpstr>אוגוסט!MonthName</vt:lpstr>
      <vt:lpstr>אוקטובר!MonthName</vt:lpstr>
      <vt:lpstr>אפריל!MonthName</vt:lpstr>
      <vt:lpstr>דצמבר!MonthName</vt:lpstr>
      <vt:lpstr>יולי!MonthName</vt:lpstr>
      <vt:lpstr>יוני!MonthName</vt:lpstr>
      <vt:lpstr>ינואר!MonthName</vt:lpstr>
      <vt:lpstr>מאי!MonthName</vt:lpstr>
      <vt:lpstr>מרץ!MonthName</vt:lpstr>
      <vt:lpstr>נובמבר!MonthName</vt:lpstr>
      <vt:lpstr>ספטמבר!MonthName</vt:lpstr>
      <vt:lpstr>פברואר!MonthName</vt:lpstr>
      <vt:lpstr>אוגוסט!WPrint_TitlesW</vt:lpstr>
      <vt:lpstr>אוקטובר!WPrint_TitlesW</vt:lpstr>
      <vt:lpstr>אפריל!WPrint_TitlesW</vt:lpstr>
      <vt:lpstr>דצמבר!WPrint_TitlesW</vt:lpstr>
      <vt:lpstr>יולי!WPrint_TitlesW</vt:lpstr>
      <vt:lpstr>יוני!WPrint_TitlesW</vt:lpstr>
      <vt:lpstr>ינואר!WPrint_TitlesW</vt:lpstr>
      <vt:lpstr>מאי!WPrint_TitlesW</vt:lpstr>
      <vt:lpstr>מרץ!WPrint_TitlesW</vt:lpstr>
      <vt:lpstr>נובמבר!WPrint_TitlesW</vt:lpstr>
      <vt:lpstr>ספטמבר!WPrint_TitlesW</vt:lpstr>
      <vt:lpstr>פברואר!WPrint_TitlesW</vt:lpstr>
      <vt:lpstr>כותרת1</vt:lpstr>
      <vt:lpstr>כותרת10</vt:lpstr>
      <vt:lpstr>כותרת11</vt:lpstr>
      <vt:lpstr>כותרת12</vt:lpstr>
      <vt:lpstr>כותרת2</vt:lpstr>
      <vt:lpstr>כותרת3</vt:lpstr>
      <vt:lpstr>כותרת4</vt:lpstr>
      <vt:lpstr>כותרת5</vt:lpstr>
      <vt:lpstr>כותרת6</vt:lpstr>
      <vt:lpstr>כותרת7</vt:lpstr>
      <vt:lpstr>כותרת8</vt:lpstr>
      <vt:lpstr>כותרת9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2016-12-06T04:52:27Z</dcterms:created>
  <dcterms:modified xsi:type="dcterms:W3CDTF">2019-07-31T00:39:33Z</dcterms:modified>
</cp:coreProperties>
</file>