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16"/>
  <workbookPr/>
  <mc:AlternateContent xmlns:mc="http://schemas.openxmlformats.org/markup-compatibility/2006">
    <mc:Choice Requires="x15">
      <x15ac:absPath xmlns:x15ac="http://schemas.microsoft.com/office/spreadsheetml/2010/11/ac" url="C:\Users\admin\OneDrive - BCS Loc Test 5\WordTech_20190719_Excel_Word_Win32_Q1_P2\04_PreDTP_Done\pl-PL\"/>
    </mc:Choice>
  </mc:AlternateContent>
  <xr:revisionPtr revIDLastSave="0" documentId="13_ncr:3_{F22D8DD5-C30E-4969-9FE9-8B2F2CA12F55}" xr6:coauthVersionLast="43" xr6:coauthVersionMax="43" xr10:uidLastSave="{00000000-0000-0000-0000-000000000000}"/>
  <bookViews>
    <workbookView xWindow="-120" yWindow="-120" windowWidth="28800" windowHeight="14415" tabRatio="686" xr2:uid="{00000000-000D-0000-FFFF-FFFF00000000}"/>
  </bookViews>
  <sheets>
    <sheet name="Styczeń" sheetId="4" r:id="rId1"/>
    <sheet name="Luty" sheetId="5" r:id="rId2"/>
    <sheet name="Marzec" sheetId="17" r:id="rId3"/>
    <sheet name="Kwiecień" sheetId="18" r:id="rId4"/>
    <sheet name="Maj" sheetId="19" r:id="rId5"/>
    <sheet name="Czerwiec" sheetId="20" r:id="rId6"/>
    <sheet name="Lipiec" sheetId="21" r:id="rId7"/>
    <sheet name="Sierpień" sheetId="22" r:id="rId8"/>
    <sheet name="Wrzesień" sheetId="23" r:id="rId9"/>
    <sheet name="Październik" sheetId="24" r:id="rId10"/>
    <sheet name="Listopad" sheetId="25" r:id="rId11"/>
    <sheet name="Grudzień" sheetId="15" r:id="rId12"/>
    <sheet name="Nazwiska pracowników" sheetId="16" r:id="rId13"/>
  </sheets>
  <definedNames>
    <definedName name="Etykieta_klucza_niestandardowego_1">Styczeń!$R$2</definedName>
    <definedName name="Etykieta_klucza_niestandardowego_2">Styczeń!$W$2</definedName>
    <definedName name="Etykieta_klucza_Osobiste">Styczeń!$H$2</definedName>
    <definedName name="Etykieta_klucza_Urlop">Styczeń!$D$2</definedName>
    <definedName name="Etykieta_klucza_Zwolnienie_lekarskie">Styczeń!$L$2</definedName>
    <definedName name="Klucz_nazwisko">Styczeń!$B$2</definedName>
    <definedName name="Klucz_niestandardowy_1">Styczeń!$Q$2</definedName>
    <definedName name="Klucz_niestandardowy_2">Styczeń!$V$2</definedName>
    <definedName name="Klucz_Osobiste">Styczeń!$G$2</definedName>
    <definedName name="Klucz_Urlop">Styczeń!$C$2</definedName>
    <definedName name="Klucz_Zwolnienie_lekarskie">Styczeń!$K$2</definedName>
    <definedName name="Nazwa_miesiąca" localSheetId="5">'Czerwiec'!$B$4</definedName>
    <definedName name="Nazwa_miesiąca" localSheetId="11">Grudzień!$B$4</definedName>
    <definedName name="Nazwa_miesiąca" localSheetId="3">Kwiecień!$B$4</definedName>
    <definedName name="Nazwa_miesiąca" localSheetId="6">Lipiec!$B$4</definedName>
    <definedName name="Nazwa_miesiąca" localSheetId="10">Listopad!$B$4</definedName>
    <definedName name="Nazwa_miesiąca" localSheetId="1">Luty!$B$4</definedName>
    <definedName name="Nazwa_miesiąca" localSheetId="4">Maj!$B$4</definedName>
    <definedName name="Nazwa_miesiąca" localSheetId="2">Marzec!$B$4</definedName>
    <definedName name="Nazwa_miesiąca" localSheetId="9">Październik!$B$4</definedName>
    <definedName name="Nazwa_miesiąca" localSheetId="7">Sierpień!$B$4</definedName>
    <definedName name="Nazwa_miesiąca" localSheetId="0">Styczeń!$B$4</definedName>
    <definedName name="Nazwa_miesiąca" localSheetId="8">Wrzesień!$B$4</definedName>
    <definedName name="Rok_kalendarzowy">Styczeń!$AH$4</definedName>
    <definedName name="Tytuł_kolumny_13">Imię_i_nazwisko_pracownika[[#Headers],[Nazwiska pracowników]]</definedName>
    <definedName name="Tytuł_Nieobecności_pracowników">Styczeń!$B$1</definedName>
    <definedName name="Tytuł1">Styczeń[[#Headers],[Imię i nazwisko pracownika]]</definedName>
    <definedName name="Tytuł10">Październik[[#Headers],[Imię i nazwisko pracownika]]</definedName>
    <definedName name="Tytuł11">Listopad[[#Headers],[Imię i nazwisko pracownika]]</definedName>
    <definedName name="Tytuł12">Grudzień[[#Headers],[Imię i nazwisko pracownika]]</definedName>
    <definedName name="Tytuł2">Luty[[#Headers],[Imię i nazwisko pracownika]]</definedName>
    <definedName name="Tytuł3">Marzec[[#Headers],[Imię i nazwisko pracownika]]</definedName>
    <definedName name="Tytuł4">Kwiecień[[#Headers],[Imię i nazwisko pracownika]]</definedName>
    <definedName name="Tytuł5">Maj[[#Headers],[Imię i nazwisko pracownika]]</definedName>
    <definedName name="Tytuł6">Czerwiec[[#Headers],[Imię i nazwisko pracownika]]</definedName>
    <definedName name="Tytuł7">Lipiec[[#Headers],[Imię i nazwisko pracownika]]</definedName>
    <definedName name="Tytuł8">Sierpień[[#Headers],[Imię i nazwisko pracownika]]</definedName>
    <definedName name="Tytuł9">Wrzesień[[#Headers],[Imię i nazwisko pracownika]]</definedName>
    <definedName name="_xlnm.Print_Titles" localSheetId="5">'Czerwiec'!$4:$6</definedName>
    <definedName name="_xlnm.Print_Titles" localSheetId="11">Grudzień!$4:$6</definedName>
    <definedName name="_xlnm.Print_Titles" localSheetId="3">Kwiecień!$4:$6</definedName>
    <definedName name="_xlnm.Print_Titles" localSheetId="6">Lipiec!$4:$6</definedName>
    <definedName name="_xlnm.Print_Titles" localSheetId="10">Listopad!$4:$6</definedName>
    <definedName name="_xlnm.Print_Titles" localSheetId="1">Luty!$4:$6</definedName>
    <definedName name="_xlnm.Print_Titles" localSheetId="4">Maj!$4:$6</definedName>
    <definedName name="_xlnm.Print_Titles" localSheetId="2">Marzec!$4:$6</definedName>
    <definedName name="_xlnm.Print_Titles" localSheetId="9">Październik!$4:$6</definedName>
    <definedName name="_xlnm.Print_Titles" localSheetId="7">Sierpień!$4:$6</definedName>
    <definedName name="_xlnm.Print_Titles" localSheetId="0">Styczeń!$4:$6</definedName>
    <definedName name="_xlnm.Print_Titles" localSheetId="8">Wrzesień!$4:$6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" i="15" l="1"/>
  <c r="B12" i="25"/>
  <c r="B12" i="24"/>
  <c r="B12" i="23"/>
  <c r="B12" i="22"/>
  <c r="B12" i="21"/>
  <c r="B12" i="20"/>
  <c r="B12" i="19"/>
  <c r="B12" i="18"/>
  <c r="B12" i="17"/>
  <c r="B12" i="5"/>
  <c r="B12" i="4"/>
  <c r="AH7" i="25" l="1"/>
  <c r="AH8" i="25"/>
  <c r="AH9" i="25"/>
  <c r="AH10" i="25"/>
  <c r="AH11" i="25"/>
  <c r="AH7" i="23"/>
  <c r="AH8" i="23"/>
  <c r="AH9" i="23"/>
  <c r="AH10" i="23"/>
  <c r="AH11" i="23"/>
  <c r="AH7" i="20"/>
  <c r="AH8" i="20"/>
  <c r="AH9" i="20"/>
  <c r="AH10" i="20"/>
  <c r="AH11" i="20"/>
  <c r="AH7" i="18"/>
  <c r="AH8" i="18"/>
  <c r="AH9" i="18"/>
  <c r="AH10" i="18"/>
  <c r="AH11" i="18"/>
  <c r="AD12" i="15"/>
  <c r="AE12" i="15"/>
  <c r="AF12" i="15"/>
  <c r="AG12" i="15"/>
  <c r="AE12" i="25"/>
  <c r="AF12" i="25"/>
  <c r="AG12" i="25"/>
  <c r="AE12" i="24"/>
  <c r="AF12" i="24"/>
  <c r="AG12" i="24"/>
  <c r="AE12" i="23"/>
  <c r="AF12" i="23"/>
  <c r="AG12" i="23"/>
  <c r="AF12" i="22"/>
  <c r="AG12" i="22"/>
  <c r="AF12" i="21"/>
  <c r="AG12" i="21"/>
  <c r="AF12" i="20"/>
  <c r="AG12" i="20"/>
  <c r="AF12" i="19"/>
  <c r="AG12" i="19"/>
  <c r="AG12" i="18"/>
  <c r="AF12" i="18"/>
  <c r="AF12" i="17"/>
  <c r="AG12" i="17"/>
  <c r="AH9" i="4" l="1"/>
  <c r="AH10" i="4"/>
  <c r="AF5" i="25" l="1"/>
  <c r="AE5" i="25"/>
  <c r="AD5" i="25"/>
  <c r="AC5" i="25"/>
  <c r="AB5" i="25"/>
  <c r="AA5" i="25"/>
  <c r="Z5" i="25"/>
  <c r="Y5" i="25"/>
  <c r="X5" i="25"/>
  <c r="W5" i="25"/>
  <c r="V5" i="25"/>
  <c r="U5" i="25"/>
  <c r="T5" i="25"/>
  <c r="S5" i="25"/>
  <c r="R5" i="25"/>
  <c r="Q5" i="25"/>
  <c r="P5" i="25"/>
  <c r="O5" i="25"/>
  <c r="N5" i="25"/>
  <c r="M5" i="25"/>
  <c r="L5" i="25"/>
  <c r="K5" i="25"/>
  <c r="J5" i="25"/>
  <c r="I5" i="25"/>
  <c r="H5" i="25"/>
  <c r="G5" i="25"/>
  <c r="F5" i="25"/>
  <c r="E5" i="25"/>
  <c r="D5" i="25"/>
  <c r="C5" i="25"/>
  <c r="AD12" i="25"/>
  <c r="AC12" i="25"/>
  <c r="AB12" i="25"/>
  <c r="AA12" i="25"/>
  <c r="Z12" i="25"/>
  <c r="Y12" i="25"/>
  <c r="X12" i="25"/>
  <c r="W12" i="25"/>
  <c r="V12" i="25"/>
  <c r="U12" i="25"/>
  <c r="T12" i="25"/>
  <c r="S12" i="25"/>
  <c r="R12" i="25"/>
  <c r="Q12" i="25"/>
  <c r="P12" i="25"/>
  <c r="O12" i="25"/>
  <c r="N12" i="25"/>
  <c r="M12" i="25"/>
  <c r="L12" i="25"/>
  <c r="K12" i="25"/>
  <c r="J12" i="25"/>
  <c r="I12" i="25"/>
  <c r="H12" i="25"/>
  <c r="G12" i="25"/>
  <c r="F12" i="25"/>
  <c r="E12" i="25"/>
  <c r="D12" i="25"/>
  <c r="C12" i="25"/>
  <c r="AH4" i="25"/>
  <c r="B1" i="25"/>
  <c r="AG5" i="24"/>
  <c r="AF5" i="24"/>
  <c r="AE5" i="24"/>
  <c r="AD5" i="24"/>
  <c r="AC5" i="24"/>
  <c r="AB5" i="24"/>
  <c r="AA5" i="24"/>
  <c r="Z5" i="24"/>
  <c r="Y5" i="24"/>
  <c r="X5" i="24"/>
  <c r="W5" i="24"/>
  <c r="V5" i="24"/>
  <c r="U5" i="24"/>
  <c r="T5" i="24"/>
  <c r="S5" i="24"/>
  <c r="R5" i="24"/>
  <c r="Q5" i="24"/>
  <c r="P5" i="24"/>
  <c r="O5" i="24"/>
  <c r="N5" i="24"/>
  <c r="M5" i="24"/>
  <c r="L5" i="24"/>
  <c r="K5" i="24"/>
  <c r="J5" i="24"/>
  <c r="I5" i="24"/>
  <c r="H5" i="24"/>
  <c r="G5" i="24"/>
  <c r="F5" i="24"/>
  <c r="E5" i="24"/>
  <c r="D5" i="24"/>
  <c r="C5" i="24"/>
  <c r="AD12" i="24"/>
  <c r="AC12" i="24"/>
  <c r="AB12" i="24"/>
  <c r="AA12" i="24"/>
  <c r="Z12" i="24"/>
  <c r="Y12" i="24"/>
  <c r="X12" i="24"/>
  <c r="W12" i="24"/>
  <c r="V12" i="24"/>
  <c r="U12" i="24"/>
  <c r="T12" i="24"/>
  <c r="S12" i="24"/>
  <c r="R12" i="24"/>
  <c r="Q12" i="24"/>
  <c r="P12" i="24"/>
  <c r="O12" i="24"/>
  <c r="N12" i="24"/>
  <c r="M12" i="24"/>
  <c r="L12" i="24"/>
  <c r="K12" i="24"/>
  <c r="J12" i="24"/>
  <c r="I12" i="24"/>
  <c r="H12" i="24"/>
  <c r="G12" i="24"/>
  <c r="F12" i="24"/>
  <c r="E12" i="24"/>
  <c r="D12" i="24"/>
  <c r="C12" i="24"/>
  <c r="AH11" i="24"/>
  <c r="AH10" i="24"/>
  <c r="AH9" i="24"/>
  <c r="AH8" i="24"/>
  <c r="AH7" i="24"/>
  <c r="AH4" i="24"/>
  <c r="B1" i="24"/>
  <c r="AF5" i="23"/>
  <c r="AE5" i="23"/>
  <c r="AD5" i="23"/>
  <c r="AC5" i="23"/>
  <c r="AB5" i="23"/>
  <c r="AA5" i="23"/>
  <c r="Z5" i="23"/>
  <c r="Y5" i="23"/>
  <c r="X5" i="23"/>
  <c r="W5" i="23"/>
  <c r="V5" i="23"/>
  <c r="U5" i="23"/>
  <c r="T5" i="23"/>
  <c r="S5" i="23"/>
  <c r="R5" i="23"/>
  <c r="Q5" i="23"/>
  <c r="P5" i="23"/>
  <c r="O5" i="23"/>
  <c r="N5" i="23"/>
  <c r="M5" i="23"/>
  <c r="L5" i="23"/>
  <c r="K5" i="23"/>
  <c r="J5" i="23"/>
  <c r="I5" i="23"/>
  <c r="H5" i="23"/>
  <c r="G5" i="23"/>
  <c r="F5" i="23"/>
  <c r="E5" i="23"/>
  <c r="D5" i="23"/>
  <c r="C5" i="23"/>
  <c r="AD12" i="23"/>
  <c r="AC12" i="23"/>
  <c r="AB12" i="23"/>
  <c r="AA12" i="23"/>
  <c r="Z12" i="23"/>
  <c r="Y12" i="23"/>
  <c r="X12" i="23"/>
  <c r="W12" i="23"/>
  <c r="V12" i="23"/>
  <c r="U12" i="23"/>
  <c r="T12" i="23"/>
  <c r="S12" i="23"/>
  <c r="R12" i="23"/>
  <c r="Q12" i="23"/>
  <c r="P12" i="23"/>
  <c r="O12" i="23"/>
  <c r="N12" i="23"/>
  <c r="M12" i="23"/>
  <c r="L12" i="23"/>
  <c r="K12" i="23"/>
  <c r="J12" i="23"/>
  <c r="I12" i="23"/>
  <c r="H12" i="23"/>
  <c r="G12" i="23"/>
  <c r="F12" i="23"/>
  <c r="E12" i="23"/>
  <c r="D12" i="23"/>
  <c r="C12" i="23"/>
  <c r="AH12" i="23"/>
  <c r="AH4" i="23"/>
  <c r="B1" i="23"/>
  <c r="AG5" i="22"/>
  <c r="AF5" i="22"/>
  <c r="AE5" i="22"/>
  <c r="AD5" i="22"/>
  <c r="AC5" i="22"/>
  <c r="AB5" i="22"/>
  <c r="AA5" i="22"/>
  <c r="Z5" i="22"/>
  <c r="Y5" i="22"/>
  <c r="X5" i="22"/>
  <c r="W5" i="22"/>
  <c r="V5" i="22"/>
  <c r="U5" i="22"/>
  <c r="T5" i="22"/>
  <c r="S5" i="22"/>
  <c r="R5" i="22"/>
  <c r="Q5" i="22"/>
  <c r="P5" i="22"/>
  <c r="O5" i="22"/>
  <c r="N5" i="22"/>
  <c r="M5" i="22"/>
  <c r="L5" i="22"/>
  <c r="K5" i="22"/>
  <c r="J5" i="22"/>
  <c r="I5" i="22"/>
  <c r="H5" i="22"/>
  <c r="G5" i="22"/>
  <c r="F5" i="22"/>
  <c r="E5" i="22"/>
  <c r="D5" i="22"/>
  <c r="C5" i="22"/>
  <c r="AE12" i="22"/>
  <c r="AD12" i="22"/>
  <c r="AC12" i="22"/>
  <c r="AB12" i="22"/>
  <c r="AA12" i="22"/>
  <c r="Z12" i="22"/>
  <c r="Y12" i="22"/>
  <c r="X12" i="22"/>
  <c r="W12" i="22"/>
  <c r="V12" i="22"/>
  <c r="U12" i="22"/>
  <c r="T12" i="22"/>
  <c r="S12" i="22"/>
  <c r="R12" i="22"/>
  <c r="Q12" i="22"/>
  <c r="P12" i="22"/>
  <c r="O12" i="22"/>
  <c r="N12" i="22"/>
  <c r="M12" i="22"/>
  <c r="L12" i="22"/>
  <c r="K12" i="22"/>
  <c r="J12" i="22"/>
  <c r="I12" i="22"/>
  <c r="H12" i="22"/>
  <c r="G12" i="22"/>
  <c r="F12" i="22"/>
  <c r="E12" i="22"/>
  <c r="D12" i="22"/>
  <c r="C12" i="22"/>
  <c r="AH11" i="22"/>
  <c r="AH10" i="22"/>
  <c r="AH9" i="22"/>
  <c r="AH8" i="22"/>
  <c r="AH7" i="22"/>
  <c r="AH4" i="22"/>
  <c r="B1" i="22"/>
  <c r="AG5" i="21"/>
  <c r="AF5" i="21"/>
  <c r="AE5" i="21"/>
  <c r="AD5" i="21"/>
  <c r="AC5" i="21"/>
  <c r="AB5" i="21"/>
  <c r="AA5" i="21"/>
  <c r="Z5" i="21"/>
  <c r="Y5" i="21"/>
  <c r="X5" i="21"/>
  <c r="W5" i="21"/>
  <c r="V5" i="21"/>
  <c r="U5" i="21"/>
  <c r="T5" i="21"/>
  <c r="S5" i="21"/>
  <c r="R5" i="21"/>
  <c r="Q5" i="21"/>
  <c r="P5" i="21"/>
  <c r="O5" i="21"/>
  <c r="N5" i="21"/>
  <c r="M5" i="21"/>
  <c r="L5" i="21"/>
  <c r="K5" i="21"/>
  <c r="J5" i="21"/>
  <c r="I5" i="21"/>
  <c r="H5" i="21"/>
  <c r="G5" i="21"/>
  <c r="F5" i="21"/>
  <c r="E5" i="21"/>
  <c r="D5" i="21"/>
  <c r="C5" i="21"/>
  <c r="AE12" i="21"/>
  <c r="AD12" i="21"/>
  <c r="AC12" i="21"/>
  <c r="AB12" i="21"/>
  <c r="AA12" i="21"/>
  <c r="Z12" i="21"/>
  <c r="Y12" i="21"/>
  <c r="X12" i="21"/>
  <c r="W12" i="21"/>
  <c r="V12" i="21"/>
  <c r="U12" i="21"/>
  <c r="T12" i="21"/>
  <c r="S12" i="21"/>
  <c r="R12" i="21"/>
  <c r="Q12" i="21"/>
  <c r="P12" i="21"/>
  <c r="O12" i="21"/>
  <c r="N12" i="21"/>
  <c r="M12" i="21"/>
  <c r="L12" i="21"/>
  <c r="K12" i="21"/>
  <c r="J12" i="21"/>
  <c r="I12" i="21"/>
  <c r="H12" i="21"/>
  <c r="G12" i="21"/>
  <c r="F12" i="21"/>
  <c r="E12" i="21"/>
  <c r="D12" i="21"/>
  <c r="C12" i="21"/>
  <c r="AH11" i="21"/>
  <c r="AH10" i="21"/>
  <c r="AH9" i="21"/>
  <c r="AH8" i="21"/>
  <c r="AH7" i="21"/>
  <c r="AH4" i="21"/>
  <c r="B1" i="21"/>
  <c r="AF5" i="20"/>
  <c r="AE5" i="20"/>
  <c r="AD5" i="20"/>
  <c r="AC5" i="20"/>
  <c r="AB5" i="20"/>
  <c r="AA5" i="20"/>
  <c r="Z5" i="20"/>
  <c r="Y5" i="20"/>
  <c r="X5" i="20"/>
  <c r="W5" i="20"/>
  <c r="V5" i="20"/>
  <c r="U5" i="20"/>
  <c r="T5" i="20"/>
  <c r="S5" i="20"/>
  <c r="R5" i="20"/>
  <c r="Q5" i="20"/>
  <c r="P5" i="20"/>
  <c r="O5" i="20"/>
  <c r="N5" i="20"/>
  <c r="M5" i="20"/>
  <c r="L5" i="20"/>
  <c r="K5" i="20"/>
  <c r="J5" i="20"/>
  <c r="I5" i="20"/>
  <c r="H5" i="20"/>
  <c r="G5" i="20"/>
  <c r="F5" i="20"/>
  <c r="E5" i="20"/>
  <c r="D5" i="20"/>
  <c r="C5" i="20"/>
  <c r="AE12" i="20"/>
  <c r="AD12" i="20"/>
  <c r="AC12" i="20"/>
  <c r="AB12" i="20"/>
  <c r="AA12" i="20"/>
  <c r="Z12" i="20"/>
  <c r="Y12" i="20"/>
  <c r="X12" i="20"/>
  <c r="W12" i="20"/>
  <c r="V12" i="20"/>
  <c r="U12" i="20"/>
  <c r="T12" i="20"/>
  <c r="S12" i="20"/>
  <c r="R12" i="20"/>
  <c r="Q12" i="20"/>
  <c r="P12" i="20"/>
  <c r="O12" i="20"/>
  <c r="N12" i="20"/>
  <c r="M12" i="20"/>
  <c r="L12" i="20"/>
  <c r="K12" i="20"/>
  <c r="J12" i="20"/>
  <c r="I12" i="20"/>
  <c r="H12" i="20"/>
  <c r="G12" i="20"/>
  <c r="F12" i="20"/>
  <c r="E12" i="20"/>
  <c r="D12" i="20"/>
  <c r="C12" i="20"/>
  <c r="AH4" i="20"/>
  <c r="B1" i="20"/>
  <c r="AG5" i="19"/>
  <c r="AF5" i="19"/>
  <c r="AE5" i="19"/>
  <c r="AD5" i="19"/>
  <c r="AC5" i="19"/>
  <c r="AB5" i="19"/>
  <c r="AA5" i="19"/>
  <c r="Z5" i="19"/>
  <c r="Y5" i="19"/>
  <c r="X5" i="19"/>
  <c r="W5" i="19"/>
  <c r="V5" i="19"/>
  <c r="U5" i="19"/>
  <c r="T5" i="19"/>
  <c r="S5" i="19"/>
  <c r="R5" i="19"/>
  <c r="Q5" i="19"/>
  <c r="P5" i="19"/>
  <c r="O5" i="19"/>
  <c r="N5" i="19"/>
  <c r="M5" i="19"/>
  <c r="L5" i="19"/>
  <c r="K5" i="19"/>
  <c r="J5" i="19"/>
  <c r="I5" i="19"/>
  <c r="H5" i="19"/>
  <c r="G5" i="19"/>
  <c r="F5" i="19"/>
  <c r="E5" i="19"/>
  <c r="D5" i="19"/>
  <c r="C5" i="19"/>
  <c r="AE12" i="19"/>
  <c r="AD12" i="19"/>
  <c r="AC12" i="19"/>
  <c r="AB12" i="19"/>
  <c r="AA12" i="19"/>
  <c r="Z12" i="19"/>
  <c r="Y12" i="19"/>
  <c r="X12" i="19"/>
  <c r="W12" i="19"/>
  <c r="V12" i="19"/>
  <c r="U12" i="19"/>
  <c r="T12" i="19"/>
  <c r="S12" i="19"/>
  <c r="R12" i="19"/>
  <c r="Q12" i="19"/>
  <c r="P12" i="19"/>
  <c r="O12" i="19"/>
  <c r="N12" i="19"/>
  <c r="M12" i="19"/>
  <c r="L12" i="19"/>
  <c r="K12" i="19"/>
  <c r="J12" i="19"/>
  <c r="I12" i="19"/>
  <c r="H12" i="19"/>
  <c r="G12" i="19"/>
  <c r="F12" i="19"/>
  <c r="E12" i="19"/>
  <c r="D12" i="19"/>
  <c r="C12" i="19"/>
  <c r="AH11" i="19"/>
  <c r="AH10" i="19"/>
  <c r="AH9" i="19"/>
  <c r="AH8" i="19"/>
  <c r="AH7" i="19"/>
  <c r="AH4" i="19"/>
  <c r="B1" i="19"/>
  <c r="AF5" i="18"/>
  <c r="AE5" i="18"/>
  <c r="AD5" i="18"/>
  <c r="AC5" i="18"/>
  <c r="AB5" i="18"/>
  <c r="AA5" i="18"/>
  <c r="Z5" i="18"/>
  <c r="Y5" i="18"/>
  <c r="X5" i="18"/>
  <c r="W5" i="18"/>
  <c r="V5" i="18"/>
  <c r="U5" i="18"/>
  <c r="T5" i="18"/>
  <c r="S5" i="18"/>
  <c r="R5" i="18"/>
  <c r="Q5" i="18"/>
  <c r="P5" i="18"/>
  <c r="O5" i="18"/>
  <c r="N5" i="18"/>
  <c r="M5" i="18"/>
  <c r="L5" i="18"/>
  <c r="K5" i="18"/>
  <c r="J5" i="18"/>
  <c r="I5" i="18"/>
  <c r="H5" i="18"/>
  <c r="G5" i="18"/>
  <c r="F5" i="18"/>
  <c r="E5" i="18"/>
  <c r="D5" i="18"/>
  <c r="C5" i="18"/>
  <c r="AE12" i="18"/>
  <c r="AD12" i="18"/>
  <c r="AC12" i="18"/>
  <c r="AB12" i="18"/>
  <c r="AA12" i="18"/>
  <c r="Z12" i="18"/>
  <c r="Y12" i="18"/>
  <c r="X12" i="18"/>
  <c r="W12" i="18"/>
  <c r="V12" i="18"/>
  <c r="U12" i="18"/>
  <c r="T12" i="18"/>
  <c r="S12" i="18"/>
  <c r="R12" i="18"/>
  <c r="Q12" i="18"/>
  <c r="P12" i="18"/>
  <c r="O12" i="18"/>
  <c r="N12" i="18"/>
  <c r="M12" i="18"/>
  <c r="L12" i="18"/>
  <c r="K12" i="18"/>
  <c r="J12" i="18"/>
  <c r="I12" i="18"/>
  <c r="H12" i="18"/>
  <c r="G12" i="18"/>
  <c r="F12" i="18"/>
  <c r="E12" i="18"/>
  <c r="D12" i="18"/>
  <c r="C12" i="18"/>
  <c r="AH12" i="18"/>
  <c r="AH4" i="18"/>
  <c r="B1" i="18"/>
  <c r="AG5" i="17"/>
  <c r="AF5" i="17"/>
  <c r="AE5" i="17"/>
  <c r="AD5" i="17"/>
  <c r="AC5" i="17"/>
  <c r="AB5" i="17"/>
  <c r="AA5" i="17"/>
  <c r="Z5" i="17"/>
  <c r="Y5" i="17"/>
  <c r="X5" i="17"/>
  <c r="W5" i="17"/>
  <c r="V5" i="17"/>
  <c r="U5" i="17"/>
  <c r="T5" i="17"/>
  <c r="S5" i="17"/>
  <c r="R5" i="17"/>
  <c r="Q5" i="17"/>
  <c r="P5" i="17"/>
  <c r="O5" i="17"/>
  <c r="N5" i="17"/>
  <c r="M5" i="17"/>
  <c r="L5" i="17"/>
  <c r="K5" i="17"/>
  <c r="J5" i="17"/>
  <c r="I5" i="17"/>
  <c r="H5" i="17"/>
  <c r="G5" i="17"/>
  <c r="F5" i="17"/>
  <c r="E5" i="17"/>
  <c r="D5" i="17"/>
  <c r="C5" i="17"/>
  <c r="AE12" i="17"/>
  <c r="AD12" i="17"/>
  <c r="AC12" i="17"/>
  <c r="AB12" i="17"/>
  <c r="AA12" i="17"/>
  <c r="Z12" i="17"/>
  <c r="Y12" i="17"/>
  <c r="X12" i="17"/>
  <c r="W12" i="17"/>
  <c r="V12" i="17"/>
  <c r="U12" i="17"/>
  <c r="T12" i="17"/>
  <c r="S12" i="17"/>
  <c r="R12" i="17"/>
  <c r="Q12" i="17"/>
  <c r="P12" i="17"/>
  <c r="O12" i="17"/>
  <c r="N12" i="17"/>
  <c r="M12" i="17"/>
  <c r="L12" i="17"/>
  <c r="K12" i="17"/>
  <c r="J12" i="17"/>
  <c r="I12" i="17"/>
  <c r="H12" i="17"/>
  <c r="G12" i="17"/>
  <c r="F12" i="17"/>
  <c r="E12" i="17"/>
  <c r="D12" i="17"/>
  <c r="C12" i="17"/>
  <c r="AH11" i="17"/>
  <c r="AH10" i="17"/>
  <c r="AH9" i="17"/>
  <c r="AH8" i="17"/>
  <c r="AH7" i="17"/>
  <c r="AH4" i="17"/>
  <c r="B1" i="17"/>
  <c r="B1" i="15"/>
  <c r="B1" i="5"/>
  <c r="AH12" i="21" l="1"/>
  <c r="AH12" i="17"/>
  <c r="AH12" i="22"/>
  <c r="AH12" i="25"/>
  <c r="AH12" i="20"/>
  <c r="AH12" i="19"/>
  <c r="AH12" i="24"/>
  <c r="AB5" i="5"/>
  <c r="AH4" i="5" l="1"/>
  <c r="AH4" i="15" l="1"/>
  <c r="C12" i="4" l="1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T12" i="4"/>
  <c r="U12" i="4"/>
  <c r="V12" i="4"/>
  <c r="W12" i="4"/>
  <c r="X12" i="4"/>
  <c r="Y12" i="4"/>
  <c r="Z12" i="4"/>
  <c r="AA12" i="4"/>
  <c r="AB12" i="4"/>
  <c r="AC12" i="4"/>
  <c r="AD12" i="4"/>
  <c r="AE12" i="4"/>
  <c r="AF12" i="4"/>
  <c r="AG12" i="4"/>
  <c r="AH7" i="15" l="1"/>
  <c r="AH8" i="15"/>
  <c r="AH9" i="15"/>
  <c r="AH10" i="15"/>
  <c r="AH11" i="15"/>
  <c r="AH12" i="15" l="1"/>
  <c r="C12" i="15"/>
  <c r="D12" i="15"/>
  <c r="E12" i="15"/>
  <c r="F12" i="15"/>
  <c r="G12" i="15"/>
  <c r="H12" i="15"/>
  <c r="I12" i="15"/>
  <c r="J12" i="15"/>
  <c r="K12" i="15"/>
  <c r="L12" i="15"/>
  <c r="M12" i="15"/>
  <c r="N12" i="15"/>
  <c r="O12" i="15"/>
  <c r="P12" i="15"/>
  <c r="Q12" i="15"/>
  <c r="R12" i="15"/>
  <c r="S12" i="15"/>
  <c r="T12" i="15"/>
  <c r="U12" i="15"/>
  <c r="V12" i="15"/>
  <c r="W12" i="15"/>
  <c r="X12" i="15"/>
  <c r="Y12" i="15"/>
  <c r="Z12" i="15"/>
  <c r="AA12" i="15"/>
  <c r="AB12" i="15"/>
  <c r="AC12" i="15"/>
  <c r="AG5" i="15" l="1"/>
  <c r="AF5" i="15"/>
  <c r="AE5" i="15"/>
  <c r="AD5" i="15"/>
  <c r="AC5" i="15"/>
  <c r="AB5" i="15"/>
  <c r="AA5" i="15"/>
  <c r="Z5" i="15"/>
  <c r="Y5" i="15"/>
  <c r="X5" i="15"/>
  <c r="W5" i="15"/>
  <c r="V5" i="15"/>
  <c r="U5" i="15"/>
  <c r="T5" i="15"/>
  <c r="S5" i="15"/>
  <c r="R5" i="15"/>
  <c r="Q5" i="15"/>
  <c r="P5" i="15"/>
  <c r="O5" i="15"/>
  <c r="N5" i="15"/>
  <c r="M5" i="15"/>
  <c r="L5" i="15"/>
  <c r="K5" i="15"/>
  <c r="J5" i="15"/>
  <c r="I5" i="15"/>
  <c r="H5" i="15"/>
  <c r="G5" i="15"/>
  <c r="F5" i="15"/>
  <c r="E5" i="15"/>
  <c r="D5" i="15"/>
  <c r="C5" i="15"/>
  <c r="AH11" i="5" l="1"/>
  <c r="AH10" i="5"/>
  <c r="AH9" i="5"/>
  <c r="AH11" i="4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AH8" i="5"/>
  <c r="AH7" i="5"/>
  <c r="AE5" i="5"/>
  <c r="AD5" i="5"/>
  <c r="AC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AH12" i="5" l="1"/>
  <c r="AH7" i="4"/>
  <c r="AH8" i="4"/>
  <c r="AH12" i="4" l="1"/>
  <c r="AE5" i="4"/>
  <c r="AA5" i="4"/>
  <c r="W5" i="4"/>
  <c r="O5" i="4"/>
  <c r="G5" i="4"/>
  <c r="AD5" i="4"/>
  <c r="Z5" i="4"/>
  <c r="R5" i="4"/>
  <c r="N5" i="4"/>
  <c r="F5" i="4"/>
  <c r="M5" i="4"/>
  <c r="AG5" i="4"/>
  <c r="AC5" i="4"/>
  <c r="Y5" i="4"/>
  <c r="S5" i="4"/>
  <c r="K5" i="4"/>
  <c r="E5" i="4"/>
  <c r="AF5" i="4"/>
  <c r="AB5" i="4"/>
  <c r="X5" i="4"/>
  <c r="T5" i="4"/>
  <c r="P5" i="4"/>
  <c r="L5" i="4"/>
  <c r="H5" i="4"/>
  <c r="D5" i="4"/>
  <c r="Q5" i="4"/>
  <c r="I5" i="4"/>
  <c r="C5" i="4"/>
  <c r="V5" i="4"/>
  <c r="J5" i="4"/>
  <c r="U5" i="4"/>
</calcChain>
</file>

<file path=xl/sharedStrings.xml><?xml version="1.0" encoding="utf-8"?>
<sst xmlns="http://schemas.openxmlformats.org/spreadsheetml/2006/main" count="643" uniqueCount="65">
  <si>
    <t>Harmonogram nieobecności pracowników</t>
  </si>
  <si>
    <t>Klucz typu nieobecności</t>
  </si>
  <si>
    <t>Styczeń</t>
  </si>
  <si>
    <t>Imię i nazwisko pracownika</t>
  </si>
  <si>
    <t>Pracownik 1</t>
  </si>
  <si>
    <t>Pracownik 2</t>
  </si>
  <si>
    <t>Pracownik 3</t>
  </si>
  <si>
    <t>Pracownik 4</t>
  </si>
  <si>
    <t>Pracownik 5</t>
  </si>
  <si>
    <t>U</t>
  </si>
  <si>
    <t>Daty nieobecności</t>
  </si>
  <si>
    <t>1</t>
  </si>
  <si>
    <t>Urlop</t>
  </si>
  <si>
    <t>2</t>
  </si>
  <si>
    <t>3</t>
  </si>
  <si>
    <t>O</t>
  </si>
  <si>
    <t>4</t>
  </si>
  <si>
    <t>Z</t>
  </si>
  <si>
    <t>5</t>
  </si>
  <si>
    <t>Osobiste</t>
  </si>
  <si>
    <t>6</t>
  </si>
  <si>
    <t>7</t>
  </si>
  <si>
    <t>8</t>
  </si>
  <si>
    <t>9</t>
  </si>
  <si>
    <t>Zwolnienie lekarskie</t>
  </si>
  <si>
    <t>10</t>
  </si>
  <si>
    <t>11</t>
  </si>
  <si>
    <t>12</t>
  </si>
  <si>
    <t>Niestandardowy 1</t>
  </si>
  <si>
    <t>13</t>
  </si>
  <si>
    <t>14</t>
  </si>
  <si>
    <t>15</t>
  </si>
  <si>
    <t>16</t>
  </si>
  <si>
    <t>Niestandardowy 2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</si>
  <si>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</si>
  <si>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</si>
  <si>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</si>
  <si>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</si>
  <si>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</si>
  <si>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</si>
  <si>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</si>
  <si>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</si>
  <si>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</si>
  <si>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</si>
  <si>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</si>
  <si>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</si>
  <si>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</si>
  <si>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</si>
  <si>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</si>
  <si>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Wprowadź rok:</t>
  </si>
  <si>
    <t>Łączna liczba dni</t>
  </si>
  <si>
    <t>Luty</t>
  </si>
  <si>
    <t xml:space="preserve"> </t>
  </si>
  <si>
    <t xml:space="preserve">  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</si>
  <si>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</si>
  <si>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</si>
  <si>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</si>
  <si>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</si>
  <si>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</si>
  <si>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</si>
  <si>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</si>
  <si>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</si>
  <si>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</si>
  <si>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</si>
  <si>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Nazwiska pracowników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</si>
</sst>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* #,##0\ &quot;zł&quot;_-;\-* #,##0\ &quot;zł&quot;_-;_-* &quot;-&quot;\ &quot;zł&quot;_-;_-@_-"/>
    <numFmt numFmtId="44" formatCode="_-* #,##0.00\ &quot;zł&quot;_-;\-* #,##0.00\ &quot;zł&quot;_-;_-* &quot;-&quot;??\ &quot;zł&quot;_-;_-@_-"/>
    <numFmt numFmtId="164" formatCode="_(* #,##0_);_(* \(#,##0\);_(* &quot;-&quot;_);_(@_)"/>
    <numFmt numFmtId="165" formatCode="_(* #,##0.00_);_(* \(#,##0.00\);_(* &quot;-&quot;??_);_(@_)"/>
    <numFmt numFmtId="166" formatCode="0;0;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6"/>
      <color theme="3" tint="-0.24994659260841701"/>
      <name val="Calibri"/>
      <family val="2"/>
      <scheme val="major"/>
    </font>
    <font>
      <b/>
      <sz val="18"/>
      <color theme="4" tint="-0.24994659260841701"/>
      <name val="Calibri"/>
      <family val="2"/>
      <scheme val="minor"/>
    </font>
    <font>
      <b/>
      <sz val="26"/>
      <color theme="3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8E3E0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39997558519241921"/>
        <bgColor indexed="65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horizontal="left" vertical="center"/>
    </xf>
    <xf numFmtId="0" fontId="6" fillId="0" borderId="0" applyNumberFormat="0" applyFill="0" applyBorder="0" applyProtection="0">
      <alignment vertical="top"/>
    </xf>
    <xf numFmtId="0" fontId="4" fillId="0" borderId="0" applyNumberFormat="0" applyFill="0" applyBorder="0" applyProtection="0">
      <alignment vertical="top"/>
    </xf>
    <xf numFmtId="0" fontId="5" fillId="2" borderId="0" applyNumberFormat="0" applyBorder="0" applyProtection="0">
      <alignment horizontal="center" vertical="center"/>
    </xf>
    <xf numFmtId="0" fontId="2" fillId="20" borderId="0" applyNumberFormat="0" applyProtection="0">
      <alignment horizontal="right" vertical="center" indent="1"/>
    </xf>
    <xf numFmtId="0" fontId="1" fillId="0" borderId="0" applyNumberFormat="0" applyFill="0" applyBorder="0" applyProtection="0">
      <alignment horizontal="left" vertical="center" indent="2"/>
    </xf>
    <xf numFmtId="0" fontId="3" fillId="3" borderId="0" applyNumberFormat="0" applyBorder="0" applyAlignment="0" applyProtection="0"/>
    <xf numFmtId="0" fontId="1" fillId="4" borderId="0" applyNumberFormat="0" applyBorder="0" applyProtection="0">
      <alignment horizontal="center" vertical="center"/>
    </xf>
    <xf numFmtId="0" fontId="2" fillId="9" borderId="0" applyNumberFormat="0" applyBorder="0" applyAlignment="0" applyProtection="0"/>
    <xf numFmtId="0" fontId="1" fillId="5" borderId="0" applyNumberFormat="0" applyBorder="0" applyAlignment="0" applyProtection="0"/>
    <xf numFmtId="0" fontId="3" fillId="7" borderId="0" applyNumberFormat="0" applyBorder="0" applyAlignment="0" applyProtection="0"/>
    <xf numFmtId="0" fontId="1" fillId="6" borderId="0" applyNumberFormat="0" applyBorder="0" applyAlignment="0" applyProtection="0"/>
    <xf numFmtId="0" fontId="2" fillId="15" borderId="0" applyNumberFormat="0" applyBorder="0" applyAlignment="0" applyProtection="0"/>
    <xf numFmtId="0" fontId="1" fillId="8" borderId="0" applyNumberFormat="0" applyBorder="0" applyAlignment="0" applyProtection="0"/>
    <xf numFmtId="0" fontId="3" fillId="15" borderId="0" applyNumberFormat="0" applyBorder="0" applyAlignment="0" applyProtection="0"/>
    <xf numFmtId="0" fontId="1" fillId="18" borderId="0" applyNumberFormat="0" applyBorder="0" applyAlignment="0" applyProtection="0"/>
    <xf numFmtId="0" fontId="2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2" fillId="10" borderId="0" applyNumberFormat="0" applyBorder="0" applyAlignment="0" applyProtection="0"/>
    <xf numFmtId="0" fontId="3" fillId="11" borderId="0" applyNumberFormat="0" applyBorder="0" applyAlignment="0" applyProtection="0"/>
    <xf numFmtId="0" fontId="1" fillId="2" borderId="0" applyNumberFormat="0" applyBorder="0" applyAlignment="0" applyProtection="0"/>
    <xf numFmtId="0" fontId="2" fillId="12" borderId="0" applyNumberFormat="0" applyBorder="0" applyProtection="0">
      <alignment horizontal="left" vertical="center" indent="1"/>
    </xf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1" fontId="1" fillId="0" borderId="0" applyFill="0" applyBorder="0" applyProtection="0">
      <alignment horizontal="center" vertical="center"/>
    </xf>
    <xf numFmtId="0" fontId="1" fillId="0" borderId="0" applyNumberFormat="0" applyFill="0" applyBorder="0">
      <alignment horizontal="left" vertical="center" wrapText="1" indent="2"/>
    </xf>
    <xf numFmtId="0" fontId="7" fillId="0" borderId="0">
      <alignment horizont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11" fillId="23" borderId="0" applyNumberFormat="0" applyBorder="0" applyAlignment="0" applyProtection="0"/>
    <xf numFmtId="0" fontId="12" fillId="24" borderId="1" applyNumberFormat="0" applyAlignment="0" applyProtection="0"/>
    <xf numFmtId="0" fontId="13" fillId="25" borderId="2" applyNumberFormat="0" applyAlignment="0" applyProtection="0"/>
    <xf numFmtId="0" fontId="14" fillId="25" borderId="1" applyNumberFormat="0" applyAlignment="0" applyProtection="0"/>
    <xf numFmtId="0" fontId="15" fillId="0" borderId="3" applyNumberFormat="0" applyFill="0" applyAlignment="0" applyProtection="0"/>
    <xf numFmtId="0" fontId="16" fillId="26" borderId="4" applyNumberFormat="0" applyAlignment="0" applyProtection="0"/>
    <xf numFmtId="0" fontId="17" fillId="0" borderId="0" applyNumberFormat="0" applyFill="0" applyBorder="0" applyAlignment="0" applyProtection="0"/>
    <xf numFmtId="0" fontId="1" fillId="27" borderId="5" applyNumberFormat="0" applyFont="0" applyAlignment="0" applyProtection="0"/>
    <xf numFmtId="0" fontId="18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6">
    <xf numFmtId="0" fontId="0" fillId="0" borderId="0" xfId="0">
      <alignment horizontal="left" vertical="center"/>
    </xf>
    <xf numFmtId="0" fontId="1" fillId="0" borderId="0" xfId="26">
      <alignment horizontal="left" vertical="center" wrapText="1" indent="2"/>
    </xf>
    <xf numFmtId="0" fontId="0" fillId="0" borderId="0" xfId="0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2" fillId="15" borderId="0" xfId="12" applyAlignment="1" applyProtection="1">
      <alignment horizontal="center" vertical="center"/>
    </xf>
    <xf numFmtId="0" fontId="2" fillId="10" borderId="0" xfId="19" applyAlignment="1" applyProtection="1">
      <alignment horizontal="center" vertical="center"/>
    </xf>
    <xf numFmtId="0" fontId="2" fillId="13" borderId="0" xfId="23" applyFont="1" applyAlignment="1" applyProtection="1">
      <alignment horizontal="center" vertical="center"/>
    </xf>
    <xf numFmtId="166" fontId="2" fillId="9" borderId="0" xfId="8" applyNumberFormat="1" applyFont="1" applyAlignment="1" applyProtection="1">
      <alignment horizontal="center" vertical="center"/>
    </xf>
    <xf numFmtId="166" fontId="2" fillId="14" borderId="0" xfId="24" applyNumberFormat="1" applyFont="1" applyAlignment="1" applyProtection="1">
      <alignment horizontal="center" vertical="center"/>
    </xf>
    <xf numFmtId="0" fontId="1" fillId="0" borderId="0" xfId="26" applyFill="1" applyBorder="1">
      <alignment horizontal="left" vertical="center" wrapText="1" indent="2"/>
    </xf>
    <xf numFmtId="1" fontId="1" fillId="0" borderId="0" xfId="25" applyFill="1" applyBorder="1" applyProtection="1">
      <alignment horizontal="center" vertical="center"/>
    </xf>
    <xf numFmtId="0" fontId="0" fillId="0" borderId="0" xfId="0" applyProtection="1">
      <alignment horizontal="left" vertical="center"/>
    </xf>
    <xf numFmtId="0" fontId="5" fillId="2" borderId="0" xfId="3" applyProtection="1">
      <alignment horizontal="center" vertical="center"/>
    </xf>
    <xf numFmtId="166" fontId="0" fillId="0" borderId="0" xfId="0" applyNumberFormat="1" applyFont="1" applyFill="1" applyBorder="1" applyAlignment="1" applyProtection="1">
      <alignment horizontal="center" vertical="center"/>
    </xf>
    <xf numFmtId="0" fontId="6" fillId="0" borderId="0" xfId="1" applyAlignment="1" applyProtection="1">
      <alignment vertical="top"/>
    </xf>
    <xf numFmtId="0" fontId="1" fillId="2" borderId="0" xfId="21" applyBorder="1" applyAlignment="1" applyProtection="1">
      <alignment horizontal="left" vertical="center" indent="1"/>
    </xf>
    <xf numFmtId="0" fontId="0" fillId="0" borderId="0" xfId="21" applyFont="1" applyFill="1" applyBorder="1" applyAlignment="1" applyProtection="1">
      <alignment horizontal="center" vertical="center"/>
    </xf>
    <xf numFmtId="0" fontId="1" fillId="0" borderId="0" xfId="26" applyFill="1" applyBorder="1" applyProtection="1">
      <alignment horizontal="left" vertical="center" wrapText="1" indent="2"/>
    </xf>
    <xf numFmtId="0" fontId="0" fillId="0" borderId="0" xfId="0" applyAlignment="1" applyProtection="1">
      <alignment horizontal="left" vertical="center" wrapText="1"/>
    </xf>
    <xf numFmtId="0" fontId="2" fillId="20" borderId="0" xfId="4" applyProtection="1">
      <alignment horizontal="right" vertical="center" indent="1"/>
    </xf>
    <xf numFmtId="0" fontId="7" fillId="0" borderId="0" xfId="27" applyProtection="1">
      <alignment horizontal="center"/>
    </xf>
    <xf numFmtId="0" fontId="0" fillId="0" borderId="0" xfId="0" applyFont="1" applyFill="1" applyBorder="1" applyAlignment="1" applyProtection="1">
      <alignment horizontal="left" vertical="center" indent="1"/>
    </xf>
    <xf numFmtId="0" fontId="6" fillId="0" borderId="0" xfId="1">
      <alignment vertical="top"/>
    </xf>
    <xf numFmtId="0" fontId="8" fillId="0" borderId="0" xfId="0" applyFont="1" applyFill="1" applyBorder="1" applyAlignment="1" applyProtection="1">
      <alignment horizontal="center" vertical="center"/>
    </xf>
    <xf numFmtId="0" fontId="5" fillId="2" borderId="0" xfId="3" applyProtection="1">
      <alignment horizontal="center" vertical="center"/>
    </xf>
    <xf numFmtId="0" fontId="1" fillId="2" borderId="0" xfId="21" applyAlignment="1" applyProtection="1">
      <alignment horizontal="left" vertical="center"/>
    </xf>
  </cellXfs>
  <cellStyles count="49">
    <cellStyle name="20% — akcent 1" xfId="15" builtinId="30" customBuiltin="1"/>
    <cellStyle name="20% — akcent 2" xfId="44" builtinId="34" customBuiltin="1"/>
    <cellStyle name="20% — akcent 3" xfId="21" builtinId="38" customBuiltin="1"/>
    <cellStyle name="20% — akcent 4" xfId="7" builtinId="42" customBuiltin="1"/>
    <cellStyle name="20% — akcent 5" xfId="47" builtinId="46" customBuiltin="1"/>
    <cellStyle name="20% — akcent 6" xfId="11" builtinId="50" customBuiltin="1"/>
    <cellStyle name="40% — akcent 1" xfId="16" builtinId="31" customBuiltin="1"/>
    <cellStyle name="40% — akcent 2" xfId="19" builtinId="35" customBuiltin="1"/>
    <cellStyle name="40% — akcent 3" xfId="22" builtinId="39" customBuiltin="1"/>
    <cellStyle name="40% — akcent 4" xfId="8" builtinId="43" customBuiltin="1"/>
    <cellStyle name="40% — akcent 5" xfId="24" builtinId="47" customBuiltin="1"/>
    <cellStyle name="40% — akcent 6" xfId="12" builtinId="51" customBuiltin="1"/>
    <cellStyle name="60% — akcent 1" xfId="17" builtinId="32" customBuiltin="1"/>
    <cellStyle name="60% — akcent 2" xfId="45" builtinId="36" customBuiltin="1"/>
    <cellStyle name="60% — akcent 3" xfId="23" builtinId="40" customBuiltin="1"/>
    <cellStyle name="60% — akcent 4" xfId="9" builtinId="44" customBuiltin="1"/>
    <cellStyle name="60% — akcent 5" xfId="48" builtinId="48" customBuiltin="1"/>
    <cellStyle name="60% — akcent 6" xfId="13" builtinId="52" customBuiltin="1"/>
    <cellStyle name="Akcent 1" xfId="14" builtinId="29" customBuiltin="1"/>
    <cellStyle name="Akcent 2" xfId="18" builtinId="33" customBuiltin="1"/>
    <cellStyle name="Akcent 3" xfId="20" builtinId="37" customBuiltin="1"/>
    <cellStyle name="Akcent 4" xfId="6" builtinId="41" customBuiltin="1"/>
    <cellStyle name="Akcent 5" xfId="46" builtinId="45" customBuiltin="1"/>
    <cellStyle name="Akcent 6" xfId="10" builtinId="49" customBuiltin="1"/>
    <cellStyle name="Dane wejściowe" xfId="36" builtinId="20" customBuiltin="1"/>
    <cellStyle name="Dane wyjściowe" xfId="37" builtinId="21" customBuiltin="1"/>
    <cellStyle name="Dobry" xfId="33" builtinId="26" customBuiltin="1"/>
    <cellStyle name="Dziesiętny" xfId="28" builtinId="3" customBuiltin="1"/>
    <cellStyle name="Dziesiętny [0]" xfId="29" builtinId="6" customBuiltin="1"/>
    <cellStyle name="Etykieta" xfId="27" xr:uid="{00000000-0005-0000-0000-000018000000}"/>
    <cellStyle name="Komórka połączona" xfId="39" builtinId="24" customBuiltin="1"/>
    <cellStyle name="Komórka zaznaczona" xfId="40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35" builtinId="28" customBuiltin="1"/>
    <cellStyle name="Normalny" xfId="0" builtinId="0" customBuiltin="1"/>
    <cellStyle name="Obliczenia" xfId="38" builtinId="22" customBuiltin="1"/>
    <cellStyle name="Pracownik" xfId="26" xr:uid="{00000000-0005-0000-0000-000013000000}"/>
    <cellStyle name="Procentowy" xfId="32" builtinId="5" customBuiltin="1"/>
    <cellStyle name="Suma" xfId="25" builtinId="25" customBuiltin="1"/>
    <cellStyle name="Tekst objaśnienia" xfId="43" builtinId="53" customBuiltin="1"/>
    <cellStyle name="Tekst ostrzeżenia" xfId="41" builtinId="11" customBuiltin="1"/>
    <cellStyle name="Tytuł" xfId="1" builtinId="15" customBuiltin="1"/>
    <cellStyle name="Uwaga" xfId="42" builtinId="10" customBuiltin="1"/>
    <cellStyle name="Walutowy" xfId="30" builtinId="4" customBuiltin="1"/>
    <cellStyle name="Walutowy [0]" xfId="31" builtinId="7" customBuiltin="1"/>
    <cellStyle name="Zły" xfId="34" builtinId="27" customBuiltin="1"/>
  </cellStyles>
  <dxfs count="90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0"/>
      </font>
      <border>
        <vertical/>
        <horizontal/>
      </border>
    </dxf>
    <dxf>
      <font>
        <b val="0"/>
        <i val="0"/>
        <color theme="3"/>
      </font>
      <border>
        <vertical/>
        <horizontal/>
      </border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protection locked="1" hidden="0"/>
    </dxf>
    <dxf>
      <protection locked="1" hidden="0"/>
    </dxf>
    <dxf>
      <protection locked="1" hidden="0"/>
    </dxf>
    <dxf>
      <protection locked="1" hidden="0"/>
    </dxf>
    <dxf>
      <numFmt numFmtId="1" formatCode="0"/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protection locked="1" hidden="0"/>
    </dxf>
    <dxf>
      <protection locked="1" hidden="0"/>
    </dxf>
    <dxf>
      <protection locked="1" hidden="0"/>
    </dxf>
    <dxf>
      <protection locked="1" hidden="0"/>
    </dxf>
    <dxf>
      <numFmt numFmtId="1" formatCode="0"/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protection locked="1" hidden="0"/>
    </dxf>
    <dxf>
      <protection locked="1" hidden="0"/>
    </dxf>
    <dxf>
      <protection locked="1" hidden="0"/>
    </dxf>
    <dxf>
      <protection locked="1" hidden="0"/>
    </dxf>
    <dxf>
      <numFmt numFmtId="1" formatCode="0"/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protection locked="1" hidden="0"/>
    </dxf>
    <dxf>
      <protection locked="1" hidden="0"/>
    </dxf>
    <dxf>
      <protection locked="1" hidden="0"/>
    </dxf>
    <dxf>
      <protection locked="1" hidden="0"/>
    </dxf>
    <dxf>
      <numFmt numFmtId="1" formatCode="0"/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fill>
        <patternFill patternType="none">
          <fgColor indexed="64"/>
          <bgColor indexed="65"/>
        </patternFill>
      </fill>
    </dxf>
    <dxf>
      <protection locked="1" hidden="0"/>
    </dxf>
    <dxf>
      <protection locked="1" hidden="0"/>
    </dxf>
    <dxf>
      <protection locked="1" hidden="0"/>
    </dxf>
    <dxf>
      <fill>
        <patternFill patternType="solid">
          <bgColor theme="6" tint="0.79998168889431442"/>
        </patternFill>
      </fill>
      <border diagonalUp="0" diagonalDown="0">
        <left/>
        <right/>
        <top style="thin">
          <color theme="0" tint="-0.14996795556505021"/>
        </top>
        <bottom style="medium">
          <color theme="2" tint="-0.499984740745262"/>
        </bottom>
        <vertical/>
        <horizontal/>
      </border>
    </dxf>
    <dxf>
      <font>
        <color theme="1"/>
      </font>
      <fill>
        <patternFill patternType="solid">
          <bgColor theme="6" tint="0.79998168889431442"/>
        </patternFill>
      </fill>
      <border diagonalUp="0" diagonalDown="0">
        <left/>
        <right/>
        <top style="thin">
          <color theme="0" tint="-0.14993743705557422"/>
        </top>
        <bottom style="medium">
          <color theme="2" tint="-0.499984740745262"/>
        </bottom>
        <vertical/>
        <horizontal style="thin">
          <color theme="0" tint="-0.14993743705557422"/>
        </horizontal>
      </border>
    </dxf>
    <dxf>
      <font>
        <color theme="1"/>
      </font>
      <fill>
        <patternFill patternType="solid">
          <bgColor theme="2"/>
        </patternFill>
      </fill>
      <border diagonalUp="0" diagonalDown="0">
        <left/>
        <right/>
        <top/>
        <bottom style="thin">
          <color theme="0" tint="-0.14996795556505021"/>
        </bottom>
        <vertical/>
        <horizontal/>
      </border>
    </dxf>
    <dxf>
      <font>
        <color theme="1"/>
      </font>
      <fill>
        <patternFill patternType="none">
          <bgColor auto="1"/>
        </patternFill>
      </fill>
      <border diagonalUp="0" diagonalDown="0">
        <left/>
        <right/>
        <top style="thin">
          <color theme="0" tint="-0.14996795556505021"/>
        </top>
        <bottom style="thin">
          <color theme="0" tint="-0.14993743705557422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theme="0"/>
        </left>
        <right style="thin">
          <color theme="0"/>
        </right>
        <vertical style="thin">
          <color theme="0"/>
        </vertical>
      </border>
    </dxf>
    <dxf>
      <fill>
        <patternFill>
          <bgColor theme="0" tint="-4.9989318521683403E-2"/>
        </patternFill>
      </fill>
      <border>
        <left style="thin">
          <color theme="0"/>
        </left>
        <right style="thin">
          <color theme="0"/>
        </right>
        <vertical style="thin">
          <color theme="0"/>
        </vertical>
      </border>
    </dxf>
    <dxf>
      <fill>
        <patternFill>
          <bgColor theme="0" tint="-0.14996795556505021"/>
        </patternFill>
      </fill>
    </dxf>
    <dxf>
      <fill>
        <patternFill patternType="solid">
          <fgColor theme="4" tint="0.79992065187536243"/>
          <bgColor theme="0" tint="-4.9989318521683403E-2"/>
        </patternFill>
      </fill>
    </dxf>
    <dxf>
      <font>
        <color theme="1"/>
      </font>
      <fill>
        <patternFill patternType="none">
          <bgColor auto="1"/>
        </patternFill>
      </fill>
      <border diagonalUp="0" diagonalDown="0">
        <left/>
        <right/>
        <top/>
        <bottom style="thin">
          <color theme="0" tint="-0.14996795556505021"/>
        </bottom>
        <vertical/>
        <horizontal style="thin">
          <color theme="0" tint="-0.14996795556505021"/>
        </horizontal>
      </border>
    </dxf>
    <dxf>
      <font>
        <color theme="1"/>
      </font>
      <fill>
        <patternFill patternType="none">
          <bgColor auto="1"/>
        </patternFill>
      </fill>
      <border>
        <left/>
        <right/>
        <top style="thin">
          <color theme="2" tint="-9.9917600024414813E-2"/>
        </top>
        <bottom style="thin">
          <color theme="2" tint="-9.9948118533890809E-2"/>
        </bottom>
        <vertical/>
        <horizontal style="thin">
          <color theme="2" tint="-9.9917600024414813E-2"/>
        </horizontal>
      </border>
    </dxf>
    <dxf>
      <font>
        <color theme="1"/>
      </font>
      <fill>
        <patternFill>
          <bgColor theme="6" tint="0.79998168889431442"/>
        </patternFill>
      </fill>
      <border diagonalUp="0" diagonalDown="0">
        <left style="thin">
          <color theme="0"/>
        </left>
        <right style="thin">
          <color theme="0"/>
        </right>
        <top/>
        <bottom style="medium">
          <color theme="2" tint="-0.499984740745262"/>
        </bottom>
        <vertical style="thin">
          <color theme="0"/>
        </vertical>
        <horizontal/>
      </border>
    </dxf>
    <dxf>
      <font>
        <color theme="0"/>
      </font>
      <fill>
        <patternFill>
          <bgColor theme="3"/>
        </patternFill>
      </fill>
    </dxf>
    <dxf>
      <font>
        <color theme="1"/>
      </font>
      <border diagonalUp="0" diagonalDown="0">
        <left/>
        <right/>
        <top/>
        <bottom/>
        <vertical style="thin">
          <color theme="0"/>
        </vertical>
        <horizontal/>
      </border>
    </dxf>
  </dxfs>
  <tableStyles count="1" defaultPivotStyle="PivotStyleLight16">
    <tableStyle name="Tabela Nieobecności pracowników" pivot="0" count="13" xr9:uid="{00000000-0011-0000-FFFF-FFFF00000000}">
      <tableStyleElement type="wholeTable" dxfId="901"/>
      <tableStyleElement type="headerRow" dxfId="900"/>
      <tableStyleElement type="totalRow" dxfId="899"/>
      <tableStyleElement type="firstColumn" dxfId="898"/>
      <tableStyleElement type="lastColumn" dxfId="897"/>
      <tableStyleElement type="firstRowStripe" dxfId="896"/>
      <tableStyleElement type="secondRowStripe" dxfId="895"/>
      <tableStyleElement type="firstColumnStripe" dxfId="894"/>
      <tableStyleElement type="secondColumnStripe" dxfId="893"/>
      <tableStyleElement type="firstHeaderCell" dxfId="892"/>
      <tableStyleElement type="lastHeaderCell" dxfId="891"/>
      <tableStyleElement type="firstTotalCell" dxfId="890"/>
      <tableStyleElement type="lastTotalCell" dxfId="88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Styczeń" displayName="Styczeń" ref="B6:AH12" totalsRowCount="1" headerRowDxfId="888" dataDxfId="887" totalsRowDxfId="886">
  <autoFilter ref="B6:AH11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  <filterColumn colId="32" hiddenButton="1"/>
  </autoFilter>
  <tableColumns count="33">
    <tableColumn id="1" xr3:uid="{00000000-0010-0000-0000-000001000000}" name="Imię i nazwisko pracownika" totalsRowFunction="custom" dataDxfId="885" totalsRowDxfId="457" dataCellStyle="Pracownik">
      <totalsRowFormula>"Suma z "&amp;Nazwa_miesiąca</totalsRowFormula>
    </tableColumn>
    <tableColumn id="2" xr3:uid="{00000000-0010-0000-0000-000002000000}" name="1" totalsRowFunction="custom" dataDxfId="884" totalsRowDxfId="456">
      <totalsRowFormula>SUBTOTAL(103,Styczeń!$C$7:$C$11)</totalsRowFormula>
    </tableColumn>
    <tableColumn id="3" xr3:uid="{00000000-0010-0000-0000-000003000000}" name="2" totalsRowFunction="custom" dataDxfId="883" totalsRowDxfId="455">
      <totalsRowFormula>SUBTOTAL(103,Styczeń!$D$7:$D$11)</totalsRowFormula>
    </tableColumn>
    <tableColumn id="4" xr3:uid="{00000000-0010-0000-0000-000004000000}" name="3" totalsRowFunction="custom" dataDxfId="882" totalsRowDxfId="454">
      <totalsRowFormula>SUBTOTAL(103,Styczeń!$E$7:$E$11)</totalsRowFormula>
    </tableColumn>
    <tableColumn id="5" xr3:uid="{00000000-0010-0000-0000-000005000000}" name="4" totalsRowFunction="custom" dataDxfId="881" totalsRowDxfId="453">
      <totalsRowFormula>SUBTOTAL(103,Styczeń!$F$7:$F$11)</totalsRowFormula>
    </tableColumn>
    <tableColumn id="6" xr3:uid="{00000000-0010-0000-0000-000006000000}" name="5" totalsRowFunction="custom" totalsRowDxfId="452">
      <totalsRowFormula>SUBTOTAL(103,Styczeń!$G$7:$G$11)</totalsRowFormula>
    </tableColumn>
    <tableColumn id="7" xr3:uid="{00000000-0010-0000-0000-000007000000}" name="6" totalsRowFunction="custom" dataDxfId="880" totalsRowDxfId="451">
      <totalsRowFormula>SUBTOTAL(103,Styczeń!$H$7:$H$11)</totalsRowFormula>
    </tableColumn>
    <tableColumn id="8" xr3:uid="{00000000-0010-0000-0000-000008000000}" name="7" totalsRowFunction="custom" dataDxfId="879" totalsRowDxfId="450">
      <totalsRowFormula>SUBTOTAL(103,Styczeń!$I$7:$I$11)</totalsRowFormula>
    </tableColumn>
    <tableColumn id="9" xr3:uid="{00000000-0010-0000-0000-000009000000}" name="8" totalsRowFunction="custom" dataDxfId="878" totalsRowDxfId="449">
      <totalsRowFormula>SUBTOTAL(103,Styczeń!$J$7:$J$11)</totalsRowFormula>
    </tableColumn>
    <tableColumn id="10" xr3:uid="{00000000-0010-0000-0000-00000A000000}" name="9" totalsRowFunction="custom" dataDxfId="877" totalsRowDxfId="448">
      <totalsRowFormula>SUBTOTAL(103,Styczeń!$K$7:$K$11)</totalsRowFormula>
    </tableColumn>
    <tableColumn id="11" xr3:uid="{00000000-0010-0000-0000-00000B000000}" name="10" totalsRowFunction="custom" dataDxfId="876" totalsRowDxfId="447">
      <totalsRowFormula>SUBTOTAL(103,Styczeń!$L$7:$L$11)</totalsRowFormula>
    </tableColumn>
    <tableColumn id="12" xr3:uid="{00000000-0010-0000-0000-00000C000000}" name="11" totalsRowFunction="custom" dataDxfId="875" totalsRowDxfId="446">
      <totalsRowFormula>SUBTOTAL(103,Styczeń!$M$7:$M$11)</totalsRowFormula>
    </tableColumn>
    <tableColumn id="13" xr3:uid="{00000000-0010-0000-0000-00000D000000}" name="12" totalsRowFunction="custom" dataDxfId="874" totalsRowDxfId="445">
      <totalsRowFormula>SUBTOTAL(103,Styczeń!$N$7:$N$11)</totalsRowFormula>
    </tableColumn>
    <tableColumn id="14" xr3:uid="{00000000-0010-0000-0000-00000E000000}" name="13" totalsRowFunction="custom" dataDxfId="873" totalsRowDxfId="444">
      <totalsRowFormula>SUBTOTAL(103,Styczeń!$O$7:$O$11)</totalsRowFormula>
    </tableColumn>
    <tableColumn id="15" xr3:uid="{00000000-0010-0000-0000-00000F000000}" name="14" totalsRowFunction="custom" dataDxfId="872" totalsRowDxfId="443">
      <totalsRowFormula>SUBTOTAL(103,Styczeń!$P$7:$P$11)</totalsRowFormula>
    </tableColumn>
    <tableColumn id="16" xr3:uid="{00000000-0010-0000-0000-000010000000}" name="15" totalsRowFunction="custom" dataDxfId="871" totalsRowDxfId="442">
      <totalsRowFormula>SUBTOTAL(103,Styczeń!$Q$7:$Q$11)</totalsRowFormula>
    </tableColumn>
    <tableColumn id="17" xr3:uid="{00000000-0010-0000-0000-000011000000}" name="16" totalsRowFunction="custom" dataDxfId="870" totalsRowDxfId="441">
      <totalsRowFormula>SUBTOTAL(103,Styczeń!$R$7:$R$11)</totalsRowFormula>
    </tableColumn>
    <tableColumn id="18" xr3:uid="{00000000-0010-0000-0000-000012000000}" name="17" totalsRowFunction="custom" dataDxfId="869" totalsRowDxfId="440">
      <totalsRowFormula>SUBTOTAL(103,Styczeń!$S$7:$S$11)</totalsRowFormula>
    </tableColumn>
    <tableColumn id="19" xr3:uid="{00000000-0010-0000-0000-000013000000}" name="18" totalsRowFunction="custom" dataDxfId="868" totalsRowDxfId="439">
      <totalsRowFormula>SUBTOTAL(103,Styczeń!$T$7:$T$11)</totalsRowFormula>
    </tableColumn>
    <tableColumn id="20" xr3:uid="{00000000-0010-0000-0000-000014000000}" name="19" totalsRowFunction="custom" dataDxfId="867" totalsRowDxfId="438">
      <totalsRowFormula>SUBTOTAL(103,Styczeń!$U$7:$U$11)</totalsRowFormula>
    </tableColumn>
    <tableColumn id="21" xr3:uid="{00000000-0010-0000-0000-000015000000}" name="20" totalsRowFunction="custom" dataDxfId="866" totalsRowDxfId="437">
      <totalsRowFormula>SUBTOTAL(103,Styczeń!$V$7:$V$11)</totalsRowFormula>
    </tableColumn>
    <tableColumn id="22" xr3:uid="{00000000-0010-0000-0000-000016000000}" name="21" totalsRowFunction="custom" dataDxfId="865" totalsRowDxfId="436">
      <totalsRowFormula>SUBTOTAL(103,Styczeń!$W$7:$W$11)</totalsRowFormula>
    </tableColumn>
    <tableColumn id="23" xr3:uid="{00000000-0010-0000-0000-000017000000}" name="22" totalsRowFunction="custom" dataDxfId="864" totalsRowDxfId="435">
      <totalsRowFormula>SUBTOTAL(103,Styczeń!$X$7:$X$11)</totalsRowFormula>
    </tableColumn>
    <tableColumn id="24" xr3:uid="{00000000-0010-0000-0000-000018000000}" name="23" totalsRowFunction="custom" dataDxfId="863" totalsRowDxfId="434">
      <totalsRowFormula>SUBTOTAL(103,Styczeń!$Y$7:$Y$11)</totalsRowFormula>
    </tableColumn>
    <tableColumn id="25" xr3:uid="{00000000-0010-0000-0000-000019000000}" name="24" totalsRowFunction="custom" dataDxfId="862" totalsRowDxfId="433">
      <totalsRowFormula>SUBTOTAL(103,Styczeń!$Z$7:$Z$11)</totalsRowFormula>
    </tableColumn>
    <tableColumn id="26" xr3:uid="{00000000-0010-0000-0000-00001A000000}" name="25" totalsRowFunction="custom" dataDxfId="861" totalsRowDxfId="432">
      <totalsRowFormula>SUBTOTAL(103,Styczeń!$AA$7:$AA$11)</totalsRowFormula>
    </tableColumn>
    <tableColumn id="27" xr3:uid="{00000000-0010-0000-0000-00001B000000}" name="26" totalsRowFunction="custom" dataDxfId="860" totalsRowDxfId="431">
      <totalsRowFormula>SUBTOTAL(103,Styczeń!$AB$7:$AB$11)</totalsRowFormula>
    </tableColumn>
    <tableColumn id="28" xr3:uid="{00000000-0010-0000-0000-00001C000000}" name="27" totalsRowFunction="custom" dataDxfId="859" totalsRowDxfId="430">
      <totalsRowFormula>SUBTOTAL(103,Styczeń!$AC$7:$AC$11)</totalsRowFormula>
    </tableColumn>
    <tableColumn id="29" xr3:uid="{00000000-0010-0000-0000-00001D000000}" name="28" totalsRowFunction="custom" dataDxfId="858" totalsRowDxfId="429">
      <totalsRowFormula>SUBTOTAL(103,Styczeń!$AD$7:$AD$11)</totalsRowFormula>
    </tableColumn>
    <tableColumn id="30" xr3:uid="{00000000-0010-0000-0000-00001E000000}" name="29" totalsRowFunction="custom" dataDxfId="857" totalsRowDxfId="428">
      <totalsRowFormula>SUBTOTAL(103,Styczeń!$AE$7:$AE$11)</totalsRowFormula>
    </tableColumn>
    <tableColumn id="31" xr3:uid="{00000000-0010-0000-0000-00001F000000}" name="30" totalsRowFunction="custom" dataDxfId="856" totalsRowDxfId="427">
      <totalsRowFormula>SUBTOTAL(103,Styczeń!$AF$7:$AF$11)</totalsRowFormula>
    </tableColumn>
    <tableColumn id="32" xr3:uid="{00000000-0010-0000-0000-000020000000}" name="31" totalsRowFunction="custom" dataDxfId="855" totalsRowDxfId="426">
      <totalsRowFormula>SUBTOTAL(103,Styczeń!$AG$7:$AG$11)</totalsRowFormula>
    </tableColumn>
    <tableColumn id="33" xr3:uid="{00000000-0010-0000-0000-000021000000}" name="Łączna liczba dni" totalsRowFunction="sum" dataDxfId="854" totalsRowDxfId="425">
      <calculatedColumnFormula>COUNTA(Styczeń!$C7:$AG7)</calculatedColumnFormula>
    </tableColumn>
  </tableColumns>
  <tableStyleInfo name="Tabela Nieobecności pracowników" showFirstColumn="1" showLastColumn="1" showRowStripes="1" showColumnStripes="0"/>
  <extLst>
    <ext xmlns:x14="http://schemas.microsoft.com/office/spreadsheetml/2009/9/main" uri="{504A1905-F514-4f6f-8877-14C23A59335A}">
      <x14:table altTextSummary="Podaj nazwiska pracowników i daty nieobecności. Zarejestruj typ nieobecności według klucza w wierszu 12: U=Urlop, Z=Zwolnienie lekarskie, O=powód Osobisty oraz dwa symbole zastępcze na potrzeby wpisów niestandardowych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09000000}" name="Październik" displayName="Październik" ref="B6:AH12" totalsRowCount="1" headerRowDxfId="565" dataDxfId="564" totalsRowDxfId="563">
  <tableColumns count="33">
    <tableColumn id="1" xr3:uid="{00000000-0010-0000-0900-000001000000}" name="Imię i nazwisko pracownika" totalsRowFunction="custom" dataDxfId="562" totalsRowDxfId="98" dataCellStyle="Pracownik">
      <totalsRowFormula>"Suma z "&amp;Nazwa_miesiąca</totalsRowFormula>
    </tableColumn>
    <tableColumn id="2" xr3:uid="{00000000-0010-0000-0900-000002000000}" name="1" totalsRowFunction="count" dataDxfId="561" totalsRowDxfId="97"/>
    <tableColumn id="3" xr3:uid="{00000000-0010-0000-0900-000003000000}" name="2" totalsRowFunction="count" dataDxfId="560" totalsRowDxfId="96"/>
    <tableColumn id="4" xr3:uid="{00000000-0010-0000-0900-000004000000}" name="3" totalsRowFunction="count" dataDxfId="559" totalsRowDxfId="95"/>
    <tableColumn id="5" xr3:uid="{00000000-0010-0000-0900-000005000000}" name="4" totalsRowFunction="count" dataDxfId="558" totalsRowDxfId="94"/>
    <tableColumn id="6" xr3:uid="{00000000-0010-0000-0900-000006000000}" name="5" totalsRowFunction="count" dataDxfId="557" totalsRowDxfId="93"/>
    <tableColumn id="7" xr3:uid="{00000000-0010-0000-0900-000007000000}" name="6" totalsRowFunction="count" dataDxfId="556" totalsRowDxfId="92"/>
    <tableColumn id="8" xr3:uid="{00000000-0010-0000-0900-000008000000}" name="7" totalsRowFunction="count" dataDxfId="555" totalsRowDxfId="91"/>
    <tableColumn id="9" xr3:uid="{00000000-0010-0000-0900-000009000000}" name="8" totalsRowFunction="count" dataDxfId="554" totalsRowDxfId="90"/>
    <tableColumn id="10" xr3:uid="{00000000-0010-0000-0900-00000A000000}" name="9" totalsRowFunction="count" dataDxfId="553" totalsRowDxfId="89"/>
    <tableColumn id="11" xr3:uid="{00000000-0010-0000-0900-00000B000000}" name="10" totalsRowFunction="count" dataDxfId="552" totalsRowDxfId="88"/>
    <tableColumn id="12" xr3:uid="{00000000-0010-0000-0900-00000C000000}" name="11" totalsRowFunction="count" dataDxfId="551" totalsRowDxfId="87"/>
    <tableColumn id="13" xr3:uid="{00000000-0010-0000-0900-00000D000000}" name="12" totalsRowFunction="count" dataDxfId="550" totalsRowDxfId="86"/>
    <tableColumn id="14" xr3:uid="{00000000-0010-0000-0900-00000E000000}" name="13" totalsRowFunction="count" dataDxfId="549" totalsRowDxfId="85"/>
    <tableColumn id="15" xr3:uid="{00000000-0010-0000-0900-00000F000000}" name="14" totalsRowFunction="count" dataDxfId="548" totalsRowDxfId="84"/>
    <tableColumn id="16" xr3:uid="{00000000-0010-0000-0900-000010000000}" name="15" totalsRowFunction="count" dataDxfId="547" totalsRowDxfId="83"/>
    <tableColumn id="17" xr3:uid="{00000000-0010-0000-0900-000011000000}" name="16" totalsRowFunction="count" dataDxfId="546" totalsRowDxfId="82"/>
    <tableColumn id="18" xr3:uid="{00000000-0010-0000-0900-000012000000}" name="17" totalsRowFunction="count" dataDxfId="545" totalsRowDxfId="81"/>
    <tableColumn id="19" xr3:uid="{00000000-0010-0000-0900-000013000000}" name="18" totalsRowFunction="count" dataDxfId="544" totalsRowDxfId="80"/>
    <tableColumn id="20" xr3:uid="{00000000-0010-0000-0900-000014000000}" name="19" totalsRowFunction="count" dataDxfId="543" totalsRowDxfId="79"/>
    <tableColumn id="21" xr3:uid="{00000000-0010-0000-0900-000015000000}" name="20" totalsRowFunction="count" dataDxfId="542" totalsRowDxfId="78"/>
    <tableColumn id="22" xr3:uid="{00000000-0010-0000-0900-000016000000}" name="21" totalsRowFunction="count" dataDxfId="541" totalsRowDxfId="77"/>
    <tableColumn id="23" xr3:uid="{00000000-0010-0000-0900-000017000000}" name="22" totalsRowFunction="count" dataDxfId="540" totalsRowDxfId="76"/>
    <tableColumn id="24" xr3:uid="{00000000-0010-0000-0900-000018000000}" name="23" totalsRowFunction="count" dataDxfId="539" totalsRowDxfId="75"/>
    <tableColumn id="25" xr3:uid="{00000000-0010-0000-0900-000019000000}" name="24" totalsRowFunction="count" dataDxfId="538" totalsRowDxfId="74"/>
    <tableColumn id="26" xr3:uid="{00000000-0010-0000-0900-00001A000000}" name="25" totalsRowFunction="count" dataDxfId="537" totalsRowDxfId="73"/>
    <tableColumn id="27" xr3:uid="{00000000-0010-0000-0900-00001B000000}" name="26" totalsRowFunction="count" dataDxfId="536" totalsRowDxfId="72"/>
    <tableColumn id="28" xr3:uid="{00000000-0010-0000-0900-00001C000000}" name="27" totalsRowFunction="count" dataDxfId="535" totalsRowDxfId="71"/>
    <tableColumn id="29" xr3:uid="{00000000-0010-0000-0900-00001D000000}" name="28" totalsRowFunction="count" dataDxfId="534" totalsRowDxfId="70"/>
    <tableColumn id="30" xr3:uid="{00000000-0010-0000-0900-00001E000000}" name="29" totalsRowFunction="count" dataDxfId="533" totalsRowDxfId="69"/>
    <tableColumn id="31" xr3:uid="{00000000-0010-0000-0900-00001F000000}" name="30" totalsRowFunction="count" dataDxfId="532" totalsRowDxfId="68"/>
    <tableColumn id="32" xr3:uid="{00000000-0010-0000-0900-000020000000}" name="31" totalsRowFunction="count" dataDxfId="531" totalsRowDxfId="67"/>
    <tableColumn id="33" xr3:uid="{00000000-0010-0000-0900-000021000000}" name="Łączna liczba dni" totalsRowFunction="sum" dataDxfId="530" totalsRowDxfId="66">
      <calculatedColumnFormula>COUNTA(Październik[[#This Row],[1]:[31]])</calculatedColumnFormula>
    </tableColumn>
  </tableColumns>
  <tableStyleInfo name="Tabela Nieobecności pracowników" showFirstColumn="1" showLastColumn="1" showRowStripes="1" showColumnStripes="0"/>
  <extLst>
    <ext xmlns:x14="http://schemas.microsoft.com/office/spreadsheetml/2009/9/main" uri="{504A1905-F514-4f6f-8877-14C23A59335A}">
      <x14:table altTextSummary="Podaj nazwiska pracowników i daty nieobecności. Zarejestruj typ nieobecności według klucza w wierszu 12: U=Urlop, Z=Zwolnienie lekarskie, O=powód Osobisty oraz dwa symbole zastępcze na potrzeby wpisów niestandardowych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A000000}" name="Listopad" displayName="Listopad" ref="B6:AH12" totalsRowCount="1" headerRowDxfId="529" dataDxfId="528" totalsRowDxfId="527">
  <tableColumns count="33">
    <tableColumn id="1" xr3:uid="{00000000-0010-0000-0A00-000001000000}" name="Imię i nazwisko pracownika" totalsRowFunction="custom" dataDxfId="526" totalsRowDxfId="65" dataCellStyle="Pracownik">
      <totalsRowFormula>"Suma z "&amp;Nazwa_miesiąca</totalsRowFormula>
    </tableColumn>
    <tableColumn id="2" xr3:uid="{00000000-0010-0000-0A00-000002000000}" name="1" totalsRowFunction="count" dataDxfId="525" totalsRowDxfId="64"/>
    <tableColumn id="3" xr3:uid="{00000000-0010-0000-0A00-000003000000}" name="2" totalsRowFunction="count" dataDxfId="524" totalsRowDxfId="63"/>
    <tableColumn id="4" xr3:uid="{00000000-0010-0000-0A00-000004000000}" name="3" totalsRowFunction="count" dataDxfId="523" totalsRowDxfId="62"/>
    <tableColumn id="5" xr3:uid="{00000000-0010-0000-0A00-000005000000}" name="4" totalsRowFunction="count" dataDxfId="522" totalsRowDxfId="61"/>
    <tableColumn id="6" xr3:uid="{00000000-0010-0000-0A00-000006000000}" name="5" totalsRowFunction="count" dataDxfId="521" totalsRowDxfId="60"/>
    <tableColumn id="7" xr3:uid="{00000000-0010-0000-0A00-000007000000}" name="6" totalsRowFunction="count" dataDxfId="520" totalsRowDxfId="59"/>
    <tableColumn id="8" xr3:uid="{00000000-0010-0000-0A00-000008000000}" name="7" totalsRowFunction="count" dataDxfId="519" totalsRowDxfId="58"/>
    <tableColumn id="9" xr3:uid="{00000000-0010-0000-0A00-000009000000}" name="8" totalsRowFunction="count" dataDxfId="518" totalsRowDxfId="57"/>
    <tableColumn id="10" xr3:uid="{00000000-0010-0000-0A00-00000A000000}" name="9" totalsRowFunction="count" dataDxfId="517" totalsRowDxfId="56"/>
    <tableColumn id="11" xr3:uid="{00000000-0010-0000-0A00-00000B000000}" name="10" totalsRowFunction="count" dataDxfId="516" totalsRowDxfId="55"/>
    <tableColumn id="12" xr3:uid="{00000000-0010-0000-0A00-00000C000000}" name="11" totalsRowFunction="count" dataDxfId="515" totalsRowDxfId="54"/>
    <tableColumn id="13" xr3:uid="{00000000-0010-0000-0A00-00000D000000}" name="12" totalsRowFunction="count" dataDxfId="514" totalsRowDxfId="53"/>
    <tableColumn id="14" xr3:uid="{00000000-0010-0000-0A00-00000E000000}" name="13" totalsRowFunction="count" dataDxfId="513" totalsRowDxfId="52"/>
    <tableColumn id="15" xr3:uid="{00000000-0010-0000-0A00-00000F000000}" name="14" totalsRowFunction="count" dataDxfId="512" totalsRowDxfId="51"/>
    <tableColumn id="16" xr3:uid="{00000000-0010-0000-0A00-000010000000}" name="15" totalsRowFunction="count" dataDxfId="511" totalsRowDxfId="50"/>
    <tableColumn id="17" xr3:uid="{00000000-0010-0000-0A00-000011000000}" name="16" totalsRowFunction="count" dataDxfId="510" totalsRowDxfId="49"/>
    <tableColumn id="18" xr3:uid="{00000000-0010-0000-0A00-000012000000}" name="17" totalsRowFunction="count" dataDxfId="509" totalsRowDxfId="48"/>
    <tableColumn id="19" xr3:uid="{00000000-0010-0000-0A00-000013000000}" name="18" totalsRowFunction="count" dataDxfId="508" totalsRowDxfId="47"/>
    <tableColumn id="20" xr3:uid="{00000000-0010-0000-0A00-000014000000}" name="19" totalsRowFunction="count" dataDxfId="507" totalsRowDxfId="46"/>
    <tableColumn id="21" xr3:uid="{00000000-0010-0000-0A00-000015000000}" name="20" totalsRowFunction="count" dataDxfId="506" totalsRowDxfId="45"/>
    <tableColumn id="22" xr3:uid="{00000000-0010-0000-0A00-000016000000}" name="21" totalsRowFunction="count" dataDxfId="505" totalsRowDxfId="44"/>
    <tableColumn id="23" xr3:uid="{00000000-0010-0000-0A00-000017000000}" name="22" totalsRowFunction="count" dataDxfId="504" totalsRowDxfId="43"/>
    <tableColumn id="24" xr3:uid="{00000000-0010-0000-0A00-000018000000}" name="23" totalsRowFunction="count" dataDxfId="503" totalsRowDxfId="42"/>
    <tableColumn id="25" xr3:uid="{00000000-0010-0000-0A00-000019000000}" name="24" totalsRowFunction="count" dataDxfId="502" totalsRowDxfId="41"/>
    <tableColumn id="26" xr3:uid="{00000000-0010-0000-0A00-00001A000000}" name="25" totalsRowFunction="count" dataDxfId="501" totalsRowDxfId="40"/>
    <tableColumn id="27" xr3:uid="{00000000-0010-0000-0A00-00001B000000}" name="26" totalsRowFunction="count" dataDxfId="500" totalsRowDxfId="39"/>
    <tableColumn id="28" xr3:uid="{00000000-0010-0000-0A00-00001C000000}" name="27" totalsRowFunction="count" dataDxfId="499" totalsRowDxfId="38"/>
    <tableColumn id="29" xr3:uid="{00000000-0010-0000-0A00-00001D000000}" name="28" totalsRowFunction="count" dataDxfId="498" totalsRowDxfId="37"/>
    <tableColumn id="30" xr3:uid="{00000000-0010-0000-0A00-00001E000000}" name="29" totalsRowFunction="count" dataDxfId="497" totalsRowDxfId="36"/>
    <tableColumn id="31" xr3:uid="{00000000-0010-0000-0A00-00001F000000}" name="30" totalsRowFunction="count" dataDxfId="496" totalsRowDxfId="35"/>
    <tableColumn id="32" xr3:uid="{00000000-0010-0000-0A00-000020000000}" name=" " totalsRowFunction="count" dataDxfId="495" totalsRowDxfId="34"/>
    <tableColumn id="33" xr3:uid="{00000000-0010-0000-0A00-000021000000}" name="Łączna liczba dni" totalsRowFunction="sum" dataDxfId="494" totalsRowDxfId="33">
      <calculatedColumnFormula>COUNTA(Listopad[[#This Row],[1]:[30]])</calculatedColumnFormula>
    </tableColumn>
  </tableColumns>
  <tableStyleInfo name="Tabela Nieobecności pracowników" showFirstColumn="1" showLastColumn="1" showRowStripes="1" showColumnStripes="0"/>
  <extLst>
    <ext xmlns:x14="http://schemas.microsoft.com/office/spreadsheetml/2009/9/main" uri="{504A1905-F514-4f6f-8877-14C23A59335A}">
      <x14:table altTextSummary="Podaj nazwiska pracowników i daty nieobecności. Zarejestruj typ nieobecności według klucza w wierszu 12: U=Urlop, Z=Zwolnienie lekarskie, O=powód Osobisty oraz dwa symbole zastępcze na potrzeby wpisów niestandardowych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Grudzień" displayName="Grudzień" ref="B6:AH12" totalsRowCount="1" headerRowDxfId="493" dataDxfId="492" totalsRowDxfId="491">
  <tableColumns count="33">
    <tableColumn id="1" xr3:uid="{00000000-0010-0000-0B00-000001000000}" name="Imię i nazwisko pracownika" totalsRowFunction="custom" dataDxfId="490" totalsRowDxfId="32" dataCellStyle="Pracownik">
      <totalsRowFormula>"Suma z "&amp;Nazwa_miesiąca</totalsRowFormula>
    </tableColumn>
    <tableColumn id="2" xr3:uid="{00000000-0010-0000-0B00-000002000000}" name="1" totalsRowFunction="count" dataDxfId="489" totalsRowDxfId="31"/>
    <tableColumn id="3" xr3:uid="{00000000-0010-0000-0B00-000003000000}" name="2" totalsRowFunction="count" dataDxfId="488" totalsRowDxfId="30"/>
    <tableColumn id="4" xr3:uid="{00000000-0010-0000-0B00-000004000000}" name="3" totalsRowFunction="count" dataDxfId="487" totalsRowDxfId="29"/>
    <tableColumn id="5" xr3:uid="{00000000-0010-0000-0B00-000005000000}" name="4" totalsRowFunction="count" dataDxfId="486" totalsRowDxfId="28"/>
    <tableColumn id="6" xr3:uid="{00000000-0010-0000-0B00-000006000000}" name="5" totalsRowFunction="count" dataDxfId="485" totalsRowDxfId="27"/>
    <tableColumn id="7" xr3:uid="{00000000-0010-0000-0B00-000007000000}" name="6" totalsRowFunction="count" dataDxfId="484" totalsRowDxfId="26"/>
    <tableColumn id="8" xr3:uid="{00000000-0010-0000-0B00-000008000000}" name="7" totalsRowFunction="count" dataDxfId="483" totalsRowDxfId="25"/>
    <tableColumn id="9" xr3:uid="{00000000-0010-0000-0B00-000009000000}" name="8" totalsRowFunction="count" dataDxfId="482" totalsRowDxfId="24"/>
    <tableColumn id="10" xr3:uid="{00000000-0010-0000-0B00-00000A000000}" name="9" totalsRowFunction="count" dataDxfId="481" totalsRowDxfId="23"/>
    <tableColumn id="11" xr3:uid="{00000000-0010-0000-0B00-00000B000000}" name="10" totalsRowFunction="count" dataDxfId="480" totalsRowDxfId="22"/>
    <tableColumn id="12" xr3:uid="{00000000-0010-0000-0B00-00000C000000}" name="11" totalsRowFunction="count" dataDxfId="479" totalsRowDxfId="21"/>
    <tableColumn id="13" xr3:uid="{00000000-0010-0000-0B00-00000D000000}" name="12" totalsRowFunction="count" dataDxfId="478" totalsRowDxfId="20"/>
    <tableColumn id="14" xr3:uid="{00000000-0010-0000-0B00-00000E000000}" name="13" totalsRowFunction="count" dataDxfId="477" totalsRowDxfId="19"/>
    <tableColumn id="15" xr3:uid="{00000000-0010-0000-0B00-00000F000000}" name="14" totalsRowFunction="count" dataDxfId="476" totalsRowDxfId="18"/>
    <tableColumn id="16" xr3:uid="{00000000-0010-0000-0B00-000010000000}" name="15" totalsRowFunction="count" dataDxfId="475" totalsRowDxfId="17"/>
    <tableColumn id="17" xr3:uid="{00000000-0010-0000-0B00-000011000000}" name="16" totalsRowFunction="count" dataDxfId="474" totalsRowDxfId="16"/>
    <tableColumn id="18" xr3:uid="{00000000-0010-0000-0B00-000012000000}" name="17" totalsRowFunction="count" dataDxfId="473" totalsRowDxfId="15"/>
    <tableColumn id="19" xr3:uid="{00000000-0010-0000-0B00-000013000000}" name="18" totalsRowFunction="count" dataDxfId="472" totalsRowDxfId="14"/>
    <tableColumn id="20" xr3:uid="{00000000-0010-0000-0B00-000014000000}" name="19" totalsRowFunction="count" dataDxfId="471" totalsRowDxfId="13"/>
    <tableColumn id="21" xr3:uid="{00000000-0010-0000-0B00-000015000000}" name="20" totalsRowFunction="count" dataDxfId="470" totalsRowDxfId="12"/>
    <tableColumn id="22" xr3:uid="{00000000-0010-0000-0B00-000016000000}" name="21" totalsRowFunction="count" dataDxfId="469" totalsRowDxfId="11"/>
    <tableColumn id="23" xr3:uid="{00000000-0010-0000-0B00-000017000000}" name="22" totalsRowFunction="count" dataDxfId="468" totalsRowDxfId="10"/>
    <tableColumn id="24" xr3:uid="{00000000-0010-0000-0B00-000018000000}" name="23" totalsRowFunction="count" dataDxfId="467" totalsRowDxfId="9"/>
    <tableColumn id="25" xr3:uid="{00000000-0010-0000-0B00-000019000000}" name="24" totalsRowFunction="count" dataDxfId="466" totalsRowDxfId="8"/>
    <tableColumn id="26" xr3:uid="{00000000-0010-0000-0B00-00001A000000}" name="25" totalsRowFunction="count" dataDxfId="465" totalsRowDxfId="7"/>
    <tableColumn id="27" xr3:uid="{00000000-0010-0000-0B00-00001B000000}" name="26" totalsRowFunction="count" dataDxfId="464" totalsRowDxfId="6"/>
    <tableColumn id="28" xr3:uid="{00000000-0010-0000-0B00-00001C000000}" name="27" totalsRowFunction="count" dataDxfId="463" totalsRowDxfId="5"/>
    <tableColumn id="29" xr3:uid="{00000000-0010-0000-0B00-00001D000000}" name="28" totalsRowFunction="count" dataDxfId="462" totalsRowDxfId="4"/>
    <tableColumn id="30" xr3:uid="{00000000-0010-0000-0B00-00001E000000}" name="29" totalsRowFunction="count" dataDxfId="461" totalsRowDxfId="3"/>
    <tableColumn id="31" xr3:uid="{00000000-0010-0000-0B00-00001F000000}" name="30" totalsRowFunction="count" dataDxfId="460" totalsRowDxfId="2"/>
    <tableColumn id="32" xr3:uid="{00000000-0010-0000-0B00-000020000000}" name="31" totalsRowFunction="count" dataDxfId="459" totalsRowDxfId="1"/>
    <tableColumn id="33" xr3:uid="{00000000-0010-0000-0B00-000021000000}" name="Łączna liczba dni" totalsRowFunction="sum" dataDxfId="458" totalsRowDxfId="0">
      <calculatedColumnFormula>COUNTA(Grudzień[[#This Row],[1]:[31]])</calculatedColumnFormula>
    </tableColumn>
  </tableColumns>
  <tableStyleInfo name="Tabela Nieobecności pracowników" showFirstColumn="1" showLastColumn="1" showRowStripes="1" showColumnStripes="0"/>
  <extLst>
    <ext xmlns:x14="http://schemas.microsoft.com/office/spreadsheetml/2009/9/main" uri="{504A1905-F514-4f6f-8877-14C23A59335A}">
      <x14:table altTextSummary="Zawiera listę nazwisk i dat kalendarzowych w celu rejestrowania nieobecności pracowników oraz określonych typów nieobecności, takich jak U=Urlop, Z=Zwolnienie lekarskie, O=powód Osobisty, oraz dwa symbole zastępcze na potrzeby wpisów niestandardowych"/>
    </ext>
  </extLst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Imię_i_nazwisko_pracownika" displayName="Imię_i_nazwisko_pracownika" ref="B3:B8" totalsRowShown="0">
  <autoFilter ref="B3:B8" xr:uid="{00000000-0009-0000-0100-00000D000000}"/>
  <tableColumns count="1">
    <tableColumn id="1" xr3:uid="{00000000-0010-0000-0C00-000001000000}" name="Nazwiska pracowników" dataCellStyle="Pracownik"/>
  </tableColumns>
  <tableStyleInfo name="Tabela Nieobecności pracowników" showFirstColumn="1" showLastColumn="1" showRowStripes="1" showColumnStripes="0"/>
  <extLst>
    <ext xmlns:x14="http://schemas.microsoft.com/office/spreadsheetml/2009/9/main" uri="{504A1905-F514-4f6f-8877-14C23A59335A}">
      <x14:table altTextSummary="W tej tabeli wprowadź nazwiska pracowników. Te nazwiska są używane jako opcje w kolumnie B harmonogramu nieobecności każdego miesiąca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Luty" displayName="Luty" ref="B6:AH12" totalsRowCount="1" headerRowDxfId="853" dataDxfId="852" totalsRowDxfId="851">
  <tableColumns count="33">
    <tableColumn id="1" xr3:uid="{00000000-0010-0000-0100-000001000000}" name="Imię i nazwisko pracownika" totalsRowFunction="custom" dataDxfId="850" totalsRowDxfId="362" dataCellStyle="Pracownik">
      <totalsRowFormula>"Suma z "&amp;Nazwa_miesiąca</totalsRowFormula>
    </tableColumn>
    <tableColumn id="2" xr3:uid="{00000000-0010-0000-0100-000002000000}" name="1" totalsRowFunction="count" dataDxfId="849" totalsRowDxfId="361"/>
    <tableColumn id="3" xr3:uid="{00000000-0010-0000-0100-000003000000}" name="2" totalsRowFunction="count" dataDxfId="848" totalsRowDxfId="360"/>
    <tableColumn id="4" xr3:uid="{00000000-0010-0000-0100-000004000000}" name="3" totalsRowFunction="count" dataDxfId="847" totalsRowDxfId="359"/>
    <tableColumn id="5" xr3:uid="{00000000-0010-0000-0100-000005000000}" name="4" totalsRowFunction="count" dataDxfId="846" totalsRowDxfId="358"/>
    <tableColumn id="6" xr3:uid="{00000000-0010-0000-0100-000006000000}" name="5" totalsRowFunction="count" dataDxfId="845" totalsRowDxfId="357"/>
    <tableColumn id="7" xr3:uid="{00000000-0010-0000-0100-000007000000}" name="6" totalsRowFunction="count" dataDxfId="844" totalsRowDxfId="356"/>
    <tableColumn id="8" xr3:uid="{00000000-0010-0000-0100-000008000000}" name="7" totalsRowFunction="count" dataDxfId="843" totalsRowDxfId="355"/>
    <tableColumn id="9" xr3:uid="{00000000-0010-0000-0100-000009000000}" name="8" totalsRowFunction="count" dataDxfId="842" totalsRowDxfId="354"/>
    <tableColumn id="10" xr3:uid="{00000000-0010-0000-0100-00000A000000}" name="9" totalsRowFunction="count" dataDxfId="841" totalsRowDxfId="353"/>
    <tableColumn id="11" xr3:uid="{00000000-0010-0000-0100-00000B000000}" name="10" totalsRowFunction="count" dataDxfId="840" totalsRowDxfId="352"/>
    <tableColumn id="12" xr3:uid="{00000000-0010-0000-0100-00000C000000}" name="11" totalsRowFunction="count" dataDxfId="839" totalsRowDxfId="351"/>
    <tableColumn id="13" xr3:uid="{00000000-0010-0000-0100-00000D000000}" name="12" totalsRowFunction="count" dataDxfId="838" totalsRowDxfId="350"/>
    <tableColumn id="14" xr3:uid="{00000000-0010-0000-0100-00000E000000}" name="13" totalsRowFunction="count" dataDxfId="837" totalsRowDxfId="349"/>
    <tableColumn id="15" xr3:uid="{00000000-0010-0000-0100-00000F000000}" name="14" totalsRowFunction="count" dataDxfId="836" totalsRowDxfId="348"/>
    <tableColumn id="16" xr3:uid="{00000000-0010-0000-0100-000010000000}" name="15" totalsRowFunction="count" dataDxfId="835" totalsRowDxfId="347"/>
    <tableColumn id="17" xr3:uid="{00000000-0010-0000-0100-000011000000}" name="16" totalsRowFunction="count" dataDxfId="834" totalsRowDxfId="346"/>
    <tableColumn id="18" xr3:uid="{00000000-0010-0000-0100-000012000000}" name="17" totalsRowFunction="count" dataDxfId="833" totalsRowDxfId="345"/>
    <tableColumn id="19" xr3:uid="{00000000-0010-0000-0100-000013000000}" name="18" totalsRowFunction="count" dataDxfId="832" totalsRowDxfId="344"/>
    <tableColumn id="20" xr3:uid="{00000000-0010-0000-0100-000014000000}" name="19" totalsRowFunction="count" dataDxfId="831" totalsRowDxfId="343"/>
    <tableColumn id="21" xr3:uid="{00000000-0010-0000-0100-000015000000}" name="20" totalsRowFunction="count" dataDxfId="830" totalsRowDxfId="342"/>
    <tableColumn id="22" xr3:uid="{00000000-0010-0000-0100-000016000000}" name="21" totalsRowFunction="count" dataDxfId="829" totalsRowDxfId="341"/>
    <tableColumn id="23" xr3:uid="{00000000-0010-0000-0100-000017000000}" name="22" totalsRowFunction="count" dataDxfId="828" totalsRowDxfId="340"/>
    <tableColumn id="24" xr3:uid="{00000000-0010-0000-0100-000018000000}" name="23" totalsRowFunction="count" dataDxfId="827" totalsRowDxfId="339"/>
    <tableColumn id="25" xr3:uid="{00000000-0010-0000-0100-000019000000}" name="24" totalsRowFunction="count" dataDxfId="826" totalsRowDxfId="338"/>
    <tableColumn id="26" xr3:uid="{00000000-0010-0000-0100-00001A000000}" name="25" totalsRowFunction="count" dataDxfId="825" totalsRowDxfId="337"/>
    <tableColumn id="27" xr3:uid="{00000000-0010-0000-0100-00001B000000}" name="26" totalsRowFunction="count" dataDxfId="824" totalsRowDxfId="336"/>
    <tableColumn id="28" xr3:uid="{00000000-0010-0000-0100-00001C000000}" name="27" totalsRowFunction="count" dataDxfId="823" totalsRowDxfId="335"/>
    <tableColumn id="29" xr3:uid="{00000000-0010-0000-0100-00001D000000}" name="28" totalsRowFunction="count" dataDxfId="822" totalsRowDxfId="334"/>
    <tableColumn id="30" xr3:uid="{00000000-0010-0000-0100-00001E000000}" name="29" totalsRowFunction="count" dataDxfId="821" totalsRowDxfId="333"/>
    <tableColumn id="31" xr3:uid="{00000000-0010-0000-0100-00001F000000}" name=" " dataDxfId="820" totalsRowDxfId="332"/>
    <tableColumn id="32" xr3:uid="{00000000-0010-0000-0100-000020000000}" name="  " dataDxfId="819" totalsRowDxfId="331"/>
    <tableColumn id="33" xr3:uid="{00000000-0010-0000-0100-000021000000}" name="Łączna liczba dni" totalsRowFunction="sum" dataDxfId="818" totalsRowDxfId="330">
      <calculatedColumnFormula>COUNTA(Luty[[#This Row],[1]:[29]])</calculatedColumnFormula>
    </tableColumn>
  </tableColumns>
  <tableStyleInfo name="Tabela Nieobecności pracowników" showFirstColumn="1" showLastColumn="1" showRowStripes="1" showColumnStripes="0"/>
  <extLst>
    <ext xmlns:x14="http://schemas.microsoft.com/office/spreadsheetml/2009/9/main" uri="{504A1905-F514-4f6f-8877-14C23A59335A}">
      <x14:table altTextSummary="Podaj nazwiska pracowników i daty nieobecności. Zarejestruj typ nieobecności według klucza w wierszu 12: U=Urlop, Z=Zwolnienie lekarskie, O=powód Osobisty oraz dwa symbole zastępcze na potrzeby wpisów niestandardowych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2000000}" name="Marzec" displayName="Marzec" ref="B6:AH12" totalsRowCount="1" headerRowDxfId="817" dataDxfId="816" totalsRowDxfId="815">
  <tableColumns count="33">
    <tableColumn id="1" xr3:uid="{00000000-0010-0000-0200-000001000000}" name="Imię i nazwisko pracownika" totalsRowFunction="custom" dataDxfId="814" totalsRowDxfId="329" dataCellStyle="Pracownik">
      <totalsRowFormula>"Suma z "&amp;Nazwa_miesiąca</totalsRowFormula>
    </tableColumn>
    <tableColumn id="2" xr3:uid="{00000000-0010-0000-0200-000002000000}" name="1" totalsRowFunction="count" dataDxfId="813" totalsRowDxfId="328"/>
    <tableColumn id="3" xr3:uid="{00000000-0010-0000-0200-000003000000}" name="2" totalsRowFunction="count" dataDxfId="812" totalsRowDxfId="327"/>
    <tableColumn id="4" xr3:uid="{00000000-0010-0000-0200-000004000000}" name="3" totalsRowFunction="count" dataDxfId="811" totalsRowDxfId="326"/>
    <tableColumn id="5" xr3:uid="{00000000-0010-0000-0200-000005000000}" name="4" totalsRowFunction="count" dataDxfId="810" totalsRowDxfId="325"/>
    <tableColumn id="6" xr3:uid="{00000000-0010-0000-0200-000006000000}" name="5" totalsRowFunction="count" dataDxfId="809" totalsRowDxfId="324"/>
    <tableColumn id="7" xr3:uid="{00000000-0010-0000-0200-000007000000}" name="6" totalsRowFunction="count" dataDxfId="808" totalsRowDxfId="323"/>
    <tableColumn id="8" xr3:uid="{00000000-0010-0000-0200-000008000000}" name="7" totalsRowFunction="count" dataDxfId="807" totalsRowDxfId="322"/>
    <tableColumn id="9" xr3:uid="{00000000-0010-0000-0200-000009000000}" name="8" totalsRowFunction="count" dataDxfId="806" totalsRowDxfId="321"/>
    <tableColumn id="10" xr3:uid="{00000000-0010-0000-0200-00000A000000}" name="9" totalsRowFunction="count" dataDxfId="805" totalsRowDxfId="320"/>
    <tableColumn id="11" xr3:uid="{00000000-0010-0000-0200-00000B000000}" name="10" totalsRowFunction="count" dataDxfId="804" totalsRowDxfId="319"/>
    <tableColumn id="12" xr3:uid="{00000000-0010-0000-0200-00000C000000}" name="11" totalsRowFunction="count" dataDxfId="803" totalsRowDxfId="318"/>
    <tableColumn id="13" xr3:uid="{00000000-0010-0000-0200-00000D000000}" name="12" totalsRowFunction="count" dataDxfId="802" totalsRowDxfId="317"/>
    <tableColumn id="14" xr3:uid="{00000000-0010-0000-0200-00000E000000}" name="13" totalsRowFunction="count" dataDxfId="801" totalsRowDxfId="316"/>
    <tableColumn id="15" xr3:uid="{00000000-0010-0000-0200-00000F000000}" name="14" totalsRowFunction="count" dataDxfId="800" totalsRowDxfId="315"/>
    <tableColumn id="16" xr3:uid="{00000000-0010-0000-0200-000010000000}" name="15" totalsRowFunction="count" dataDxfId="799" totalsRowDxfId="314"/>
    <tableColumn id="17" xr3:uid="{00000000-0010-0000-0200-000011000000}" name="16" totalsRowFunction="count" dataDxfId="798" totalsRowDxfId="313"/>
    <tableColumn id="18" xr3:uid="{00000000-0010-0000-0200-000012000000}" name="17" totalsRowFunction="count" dataDxfId="797" totalsRowDxfId="312"/>
    <tableColumn id="19" xr3:uid="{00000000-0010-0000-0200-000013000000}" name="18" totalsRowFunction="count" dataDxfId="796" totalsRowDxfId="311"/>
    <tableColumn id="20" xr3:uid="{00000000-0010-0000-0200-000014000000}" name="19" totalsRowFunction="count" dataDxfId="795" totalsRowDxfId="310"/>
    <tableColumn id="21" xr3:uid="{00000000-0010-0000-0200-000015000000}" name="20" totalsRowFunction="count" dataDxfId="794" totalsRowDxfId="309"/>
    <tableColumn id="22" xr3:uid="{00000000-0010-0000-0200-000016000000}" name="21" totalsRowFunction="count" dataDxfId="793" totalsRowDxfId="308"/>
    <tableColumn id="23" xr3:uid="{00000000-0010-0000-0200-000017000000}" name="22" totalsRowFunction="count" dataDxfId="792" totalsRowDxfId="307"/>
    <tableColumn id="24" xr3:uid="{00000000-0010-0000-0200-000018000000}" name="23" totalsRowFunction="count" dataDxfId="791" totalsRowDxfId="306"/>
    <tableColumn id="25" xr3:uid="{00000000-0010-0000-0200-000019000000}" name="24" totalsRowFunction="count" dataDxfId="790" totalsRowDxfId="305"/>
    <tableColumn id="26" xr3:uid="{00000000-0010-0000-0200-00001A000000}" name="25" totalsRowFunction="count" dataDxfId="789" totalsRowDxfId="304"/>
    <tableColumn id="27" xr3:uid="{00000000-0010-0000-0200-00001B000000}" name="26" totalsRowFunction="count" dataDxfId="788" totalsRowDxfId="303"/>
    <tableColumn id="28" xr3:uid="{00000000-0010-0000-0200-00001C000000}" name="27" totalsRowFunction="count" dataDxfId="787" totalsRowDxfId="302"/>
    <tableColumn id="29" xr3:uid="{00000000-0010-0000-0200-00001D000000}" name="28" totalsRowFunction="count" dataDxfId="786" totalsRowDxfId="301"/>
    <tableColumn id="30" xr3:uid="{00000000-0010-0000-0200-00001E000000}" name="29" totalsRowFunction="count" dataDxfId="785" totalsRowDxfId="300"/>
    <tableColumn id="31" xr3:uid="{00000000-0010-0000-0200-00001F000000}" name="30" totalsRowFunction="count" dataDxfId="784" totalsRowDxfId="299"/>
    <tableColumn id="32" xr3:uid="{00000000-0010-0000-0200-000020000000}" name="31" totalsRowFunction="count" dataDxfId="783" totalsRowDxfId="298"/>
    <tableColumn id="33" xr3:uid="{00000000-0010-0000-0200-000021000000}" name="Łączna liczba dni" totalsRowFunction="sum" dataDxfId="782" totalsRowDxfId="297">
      <calculatedColumnFormula>COUNTA(Marzec[[#This Row],[1]:[31]])</calculatedColumnFormula>
    </tableColumn>
  </tableColumns>
  <tableStyleInfo name="Tabela Nieobecności pracowników" showFirstColumn="1" showLastColumn="1" showRowStripes="1" showColumnStripes="0"/>
  <extLst>
    <ext xmlns:x14="http://schemas.microsoft.com/office/spreadsheetml/2009/9/main" uri="{504A1905-F514-4f6f-8877-14C23A59335A}">
      <x14:table altTextSummary="Podaj nazwiska pracowników i daty nieobecności. Zarejestruj typ nieobecności według klucza w wierszu 12: U=Urlop, Z=Zwolnienie lekarskie, O=powód Osobisty oraz dwa symbole zastępcze na potrzeby wpisów niestandardowych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3000000}" name="Kwiecień" displayName="Kwiecień" ref="B6:AH12" totalsRowCount="1" headerRowDxfId="781" dataDxfId="780" totalsRowDxfId="779">
  <tableColumns count="33">
    <tableColumn id="1" xr3:uid="{00000000-0010-0000-0300-000001000000}" name="Imię i nazwisko pracownika" totalsRowFunction="custom" dataDxfId="778" totalsRowDxfId="296" dataCellStyle="Pracownik">
      <totalsRowFormula>"Suma z "&amp;Nazwa_miesiąca</totalsRowFormula>
    </tableColumn>
    <tableColumn id="2" xr3:uid="{00000000-0010-0000-0300-000002000000}" name="1" totalsRowFunction="count" dataDxfId="777" totalsRowDxfId="295"/>
    <tableColumn id="3" xr3:uid="{00000000-0010-0000-0300-000003000000}" name="2" totalsRowFunction="count" dataDxfId="776" totalsRowDxfId="294"/>
    <tableColumn id="4" xr3:uid="{00000000-0010-0000-0300-000004000000}" name="3" totalsRowFunction="count" dataDxfId="775" totalsRowDxfId="293"/>
    <tableColumn id="5" xr3:uid="{00000000-0010-0000-0300-000005000000}" name="4" totalsRowFunction="count" dataDxfId="774" totalsRowDxfId="292"/>
    <tableColumn id="6" xr3:uid="{00000000-0010-0000-0300-000006000000}" name="5" totalsRowFunction="count" dataDxfId="773" totalsRowDxfId="291"/>
    <tableColumn id="7" xr3:uid="{00000000-0010-0000-0300-000007000000}" name="6" totalsRowFunction="count" dataDxfId="772" totalsRowDxfId="290"/>
    <tableColumn id="8" xr3:uid="{00000000-0010-0000-0300-000008000000}" name="7" totalsRowFunction="count" dataDxfId="771" totalsRowDxfId="289"/>
    <tableColumn id="9" xr3:uid="{00000000-0010-0000-0300-000009000000}" name="8" totalsRowFunction="count" dataDxfId="770" totalsRowDxfId="288"/>
    <tableColumn id="10" xr3:uid="{00000000-0010-0000-0300-00000A000000}" name="9" totalsRowFunction="count" dataDxfId="769" totalsRowDxfId="287"/>
    <tableColumn id="11" xr3:uid="{00000000-0010-0000-0300-00000B000000}" name="10" totalsRowFunction="count" dataDxfId="768" totalsRowDxfId="286"/>
    <tableColumn id="12" xr3:uid="{00000000-0010-0000-0300-00000C000000}" name="11" totalsRowFunction="count" dataDxfId="767" totalsRowDxfId="285"/>
    <tableColumn id="13" xr3:uid="{00000000-0010-0000-0300-00000D000000}" name="12" totalsRowFunction="count" dataDxfId="766" totalsRowDxfId="284"/>
    <tableColumn id="14" xr3:uid="{00000000-0010-0000-0300-00000E000000}" name="13" totalsRowFunction="count" dataDxfId="765" totalsRowDxfId="283"/>
    <tableColumn id="15" xr3:uid="{00000000-0010-0000-0300-00000F000000}" name="14" totalsRowFunction="count" dataDxfId="764" totalsRowDxfId="282"/>
    <tableColumn id="16" xr3:uid="{00000000-0010-0000-0300-000010000000}" name="15" totalsRowFunction="count" dataDxfId="763" totalsRowDxfId="281"/>
    <tableColumn id="17" xr3:uid="{00000000-0010-0000-0300-000011000000}" name="16" totalsRowFunction="count" dataDxfId="762" totalsRowDxfId="280"/>
    <tableColumn id="18" xr3:uid="{00000000-0010-0000-0300-000012000000}" name="17" totalsRowFunction="count" dataDxfId="761" totalsRowDxfId="279"/>
    <tableColumn id="19" xr3:uid="{00000000-0010-0000-0300-000013000000}" name="18" totalsRowFunction="count" dataDxfId="760" totalsRowDxfId="278"/>
    <tableColumn id="20" xr3:uid="{00000000-0010-0000-0300-000014000000}" name="19" totalsRowFunction="count" dataDxfId="759" totalsRowDxfId="277"/>
    <tableColumn id="21" xr3:uid="{00000000-0010-0000-0300-000015000000}" name="20" totalsRowFunction="count" dataDxfId="758" totalsRowDxfId="276"/>
    <tableColumn id="22" xr3:uid="{00000000-0010-0000-0300-000016000000}" name="21" totalsRowFunction="count" dataDxfId="757" totalsRowDxfId="275"/>
    <tableColumn id="23" xr3:uid="{00000000-0010-0000-0300-000017000000}" name="22" totalsRowFunction="count" dataDxfId="756" totalsRowDxfId="274"/>
    <tableColumn id="24" xr3:uid="{00000000-0010-0000-0300-000018000000}" name="23" totalsRowFunction="count" dataDxfId="755" totalsRowDxfId="273"/>
    <tableColumn id="25" xr3:uid="{00000000-0010-0000-0300-000019000000}" name="24" totalsRowFunction="count" dataDxfId="754" totalsRowDxfId="272"/>
    <tableColumn id="26" xr3:uid="{00000000-0010-0000-0300-00001A000000}" name="25" totalsRowFunction="count" dataDxfId="753" totalsRowDxfId="271"/>
    <tableColumn id="27" xr3:uid="{00000000-0010-0000-0300-00001B000000}" name="26" totalsRowFunction="count" dataDxfId="752" totalsRowDxfId="270"/>
    <tableColumn id="28" xr3:uid="{00000000-0010-0000-0300-00001C000000}" name="27" totalsRowFunction="count" dataDxfId="751" totalsRowDxfId="269"/>
    <tableColumn id="29" xr3:uid="{00000000-0010-0000-0300-00001D000000}" name="28" totalsRowFunction="count" dataDxfId="750" totalsRowDxfId="268"/>
    <tableColumn id="30" xr3:uid="{00000000-0010-0000-0300-00001E000000}" name="29" totalsRowFunction="count" dataDxfId="749" totalsRowDxfId="267"/>
    <tableColumn id="31" xr3:uid="{00000000-0010-0000-0300-00001F000000}" name="30" totalsRowFunction="count" dataDxfId="748" totalsRowDxfId="266"/>
    <tableColumn id="32" xr3:uid="{00000000-0010-0000-0300-000020000000}" name=" " totalsRowFunction="custom" dataDxfId="747" totalsRowDxfId="265">
      <totalsRowFormula>SUBTOTAL(103,Kwiecień[30])</totalsRowFormula>
    </tableColumn>
    <tableColumn id="33" xr3:uid="{00000000-0010-0000-0300-000021000000}" name="Łączna liczba dni" totalsRowFunction="sum" dataDxfId="746" totalsRowDxfId="264">
      <calculatedColumnFormula>COUNTA(Kwiecień[[#This Row],[1]:[30]])</calculatedColumnFormula>
    </tableColumn>
  </tableColumns>
  <tableStyleInfo name="Tabela Nieobecności pracowników" showFirstColumn="1" showLastColumn="1" showRowStripes="1" showColumnStripes="0"/>
  <extLst>
    <ext xmlns:x14="http://schemas.microsoft.com/office/spreadsheetml/2009/9/main" uri="{504A1905-F514-4f6f-8877-14C23A59335A}">
      <x14:table altTextSummary="Podaj nazwiska pracowników i daty nieobecności. Zarejestruj typ nieobecności według klucza w wierszu 12: U=Urlop, Z=Zwolnienie lekarskie, O=powód Osobisty oraz dwa symbole zastępcze na potrzeby wpisów niestandardowych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4000000}" name="Maj" displayName="Maj" ref="B6:AH12" totalsRowCount="1" headerRowDxfId="745" dataDxfId="744" totalsRowDxfId="743">
  <tableColumns count="33">
    <tableColumn id="1" xr3:uid="{00000000-0010-0000-0400-000001000000}" name="Imię i nazwisko pracownika" totalsRowFunction="custom" dataDxfId="742" totalsRowDxfId="263" dataCellStyle="Pracownik">
      <totalsRowFormula>"Suma z "&amp;Nazwa_miesiąca</totalsRowFormula>
    </tableColumn>
    <tableColumn id="2" xr3:uid="{00000000-0010-0000-0400-000002000000}" name="1" totalsRowFunction="count" dataDxfId="741" totalsRowDxfId="262"/>
    <tableColumn id="3" xr3:uid="{00000000-0010-0000-0400-000003000000}" name="2" totalsRowFunction="count" dataDxfId="740" totalsRowDxfId="261"/>
    <tableColumn id="4" xr3:uid="{00000000-0010-0000-0400-000004000000}" name="3" totalsRowFunction="count" dataDxfId="739" totalsRowDxfId="260"/>
    <tableColumn id="5" xr3:uid="{00000000-0010-0000-0400-000005000000}" name="4" totalsRowFunction="count" dataDxfId="738" totalsRowDxfId="259"/>
    <tableColumn id="6" xr3:uid="{00000000-0010-0000-0400-000006000000}" name="5" totalsRowFunction="count" dataDxfId="737" totalsRowDxfId="258"/>
    <tableColumn id="7" xr3:uid="{00000000-0010-0000-0400-000007000000}" name="6" totalsRowFunction="count" dataDxfId="736" totalsRowDxfId="257"/>
    <tableColumn id="8" xr3:uid="{00000000-0010-0000-0400-000008000000}" name="7" totalsRowFunction="count" dataDxfId="735" totalsRowDxfId="256"/>
    <tableColumn id="9" xr3:uid="{00000000-0010-0000-0400-000009000000}" name="8" totalsRowFunction="count" dataDxfId="734" totalsRowDxfId="255"/>
    <tableColumn id="10" xr3:uid="{00000000-0010-0000-0400-00000A000000}" name="9" totalsRowFunction="count" dataDxfId="733" totalsRowDxfId="254"/>
    <tableColumn id="11" xr3:uid="{00000000-0010-0000-0400-00000B000000}" name="10" totalsRowFunction="count" dataDxfId="732" totalsRowDxfId="253"/>
    <tableColumn id="12" xr3:uid="{00000000-0010-0000-0400-00000C000000}" name="11" totalsRowFunction="count" dataDxfId="731" totalsRowDxfId="252"/>
    <tableColumn id="13" xr3:uid="{00000000-0010-0000-0400-00000D000000}" name="12" totalsRowFunction="count" dataDxfId="730" totalsRowDxfId="251"/>
    <tableColumn id="14" xr3:uid="{00000000-0010-0000-0400-00000E000000}" name="13" totalsRowFunction="count" dataDxfId="729" totalsRowDxfId="250"/>
    <tableColumn id="15" xr3:uid="{00000000-0010-0000-0400-00000F000000}" name="14" totalsRowFunction="count" dataDxfId="728" totalsRowDxfId="249"/>
    <tableColumn id="16" xr3:uid="{00000000-0010-0000-0400-000010000000}" name="15" totalsRowFunction="count" dataDxfId="727" totalsRowDxfId="248"/>
    <tableColumn id="17" xr3:uid="{00000000-0010-0000-0400-000011000000}" name="16" totalsRowFunction="count" dataDxfId="726" totalsRowDxfId="247"/>
    <tableColumn id="18" xr3:uid="{00000000-0010-0000-0400-000012000000}" name="17" totalsRowFunction="count" dataDxfId="725" totalsRowDxfId="246"/>
    <tableColumn id="19" xr3:uid="{00000000-0010-0000-0400-000013000000}" name="18" totalsRowFunction="count" dataDxfId="724" totalsRowDxfId="245"/>
    <tableColumn id="20" xr3:uid="{00000000-0010-0000-0400-000014000000}" name="19" totalsRowFunction="count" dataDxfId="723" totalsRowDxfId="244"/>
    <tableColumn id="21" xr3:uid="{00000000-0010-0000-0400-000015000000}" name="20" totalsRowFunction="count" dataDxfId="722" totalsRowDxfId="243"/>
    <tableColumn id="22" xr3:uid="{00000000-0010-0000-0400-000016000000}" name="21" totalsRowFunction="count" dataDxfId="721" totalsRowDxfId="242"/>
    <tableColumn id="23" xr3:uid="{00000000-0010-0000-0400-000017000000}" name="22" totalsRowFunction="count" dataDxfId="720" totalsRowDxfId="241"/>
    <tableColumn id="24" xr3:uid="{00000000-0010-0000-0400-000018000000}" name="23" totalsRowFunction="count" dataDxfId="719" totalsRowDxfId="240"/>
    <tableColumn id="25" xr3:uid="{00000000-0010-0000-0400-000019000000}" name="24" totalsRowFunction="count" dataDxfId="718" totalsRowDxfId="239"/>
    <tableColumn id="26" xr3:uid="{00000000-0010-0000-0400-00001A000000}" name="25" totalsRowFunction="count" dataDxfId="717" totalsRowDxfId="238"/>
    <tableColumn id="27" xr3:uid="{00000000-0010-0000-0400-00001B000000}" name="26" totalsRowFunction="count" dataDxfId="716" totalsRowDxfId="237"/>
    <tableColumn id="28" xr3:uid="{00000000-0010-0000-0400-00001C000000}" name="27" totalsRowFunction="count" dataDxfId="715" totalsRowDxfId="236"/>
    <tableColumn id="29" xr3:uid="{00000000-0010-0000-0400-00001D000000}" name="28" totalsRowFunction="count" dataDxfId="714" totalsRowDxfId="235"/>
    <tableColumn id="30" xr3:uid="{00000000-0010-0000-0400-00001E000000}" name="29" totalsRowFunction="count" dataDxfId="713" totalsRowDxfId="234"/>
    <tableColumn id="31" xr3:uid="{00000000-0010-0000-0400-00001F000000}" name="30" totalsRowFunction="count" dataDxfId="712" totalsRowDxfId="233"/>
    <tableColumn id="32" xr3:uid="{00000000-0010-0000-0400-000020000000}" name="31" totalsRowFunction="count" dataDxfId="711" totalsRowDxfId="232"/>
    <tableColumn id="33" xr3:uid="{00000000-0010-0000-0400-000021000000}" name="Łączna liczba dni" totalsRowFunction="sum" dataDxfId="710" totalsRowDxfId="231">
      <calculatedColumnFormula>COUNTA(Maj[[#This Row],[1]:[31]])</calculatedColumnFormula>
    </tableColumn>
  </tableColumns>
  <tableStyleInfo name="Tabela Nieobecności pracowników" showFirstColumn="1" showLastColumn="1" showRowStripes="1" showColumnStripes="0"/>
  <extLst>
    <ext xmlns:x14="http://schemas.microsoft.com/office/spreadsheetml/2009/9/main" uri="{504A1905-F514-4f6f-8877-14C23A59335A}">
      <x14:table altTextSummary="Podaj nazwiska pracowników i daty nieobecności. Zarejestruj typ nieobecności według klucza w wierszu 12: U=Urlop, Z=Zwolnienie lekarskie, O=powód Osobisty oraz dwa symbole zastępcze na potrzeby wpisów niestandardowych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5000000}" name="Czerwiec" displayName="Czerwiec" ref="B6:AH12" totalsRowCount="1" headerRowDxfId="709" dataDxfId="708" totalsRowDxfId="707">
  <tableColumns count="33">
    <tableColumn id="1" xr3:uid="{00000000-0010-0000-0500-000001000000}" name="Imię i nazwisko pracownika" totalsRowFunction="custom" dataDxfId="706" totalsRowDxfId="230" dataCellStyle="Pracownik">
      <totalsRowFormula>"Suma z "&amp;Nazwa_miesiąca</totalsRowFormula>
    </tableColumn>
    <tableColumn id="2" xr3:uid="{00000000-0010-0000-0500-000002000000}" name="1" totalsRowFunction="count" dataDxfId="705" totalsRowDxfId="229"/>
    <tableColumn id="3" xr3:uid="{00000000-0010-0000-0500-000003000000}" name="2" totalsRowFunction="count" dataDxfId="704" totalsRowDxfId="228"/>
    <tableColumn id="4" xr3:uid="{00000000-0010-0000-0500-000004000000}" name="3" totalsRowFunction="count" dataDxfId="703" totalsRowDxfId="227"/>
    <tableColumn id="5" xr3:uid="{00000000-0010-0000-0500-000005000000}" name="4" totalsRowFunction="count" dataDxfId="702" totalsRowDxfId="226"/>
    <tableColumn id="6" xr3:uid="{00000000-0010-0000-0500-000006000000}" name="5" totalsRowFunction="count" dataDxfId="701" totalsRowDxfId="225"/>
    <tableColumn id="7" xr3:uid="{00000000-0010-0000-0500-000007000000}" name="6" totalsRowFunction="count" dataDxfId="700" totalsRowDxfId="224"/>
    <tableColumn id="8" xr3:uid="{00000000-0010-0000-0500-000008000000}" name="7" totalsRowFunction="count" dataDxfId="699" totalsRowDxfId="223"/>
    <tableColumn id="9" xr3:uid="{00000000-0010-0000-0500-000009000000}" name="8" totalsRowFunction="count" dataDxfId="698" totalsRowDxfId="222"/>
    <tableColumn id="10" xr3:uid="{00000000-0010-0000-0500-00000A000000}" name="9" totalsRowFunction="count" dataDxfId="697" totalsRowDxfId="221"/>
    <tableColumn id="11" xr3:uid="{00000000-0010-0000-0500-00000B000000}" name="10" totalsRowFunction="count" dataDxfId="696" totalsRowDxfId="220"/>
    <tableColumn id="12" xr3:uid="{00000000-0010-0000-0500-00000C000000}" name="11" totalsRowFunction="count" dataDxfId="695" totalsRowDxfId="219"/>
    <tableColumn id="13" xr3:uid="{00000000-0010-0000-0500-00000D000000}" name="12" totalsRowFunction="count" dataDxfId="694" totalsRowDxfId="218"/>
    <tableColumn id="14" xr3:uid="{00000000-0010-0000-0500-00000E000000}" name="13" totalsRowFunction="count" dataDxfId="693" totalsRowDxfId="217"/>
    <tableColumn id="15" xr3:uid="{00000000-0010-0000-0500-00000F000000}" name="14" totalsRowFunction="count" dataDxfId="692" totalsRowDxfId="216"/>
    <tableColumn id="16" xr3:uid="{00000000-0010-0000-0500-000010000000}" name="15" totalsRowFunction="count" dataDxfId="691" totalsRowDxfId="215"/>
    <tableColumn id="17" xr3:uid="{00000000-0010-0000-0500-000011000000}" name="16" totalsRowFunction="count" dataDxfId="690" totalsRowDxfId="214"/>
    <tableColumn id="18" xr3:uid="{00000000-0010-0000-0500-000012000000}" name="17" totalsRowFunction="count" dataDxfId="689" totalsRowDxfId="213"/>
    <tableColumn id="19" xr3:uid="{00000000-0010-0000-0500-000013000000}" name="18" totalsRowFunction="count" dataDxfId="688" totalsRowDxfId="212"/>
    <tableColumn id="20" xr3:uid="{00000000-0010-0000-0500-000014000000}" name="19" totalsRowFunction="count" dataDxfId="687" totalsRowDxfId="211"/>
    <tableColumn id="21" xr3:uid="{00000000-0010-0000-0500-000015000000}" name="20" totalsRowFunction="count" dataDxfId="686" totalsRowDxfId="210"/>
    <tableColumn id="22" xr3:uid="{00000000-0010-0000-0500-000016000000}" name="21" totalsRowFunction="count" dataDxfId="685" totalsRowDxfId="209"/>
    <tableColumn id="23" xr3:uid="{00000000-0010-0000-0500-000017000000}" name="22" totalsRowFunction="count" dataDxfId="684" totalsRowDxfId="208"/>
    <tableColumn id="24" xr3:uid="{00000000-0010-0000-0500-000018000000}" name="23" totalsRowFunction="count" dataDxfId="683" totalsRowDxfId="207"/>
    <tableColumn id="25" xr3:uid="{00000000-0010-0000-0500-000019000000}" name="24" totalsRowFunction="count" dataDxfId="682" totalsRowDxfId="206"/>
    <tableColumn id="26" xr3:uid="{00000000-0010-0000-0500-00001A000000}" name="25" totalsRowFunction="count" dataDxfId="681" totalsRowDxfId="205"/>
    <tableColumn id="27" xr3:uid="{00000000-0010-0000-0500-00001B000000}" name="26" totalsRowFunction="count" dataDxfId="680" totalsRowDxfId="204"/>
    <tableColumn id="28" xr3:uid="{00000000-0010-0000-0500-00001C000000}" name="27" totalsRowFunction="count" dataDxfId="679" totalsRowDxfId="203"/>
    <tableColumn id="29" xr3:uid="{00000000-0010-0000-0500-00001D000000}" name="28" totalsRowFunction="count" dataDxfId="678" totalsRowDxfId="202"/>
    <tableColumn id="30" xr3:uid="{00000000-0010-0000-0500-00001E000000}" name="29" totalsRowFunction="count" dataDxfId="677" totalsRowDxfId="201"/>
    <tableColumn id="31" xr3:uid="{00000000-0010-0000-0500-00001F000000}" name="30" totalsRowFunction="count" dataDxfId="676" totalsRowDxfId="200"/>
    <tableColumn id="32" xr3:uid="{00000000-0010-0000-0500-000020000000}" name=" " totalsRowFunction="count" dataDxfId="675" totalsRowDxfId="199"/>
    <tableColumn id="33" xr3:uid="{00000000-0010-0000-0500-000021000000}" name="Łączna liczba dni" totalsRowFunction="sum" dataDxfId="674" totalsRowDxfId="198">
      <calculatedColumnFormula>COUNTA(Czerwiec[[#This Row],[1]:[30]])</calculatedColumnFormula>
    </tableColumn>
  </tableColumns>
  <tableStyleInfo name="Tabela Nieobecności pracowników" showFirstColumn="1" showLastColumn="1" showRowStripes="1" showColumnStripes="0"/>
  <extLst>
    <ext xmlns:x14="http://schemas.microsoft.com/office/spreadsheetml/2009/9/main" uri="{504A1905-F514-4f6f-8877-14C23A59335A}">
      <x14:table altTextSummary="Podaj nazwiska pracowników i daty nieobecności. Zarejestruj typ nieobecności według klucza w wierszu 12: U=Urlop, Z=Zwolnienie lekarskie, O=powód Osobisty oraz dwa symbole zastępcze na potrzeby wpisów niestandardowych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6000000}" name="Lipiec" displayName="Lipiec" ref="B6:AH12" totalsRowCount="1" headerRowDxfId="673" dataDxfId="672" totalsRowDxfId="671">
  <tableColumns count="33">
    <tableColumn id="1" xr3:uid="{00000000-0010-0000-0600-000001000000}" name="Imię i nazwisko pracownika" totalsRowFunction="custom" dataDxfId="670" totalsRowDxfId="197" dataCellStyle="Pracownik">
      <totalsRowFormula>"Suma z "&amp;Nazwa_miesiąca</totalsRowFormula>
    </tableColumn>
    <tableColumn id="2" xr3:uid="{00000000-0010-0000-0600-000002000000}" name="1" totalsRowFunction="count" dataDxfId="669" totalsRowDxfId="196"/>
    <tableColumn id="3" xr3:uid="{00000000-0010-0000-0600-000003000000}" name="2" totalsRowFunction="count" dataDxfId="668" totalsRowDxfId="195"/>
    <tableColumn id="4" xr3:uid="{00000000-0010-0000-0600-000004000000}" name="3" totalsRowFunction="count" dataDxfId="667" totalsRowDxfId="194"/>
    <tableColumn id="5" xr3:uid="{00000000-0010-0000-0600-000005000000}" name="4" totalsRowFunction="count" dataDxfId="666" totalsRowDxfId="193"/>
    <tableColumn id="6" xr3:uid="{00000000-0010-0000-0600-000006000000}" name="5" totalsRowFunction="count" dataDxfId="665" totalsRowDxfId="192"/>
    <tableColumn id="7" xr3:uid="{00000000-0010-0000-0600-000007000000}" name="6" totalsRowFunction="count" dataDxfId="664" totalsRowDxfId="191"/>
    <tableColumn id="8" xr3:uid="{00000000-0010-0000-0600-000008000000}" name="7" totalsRowFunction="count" dataDxfId="663" totalsRowDxfId="190"/>
    <tableColumn id="9" xr3:uid="{00000000-0010-0000-0600-000009000000}" name="8" totalsRowFunction="count" dataDxfId="662" totalsRowDxfId="189"/>
    <tableColumn id="10" xr3:uid="{00000000-0010-0000-0600-00000A000000}" name="9" totalsRowFunction="count" dataDxfId="661" totalsRowDxfId="188"/>
    <tableColumn id="11" xr3:uid="{00000000-0010-0000-0600-00000B000000}" name="10" totalsRowFunction="count" dataDxfId="660" totalsRowDxfId="187"/>
    <tableColumn id="12" xr3:uid="{00000000-0010-0000-0600-00000C000000}" name="11" totalsRowFunction="count" dataDxfId="659" totalsRowDxfId="186"/>
    <tableColumn id="13" xr3:uid="{00000000-0010-0000-0600-00000D000000}" name="12" totalsRowFunction="count" dataDxfId="658" totalsRowDxfId="185"/>
    <tableColumn id="14" xr3:uid="{00000000-0010-0000-0600-00000E000000}" name="13" totalsRowFunction="count" dataDxfId="657" totalsRowDxfId="184"/>
    <tableColumn id="15" xr3:uid="{00000000-0010-0000-0600-00000F000000}" name="14" totalsRowFunction="count" dataDxfId="656" totalsRowDxfId="183"/>
    <tableColumn id="16" xr3:uid="{00000000-0010-0000-0600-000010000000}" name="15" totalsRowFunction="count" dataDxfId="655" totalsRowDxfId="182"/>
    <tableColumn id="17" xr3:uid="{00000000-0010-0000-0600-000011000000}" name="16" totalsRowFunction="count" dataDxfId="654" totalsRowDxfId="181"/>
    <tableColumn id="18" xr3:uid="{00000000-0010-0000-0600-000012000000}" name="17" totalsRowFunction="count" dataDxfId="653" totalsRowDxfId="180"/>
    <tableColumn id="19" xr3:uid="{00000000-0010-0000-0600-000013000000}" name="18" totalsRowFunction="count" dataDxfId="652" totalsRowDxfId="179"/>
    <tableColumn id="20" xr3:uid="{00000000-0010-0000-0600-000014000000}" name="19" totalsRowFunction="count" dataDxfId="651" totalsRowDxfId="178"/>
    <tableColumn id="21" xr3:uid="{00000000-0010-0000-0600-000015000000}" name="20" totalsRowFunction="count" dataDxfId="650" totalsRowDxfId="177"/>
    <tableColumn id="22" xr3:uid="{00000000-0010-0000-0600-000016000000}" name="21" totalsRowFunction="count" dataDxfId="649" totalsRowDxfId="176"/>
    <tableColumn id="23" xr3:uid="{00000000-0010-0000-0600-000017000000}" name="22" totalsRowFunction="count" dataDxfId="648" totalsRowDxfId="175"/>
    <tableColumn id="24" xr3:uid="{00000000-0010-0000-0600-000018000000}" name="23" totalsRowFunction="count" dataDxfId="647" totalsRowDxfId="174"/>
    <tableColumn id="25" xr3:uid="{00000000-0010-0000-0600-000019000000}" name="24" totalsRowFunction="count" dataDxfId="646" totalsRowDxfId="173"/>
    <tableColumn id="26" xr3:uid="{00000000-0010-0000-0600-00001A000000}" name="25" totalsRowFunction="count" dataDxfId="645" totalsRowDxfId="172"/>
    <tableColumn id="27" xr3:uid="{00000000-0010-0000-0600-00001B000000}" name="26" totalsRowFunction="count" dataDxfId="644" totalsRowDxfId="171"/>
    <tableColumn id="28" xr3:uid="{00000000-0010-0000-0600-00001C000000}" name="27" totalsRowFunction="count" dataDxfId="643" totalsRowDxfId="170"/>
    <tableColumn id="29" xr3:uid="{00000000-0010-0000-0600-00001D000000}" name="28" totalsRowFunction="count" dataDxfId="642" totalsRowDxfId="169"/>
    <tableColumn id="30" xr3:uid="{00000000-0010-0000-0600-00001E000000}" name="29" totalsRowFunction="count" dataDxfId="641" totalsRowDxfId="168"/>
    <tableColumn id="31" xr3:uid="{00000000-0010-0000-0600-00001F000000}" name="30" totalsRowFunction="count" dataDxfId="640" totalsRowDxfId="167"/>
    <tableColumn id="32" xr3:uid="{00000000-0010-0000-0600-000020000000}" name="31" totalsRowFunction="count" dataDxfId="639" totalsRowDxfId="166"/>
    <tableColumn id="33" xr3:uid="{00000000-0010-0000-0600-000021000000}" name="Łączna liczba dni" totalsRowFunction="sum" dataDxfId="638" totalsRowDxfId="165">
      <calculatedColumnFormula>COUNTA(Lipiec[[#This Row],[1]:[31]])</calculatedColumnFormula>
    </tableColumn>
  </tableColumns>
  <tableStyleInfo name="Tabela Nieobecności pracowników" showFirstColumn="1" showLastColumn="1" showRowStripes="1" showColumnStripes="0"/>
  <extLst>
    <ext xmlns:x14="http://schemas.microsoft.com/office/spreadsheetml/2009/9/main" uri="{504A1905-F514-4f6f-8877-14C23A59335A}">
      <x14:table altTextSummary="Podaj nazwiska pracowników i daty nieobecności. Zarejestruj typ nieobecności według klucza w wierszu 12: U=Urlop, Z=Zwolnienie lekarskie, O=powód Osobisty oraz dwa symbole zastępcze na potrzeby wpisów niestandardowych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7000000}" name="Sierpień" displayName="Sierpień" ref="B6:AH12" totalsRowCount="1" headerRowDxfId="637" dataDxfId="636" totalsRowDxfId="635">
  <tableColumns count="33">
    <tableColumn id="1" xr3:uid="{00000000-0010-0000-0700-000001000000}" name="Imię i nazwisko pracownika" totalsRowFunction="custom" dataDxfId="634" totalsRowDxfId="164" dataCellStyle="Pracownik">
      <totalsRowFormula>"Suma z "&amp;Nazwa_miesiąca</totalsRowFormula>
    </tableColumn>
    <tableColumn id="2" xr3:uid="{00000000-0010-0000-0700-000002000000}" name="1" totalsRowFunction="count" dataDxfId="633" totalsRowDxfId="163"/>
    <tableColumn id="3" xr3:uid="{00000000-0010-0000-0700-000003000000}" name="2" totalsRowFunction="count" dataDxfId="632" totalsRowDxfId="162"/>
    <tableColumn id="4" xr3:uid="{00000000-0010-0000-0700-000004000000}" name="3" totalsRowFunction="count" dataDxfId="631" totalsRowDxfId="161"/>
    <tableColumn id="5" xr3:uid="{00000000-0010-0000-0700-000005000000}" name="4" totalsRowFunction="count" dataDxfId="630" totalsRowDxfId="160"/>
    <tableColumn id="6" xr3:uid="{00000000-0010-0000-0700-000006000000}" name="5" totalsRowFunction="count" dataDxfId="629" totalsRowDxfId="159"/>
    <tableColumn id="7" xr3:uid="{00000000-0010-0000-0700-000007000000}" name="6" totalsRowFunction="count" dataDxfId="628" totalsRowDxfId="158"/>
    <tableColumn id="8" xr3:uid="{00000000-0010-0000-0700-000008000000}" name="7" totalsRowFunction="count" dataDxfId="627" totalsRowDxfId="157"/>
    <tableColumn id="9" xr3:uid="{00000000-0010-0000-0700-000009000000}" name="8" totalsRowFunction="count" dataDxfId="626" totalsRowDxfId="156"/>
    <tableColumn id="10" xr3:uid="{00000000-0010-0000-0700-00000A000000}" name="9" totalsRowFunction="count" dataDxfId="625" totalsRowDxfId="155"/>
    <tableColumn id="11" xr3:uid="{00000000-0010-0000-0700-00000B000000}" name="10" totalsRowFunction="count" dataDxfId="624" totalsRowDxfId="154"/>
    <tableColumn id="12" xr3:uid="{00000000-0010-0000-0700-00000C000000}" name="11" totalsRowFunction="count" dataDxfId="623" totalsRowDxfId="153"/>
    <tableColumn id="13" xr3:uid="{00000000-0010-0000-0700-00000D000000}" name="12" totalsRowFunction="count" dataDxfId="622" totalsRowDxfId="152"/>
    <tableColumn id="14" xr3:uid="{00000000-0010-0000-0700-00000E000000}" name="13" totalsRowFunction="count" dataDxfId="621" totalsRowDxfId="151"/>
    <tableColumn id="15" xr3:uid="{00000000-0010-0000-0700-00000F000000}" name="14" totalsRowFunction="count" dataDxfId="620" totalsRowDxfId="150"/>
    <tableColumn id="16" xr3:uid="{00000000-0010-0000-0700-000010000000}" name="15" totalsRowFunction="count" dataDxfId="619" totalsRowDxfId="149"/>
    <tableColumn id="17" xr3:uid="{00000000-0010-0000-0700-000011000000}" name="16" totalsRowFunction="count" dataDxfId="618" totalsRowDxfId="148"/>
    <tableColumn id="18" xr3:uid="{00000000-0010-0000-0700-000012000000}" name="17" totalsRowFunction="count" dataDxfId="617" totalsRowDxfId="147"/>
    <tableColumn id="19" xr3:uid="{00000000-0010-0000-0700-000013000000}" name="18" totalsRowFunction="count" dataDxfId="616" totalsRowDxfId="146"/>
    <tableColumn id="20" xr3:uid="{00000000-0010-0000-0700-000014000000}" name="19" totalsRowFunction="count" dataDxfId="615" totalsRowDxfId="145"/>
    <tableColumn id="21" xr3:uid="{00000000-0010-0000-0700-000015000000}" name="20" totalsRowFunction="count" dataDxfId="614" totalsRowDxfId="144"/>
    <tableColumn id="22" xr3:uid="{00000000-0010-0000-0700-000016000000}" name="21" totalsRowFunction="count" dataDxfId="613" totalsRowDxfId="143"/>
    <tableColumn id="23" xr3:uid="{00000000-0010-0000-0700-000017000000}" name="22" totalsRowFunction="count" dataDxfId="612" totalsRowDxfId="142"/>
    <tableColumn id="24" xr3:uid="{00000000-0010-0000-0700-000018000000}" name="23" totalsRowFunction="count" dataDxfId="611" totalsRowDxfId="141"/>
    <tableColumn id="25" xr3:uid="{00000000-0010-0000-0700-000019000000}" name="24" totalsRowFunction="count" dataDxfId="610" totalsRowDxfId="140"/>
    <tableColumn id="26" xr3:uid="{00000000-0010-0000-0700-00001A000000}" name="25" totalsRowFunction="count" dataDxfId="609" totalsRowDxfId="139"/>
    <tableColumn id="27" xr3:uid="{00000000-0010-0000-0700-00001B000000}" name="26" totalsRowFunction="count" dataDxfId="608" totalsRowDxfId="138"/>
    <tableColumn id="28" xr3:uid="{00000000-0010-0000-0700-00001C000000}" name="27" totalsRowFunction="count" dataDxfId="607" totalsRowDxfId="137"/>
    <tableColumn id="29" xr3:uid="{00000000-0010-0000-0700-00001D000000}" name="28" totalsRowFunction="count" dataDxfId="606" totalsRowDxfId="136"/>
    <tableColumn id="30" xr3:uid="{00000000-0010-0000-0700-00001E000000}" name="29" totalsRowFunction="count" dataDxfId="605" totalsRowDxfId="135"/>
    <tableColumn id="31" xr3:uid="{00000000-0010-0000-0700-00001F000000}" name="30" totalsRowFunction="count" dataDxfId="604" totalsRowDxfId="134"/>
    <tableColumn id="32" xr3:uid="{00000000-0010-0000-0700-000020000000}" name="31" totalsRowFunction="count" dataDxfId="603" totalsRowDxfId="133"/>
    <tableColumn id="33" xr3:uid="{00000000-0010-0000-0700-000021000000}" name="Łączna liczba dni" totalsRowFunction="sum" dataDxfId="602" totalsRowDxfId="132">
      <calculatedColumnFormula>COUNTA(Sierpień[[#This Row],[1]:[31]])</calculatedColumnFormula>
    </tableColumn>
  </tableColumns>
  <tableStyleInfo name="Tabela Nieobecności pracowników" showFirstColumn="1" showLastColumn="1" showRowStripes="1" showColumnStripes="0"/>
  <extLst>
    <ext xmlns:x14="http://schemas.microsoft.com/office/spreadsheetml/2009/9/main" uri="{504A1905-F514-4f6f-8877-14C23A59335A}">
      <x14:table altTextSummary="Podaj nazwiska pracowników i daty nieobecności. Zarejestruj typ nieobecności według klucza w wierszu 12: U=Urlop, Z=Zwolnienie lekarskie, O=powód Osobisty oraz dwa symbole zastępcze na potrzeby wpisów niestandardowych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8000000}" name="Wrzesień" displayName="Wrzesień" ref="B6:AH12" totalsRowCount="1" headerRowDxfId="601" dataDxfId="600" totalsRowDxfId="599">
  <tableColumns count="33">
    <tableColumn id="1" xr3:uid="{00000000-0010-0000-0800-000001000000}" name="Imię i nazwisko pracownika" totalsRowFunction="custom" dataDxfId="598" totalsRowDxfId="131" dataCellStyle="Pracownik">
      <totalsRowFormula>"Suma z "&amp;Nazwa_miesiąca</totalsRowFormula>
    </tableColumn>
    <tableColumn id="2" xr3:uid="{00000000-0010-0000-0800-000002000000}" name="1" totalsRowFunction="count" dataDxfId="597" totalsRowDxfId="130"/>
    <tableColumn id="3" xr3:uid="{00000000-0010-0000-0800-000003000000}" name="2" totalsRowFunction="count" dataDxfId="596" totalsRowDxfId="129"/>
    <tableColumn id="4" xr3:uid="{00000000-0010-0000-0800-000004000000}" name="3" totalsRowFunction="count" dataDxfId="595" totalsRowDxfId="128"/>
    <tableColumn id="5" xr3:uid="{00000000-0010-0000-0800-000005000000}" name="4" totalsRowFunction="count" dataDxfId="594" totalsRowDxfId="127"/>
    <tableColumn id="6" xr3:uid="{00000000-0010-0000-0800-000006000000}" name="5" totalsRowFunction="count" dataDxfId="593" totalsRowDxfId="126"/>
    <tableColumn id="7" xr3:uid="{00000000-0010-0000-0800-000007000000}" name="6" totalsRowFunction="count" dataDxfId="592" totalsRowDxfId="125"/>
    <tableColumn id="8" xr3:uid="{00000000-0010-0000-0800-000008000000}" name="7" totalsRowFunction="count" dataDxfId="591" totalsRowDxfId="124"/>
    <tableColumn id="9" xr3:uid="{00000000-0010-0000-0800-000009000000}" name="8" totalsRowFunction="count" dataDxfId="590" totalsRowDxfId="123"/>
    <tableColumn id="10" xr3:uid="{00000000-0010-0000-0800-00000A000000}" name="9" totalsRowFunction="count" dataDxfId="589" totalsRowDxfId="122"/>
    <tableColumn id="11" xr3:uid="{00000000-0010-0000-0800-00000B000000}" name="10" totalsRowFunction="count" dataDxfId="588" totalsRowDxfId="121"/>
    <tableColumn id="12" xr3:uid="{00000000-0010-0000-0800-00000C000000}" name="11" totalsRowFunction="count" dataDxfId="587" totalsRowDxfId="120"/>
    <tableColumn id="13" xr3:uid="{00000000-0010-0000-0800-00000D000000}" name="12" totalsRowFunction="count" dataDxfId="586" totalsRowDxfId="119"/>
    <tableColumn id="14" xr3:uid="{00000000-0010-0000-0800-00000E000000}" name="13" totalsRowFunction="count" dataDxfId="585" totalsRowDxfId="118"/>
    <tableColumn id="15" xr3:uid="{00000000-0010-0000-0800-00000F000000}" name="14" totalsRowFunction="count" dataDxfId="584" totalsRowDxfId="117"/>
    <tableColumn id="16" xr3:uid="{00000000-0010-0000-0800-000010000000}" name="15" totalsRowFunction="count" dataDxfId="583" totalsRowDxfId="116"/>
    <tableColumn id="17" xr3:uid="{00000000-0010-0000-0800-000011000000}" name="16" totalsRowFunction="count" dataDxfId="582" totalsRowDxfId="115"/>
    <tableColumn id="18" xr3:uid="{00000000-0010-0000-0800-000012000000}" name="17" totalsRowFunction="count" dataDxfId="581" totalsRowDxfId="114"/>
    <tableColumn id="19" xr3:uid="{00000000-0010-0000-0800-000013000000}" name="18" totalsRowFunction="count" dataDxfId="580" totalsRowDxfId="113"/>
    <tableColumn id="20" xr3:uid="{00000000-0010-0000-0800-000014000000}" name="19" totalsRowFunction="count" dataDxfId="579" totalsRowDxfId="112"/>
    <tableColumn id="21" xr3:uid="{00000000-0010-0000-0800-000015000000}" name="20" totalsRowFunction="count" dataDxfId="578" totalsRowDxfId="111"/>
    <tableColumn id="22" xr3:uid="{00000000-0010-0000-0800-000016000000}" name="21" totalsRowFunction="count" dataDxfId="577" totalsRowDxfId="110"/>
    <tableColumn id="23" xr3:uid="{00000000-0010-0000-0800-000017000000}" name="22" totalsRowFunction="count" dataDxfId="576" totalsRowDxfId="109"/>
    <tableColumn id="24" xr3:uid="{00000000-0010-0000-0800-000018000000}" name="23" totalsRowFunction="count" dataDxfId="575" totalsRowDxfId="108"/>
    <tableColumn id="25" xr3:uid="{00000000-0010-0000-0800-000019000000}" name="24" totalsRowFunction="count" dataDxfId="574" totalsRowDxfId="107"/>
    <tableColumn id="26" xr3:uid="{00000000-0010-0000-0800-00001A000000}" name="25" totalsRowFunction="count" dataDxfId="573" totalsRowDxfId="106"/>
    <tableColumn id="27" xr3:uid="{00000000-0010-0000-0800-00001B000000}" name="26" totalsRowFunction="count" dataDxfId="572" totalsRowDxfId="105"/>
    <tableColumn id="28" xr3:uid="{00000000-0010-0000-0800-00001C000000}" name="27" totalsRowFunction="count" dataDxfId="571" totalsRowDxfId="104"/>
    <tableColumn id="29" xr3:uid="{00000000-0010-0000-0800-00001D000000}" name="28" totalsRowFunction="count" dataDxfId="570" totalsRowDxfId="103"/>
    <tableColumn id="30" xr3:uid="{00000000-0010-0000-0800-00001E000000}" name="29" totalsRowFunction="count" dataDxfId="569" totalsRowDxfId="102"/>
    <tableColumn id="31" xr3:uid="{00000000-0010-0000-0800-00001F000000}" name="30" totalsRowFunction="count" dataDxfId="568" totalsRowDxfId="101"/>
    <tableColumn id="32" xr3:uid="{00000000-0010-0000-0800-000020000000}" name=" " totalsRowFunction="count" dataDxfId="567" totalsRowDxfId="100"/>
    <tableColumn id="33" xr3:uid="{00000000-0010-0000-0800-000021000000}" name="Łączna liczba dni" totalsRowFunction="sum" dataDxfId="566" totalsRowDxfId="99">
      <calculatedColumnFormula>COUNTA(Wrzesień[[#This Row],[1]:[30]])</calculatedColumnFormula>
    </tableColumn>
  </tableColumns>
  <tableStyleInfo name="Tabela Nieobecności pracowników" showFirstColumn="1" showLastColumn="1" showRowStripes="1" showColumnStripes="0"/>
  <extLst>
    <ext xmlns:x14="http://schemas.microsoft.com/office/spreadsheetml/2009/9/main" uri="{504A1905-F514-4f6f-8877-14C23A59335A}">
      <x14:table altTextSummary="Podaj nazwiska pracowników i daty nieobecności. Zarejestruj typ nieobecności według klucza w wierszu 12: U=Urlop, Z=Zwolnienie lekarskie, O=powód Osobisty oraz dwa symbole zastępcze na potrzeby wpisów niestandardowych"/>
    </ext>
  </extLst>
</table>
</file>

<file path=xl/theme/theme1.xml><?xml version="1.0" encoding="utf-8"?>
<a:theme xmlns:a="http://schemas.openxmlformats.org/drawingml/2006/main" name="Office Theme">
  <a:themeElements>
    <a:clrScheme name="Employee Absense Schedule">
      <a:dk1>
        <a:sysClr val="windowText" lastClr="000000"/>
      </a:dk1>
      <a:lt1>
        <a:sysClr val="window" lastClr="FFFFFF"/>
      </a:lt1>
      <a:dk2>
        <a:srgbClr val="4B180E"/>
      </a:dk2>
      <a:lt2>
        <a:srgbClr val="F1F2E8"/>
      </a:lt2>
      <a:accent1>
        <a:srgbClr val="A53423"/>
      </a:accent1>
      <a:accent2>
        <a:srgbClr val="E68130"/>
      </a:accent2>
      <a:accent3>
        <a:srgbClr val="9BB05D"/>
      </a:accent3>
      <a:accent4>
        <a:srgbClr val="CC9900"/>
      </a:accent4>
      <a:accent5>
        <a:srgbClr val="4F66AF"/>
      </a:accent5>
      <a:accent6>
        <a:srgbClr val="D0D2D3"/>
      </a:accent6>
      <a:hlink>
        <a:srgbClr val="4F66AF"/>
      </a:hlink>
      <a:folHlink>
        <a:srgbClr val="6B9AC6"/>
      </a:folHlink>
    </a:clrScheme>
    <a:fontScheme name="Employee Absence Schedule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 tint="-0.89999084444715716"/>
    <pageSetUpPr fitToPage="1"/>
  </sheetPr>
  <dimension ref="A1:AH12"/>
  <sheetViews>
    <sheetView showGridLines="0" tabSelected="1" zoomScaleNormal="100" workbookViewId="0"/>
  </sheetViews>
  <sheetFormatPr defaultRowHeight="30" customHeight="1" x14ac:dyDescent="0.25"/>
  <cols>
    <col min="1" max="1" width="2.7109375" style="11" customWidth="1"/>
    <col min="2" max="2" width="28.42578125" style="11" customWidth="1"/>
    <col min="3" max="33" width="5.7109375" style="11" customWidth="1"/>
    <col min="34" max="34" width="17.28515625" style="11" customWidth="1"/>
    <col min="35" max="35" width="2.7109375" customWidth="1"/>
  </cols>
  <sheetData>
    <row r="1" spans="1:34" ht="50.1" customHeight="1" x14ac:dyDescent="0.25">
      <c r="A1" s="18"/>
      <c r="B1" s="14" t="s">
        <v>0</v>
      </c>
    </row>
    <row r="2" spans="1:34" ht="15" customHeight="1" x14ac:dyDescent="0.25">
      <c r="B2" s="19" t="s">
        <v>1</v>
      </c>
      <c r="C2" s="4" t="s">
        <v>9</v>
      </c>
      <c r="D2" s="25" t="s">
        <v>12</v>
      </c>
      <c r="E2" s="25"/>
      <c r="F2" s="25"/>
      <c r="G2" s="5" t="s">
        <v>15</v>
      </c>
      <c r="H2" s="25" t="s">
        <v>19</v>
      </c>
      <c r="I2" s="25"/>
      <c r="J2" s="25"/>
      <c r="K2" s="6" t="s">
        <v>17</v>
      </c>
      <c r="L2" s="25" t="s">
        <v>24</v>
      </c>
      <c r="M2" s="25"/>
      <c r="N2" s="25"/>
      <c r="O2" s="25"/>
      <c r="P2" s="25"/>
      <c r="Q2" s="7"/>
      <c r="R2" s="25" t="s">
        <v>28</v>
      </c>
      <c r="S2" s="25"/>
      <c r="T2" s="25"/>
      <c r="U2" s="25"/>
      <c r="V2" s="8"/>
      <c r="W2" s="25" t="s">
        <v>33</v>
      </c>
      <c r="X2" s="25"/>
      <c r="Y2" s="25"/>
      <c r="Z2" s="25"/>
    </row>
    <row r="3" spans="1:34" ht="15" customHeight="1" x14ac:dyDescent="0.25">
      <c r="AH3" s="20" t="s">
        <v>49</v>
      </c>
    </row>
    <row r="4" spans="1:34" ht="30" customHeight="1" x14ac:dyDescent="0.25">
      <c r="B4" s="12" t="s">
        <v>2</v>
      </c>
      <c r="C4" s="24" t="s">
        <v>10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12">
        <v>2019</v>
      </c>
    </row>
    <row r="5" spans="1:34" ht="15" customHeight="1" x14ac:dyDescent="0.25">
      <c r="B5" s="12"/>
      <c r="C5" s="2" t="str">
        <f>TEXT(WEEKDAY(DATE(Rok_kalendarzowy,1,1),1),"aaa")</f>
        <v>wt</v>
      </c>
      <c r="D5" s="2" t="str">
        <f>TEXT(WEEKDAY(DATE(Rok_kalendarzowy,1,2),1),"aaa")</f>
        <v>śr</v>
      </c>
      <c r="E5" s="2" t="str">
        <f>TEXT(WEEKDAY(DATE(Rok_kalendarzowy,1,3),1),"aaa")</f>
        <v>czw</v>
      </c>
      <c r="F5" s="2" t="str">
        <f>TEXT(WEEKDAY(DATE(Rok_kalendarzowy,1,4),1),"aaa")</f>
        <v>pt</v>
      </c>
      <c r="G5" s="2" t="str">
        <f>TEXT(WEEKDAY(DATE(Rok_kalendarzowy,1,5),1),"aaa")</f>
        <v>sob</v>
      </c>
      <c r="H5" s="2" t="str">
        <f>TEXT(WEEKDAY(DATE(Rok_kalendarzowy,1,6),1),"aaa")</f>
        <v>niedz</v>
      </c>
      <c r="I5" s="2" t="str">
        <f>TEXT(WEEKDAY(DATE(Rok_kalendarzowy,1,7),1),"aaa")</f>
        <v>pon</v>
      </c>
      <c r="J5" s="2" t="str">
        <f>TEXT(WEEKDAY(DATE(Rok_kalendarzowy,1,8),1),"aaa")</f>
        <v>wt</v>
      </c>
      <c r="K5" s="2" t="str">
        <f>TEXT(WEEKDAY(DATE(Rok_kalendarzowy,1,9),1),"aaa")</f>
        <v>śr</v>
      </c>
      <c r="L5" s="2" t="str">
        <f>TEXT(WEEKDAY(DATE(Rok_kalendarzowy,1,10),1),"aaa")</f>
        <v>czw</v>
      </c>
      <c r="M5" s="2" t="str">
        <f>TEXT(WEEKDAY(DATE(Rok_kalendarzowy,1,11),1),"aaa")</f>
        <v>pt</v>
      </c>
      <c r="N5" s="2" t="str">
        <f>TEXT(WEEKDAY(DATE(Rok_kalendarzowy,1,12),1),"aaa")</f>
        <v>sob</v>
      </c>
      <c r="O5" s="2" t="str">
        <f>TEXT(WEEKDAY(DATE(Rok_kalendarzowy,1,13),1),"aaa")</f>
        <v>niedz</v>
      </c>
      <c r="P5" s="2" t="str">
        <f>TEXT(WEEKDAY(DATE(Rok_kalendarzowy,1,14),1),"aaa")</f>
        <v>pon</v>
      </c>
      <c r="Q5" s="2" t="str">
        <f>TEXT(WEEKDAY(DATE(Rok_kalendarzowy,1,15),1),"aaa")</f>
        <v>wt</v>
      </c>
      <c r="R5" s="2" t="str">
        <f>TEXT(WEEKDAY(DATE(Rok_kalendarzowy,1,16),1),"aaa")</f>
        <v>śr</v>
      </c>
      <c r="S5" s="2" t="str">
        <f>TEXT(WEEKDAY(DATE(Rok_kalendarzowy,1,17),1),"aaa")</f>
        <v>czw</v>
      </c>
      <c r="T5" s="2" t="str">
        <f>TEXT(WEEKDAY(DATE(Rok_kalendarzowy,1,18),1),"aaa")</f>
        <v>pt</v>
      </c>
      <c r="U5" s="2" t="str">
        <f>TEXT(WEEKDAY(DATE(Rok_kalendarzowy,1,19),1),"aaa")</f>
        <v>sob</v>
      </c>
      <c r="V5" s="2" t="str">
        <f>TEXT(WEEKDAY(DATE(Rok_kalendarzowy,1,20),1),"aaa")</f>
        <v>niedz</v>
      </c>
      <c r="W5" s="2" t="str">
        <f>TEXT(WEEKDAY(DATE(Rok_kalendarzowy,1,21),1),"aaa")</f>
        <v>pon</v>
      </c>
      <c r="X5" s="2" t="str">
        <f>TEXT(WEEKDAY(DATE(Rok_kalendarzowy,1,22),1),"aaa")</f>
        <v>wt</v>
      </c>
      <c r="Y5" s="2" t="str">
        <f>TEXT(WEEKDAY(DATE(Rok_kalendarzowy,1,23),1),"aaa")</f>
        <v>śr</v>
      </c>
      <c r="Z5" s="2" t="str">
        <f>TEXT(WEEKDAY(DATE(Rok_kalendarzowy,1,24),1),"aaa")</f>
        <v>czw</v>
      </c>
      <c r="AA5" s="2" t="str">
        <f>TEXT(WEEKDAY(DATE(Rok_kalendarzowy,1,25),1),"aaa")</f>
        <v>pt</v>
      </c>
      <c r="AB5" s="2" t="str">
        <f>TEXT(WEEKDAY(DATE(Rok_kalendarzowy,1,26),1),"aaa")</f>
        <v>sob</v>
      </c>
      <c r="AC5" s="2" t="str">
        <f>TEXT(WEEKDAY(DATE(Rok_kalendarzowy,1,27),1),"aaa")</f>
        <v>niedz</v>
      </c>
      <c r="AD5" s="2" t="str">
        <f>TEXT(WEEKDAY(DATE(Rok_kalendarzowy,1,28),1),"aaa")</f>
        <v>pon</v>
      </c>
      <c r="AE5" s="2" t="str">
        <f>TEXT(WEEKDAY(DATE(Rok_kalendarzowy,1,29),1),"aaa")</f>
        <v>wt</v>
      </c>
      <c r="AF5" s="2" t="str">
        <f>TEXT(WEEKDAY(DATE(Rok_kalendarzowy,1,30),1),"aaa")</f>
        <v>śr</v>
      </c>
      <c r="AG5" s="2" t="str">
        <f>TEXT(WEEKDAY(DATE(Rok_kalendarzowy,1,31),1),"aaa")</f>
        <v>czw</v>
      </c>
      <c r="AH5" s="12"/>
    </row>
    <row r="6" spans="1:34" ht="15" customHeight="1" x14ac:dyDescent="0.25">
      <c r="B6" s="15" t="s">
        <v>3</v>
      </c>
      <c r="C6" s="3" t="s">
        <v>11</v>
      </c>
      <c r="D6" s="3" t="s">
        <v>13</v>
      </c>
      <c r="E6" s="3" t="s">
        <v>14</v>
      </c>
      <c r="F6" s="3" t="s">
        <v>16</v>
      </c>
      <c r="G6" s="3" t="s">
        <v>18</v>
      </c>
      <c r="H6" s="3" t="s">
        <v>20</v>
      </c>
      <c r="I6" s="3" t="s">
        <v>21</v>
      </c>
      <c r="J6" s="3" t="s">
        <v>22</v>
      </c>
      <c r="K6" s="3" t="s">
        <v>23</v>
      </c>
      <c r="L6" s="3" t="s">
        <v>25</v>
      </c>
      <c r="M6" s="3" t="s">
        <v>26</v>
      </c>
      <c r="N6" s="3" t="s">
        <v>27</v>
      </c>
      <c r="O6" s="3" t="s">
        <v>29</v>
      </c>
      <c r="P6" s="3" t="s">
        <v>30</v>
      </c>
      <c r="Q6" s="3" t="s">
        <v>31</v>
      </c>
      <c r="R6" s="3" t="s">
        <v>32</v>
      </c>
      <c r="S6" s="3" t="s">
        <v>34</v>
      </c>
      <c r="T6" s="3" t="s">
        <v>35</v>
      </c>
      <c r="U6" s="3" t="s">
        <v>36</v>
      </c>
      <c r="V6" s="3" t="s">
        <v>37</v>
      </c>
      <c r="W6" s="3" t="s">
        <v>38</v>
      </c>
      <c r="X6" s="3" t="s">
        <v>39</v>
      </c>
      <c r="Y6" s="3" t="s">
        <v>40</v>
      </c>
      <c r="Z6" s="3" t="s">
        <v>41</v>
      </c>
      <c r="AA6" s="3" t="s">
        <v>42</v>
      </c>
      <c r="AB6" s="3" t="s">
        <v>43</v>
      </c>
      <c r="AC6" s="3" t="s">
        <v>44</v>
      </c>
      <c r="AD6" s="3" t="s">
        <v>45</v>
      </c>
      <c r="AE6" s="3" t="s">
        <v>46</v>
      </c>
      <c r="AF6" s="3" t="s">
        <v>47</v>
      </c>
      <c r="AG6" s="3" t="s">
        <v>48</v>
      </c>
      <c r="AH6" s="16" t="s">
        <v>50</v>
      </c>
    </row>
    <row r="7" spans="1:34" ht="30" customHeight="1" x14ac:dyDescent="0.25">
      <c r="B7" s="9" t="s">
        <v>4</v>
      </c>
      <c r="C7" s="3"/>
      <c r="D7" s="3"/>
      <c r="E7" s="3" t="s">
        <v>9</v>
      </c>
      <c r="F7" s="3" t="s">
        <v>9</v>
      </c>
      <c r="G7" s="3" t="s">
        <v>9</v>
      </c>
      <c r="H7" s="3" t="s">
        <v>9</v>
      </c>
      <c r="I7" s="3"/>
      <c r="J7" s="3"/>
      <c r="K7" s="3"/>
      <c r="L7" s="3"/>
      <c r="M7" s="3"/>
      <c r="N7" s="3"/>
      <c r="O7" s="3" t="s">
        <v>9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0">
        <f>COUNTA(Styczeń!$C7:$AG7)</f>
        <v>5</v>
      </c>
    </row>
    <row r="8" spans="1:34" ht="30" customHeight="1" x14ac:dyDescent="0.25">
      <c r="B8" s="9" t="s">
        <v>5</v>
      </c>
      <c r="C8" s="3"/>
      <c r="D8" s="3"/>
      <c r="E8" s="3"/>
      <c r="F8" s="3"/>
      <c r="G8" s="3" t="s">
        <v>17</v>
      </c>
      <c r="H8" s="3" t="s">
        <v>17</v>
      </c>
      <c r="I8" s="3"/>
      <c r="J8" s="3"/>
      <c r="K8" s="3"/>
      <c r="L8" s="3"/>
      <c r="M8" s="3" t="s">
        <v>15</v>
      </c>
      <c r="N8" s="3"/>
      <c r="O8" s="3"/>
      <c r="P8" s="3"/>
      <c r="Q8" s="3"/>
      <c r="R8" s="3"/>
      <c r="S8" s="3"/>
      <c r="T8" s="3"/>
      <c r="U8" s="3"/>
      <c r="V8" s="3" t="s">
        <v>17</v>
      </c>
      <c r="W8" s="3"/>
      <c r="X8" s="3"/>
      <c r="Y8" s="3"/>
      <c r="Z8" s="3"/>
      <c r="AA8" s="3" t="s">
        <v>9</v>
      </c>
      <c r="AB8" s="3" t="s">
        <v>9</v>
      </c>
      <c r="AC8" s="3" t="s">
        <v>9</v>
      </c>
      <c r="AD8" s="3"/>
      <c r="AE8" s="3"/>
      <c r="AF8" s="3"/>
      <c r="AG8" s="3"/>
      <c r="AH8" s="10">
        <f>COUNTA(Styczeń!$C8:$AG8)</f>
        <v>7</v>
      </c>
    </row>
    <row r="9" spans="1:34" ht="30" customHeight="1" x14ac:dyDescent="0.25">
      <c r="B9" s="9" t="s">
        <v>6</v>
      </c>
      <c r="C9" s="3"/>
      <c r="D9" s="3"/>
      <c r="E9" s="3" t="s">
        <v>15</v>
      </c>
      <c r="F9" s="3"/>
      <c r="G9" s="3"/>
      <c r="H9" s="3"/>
      <c r="I9" s="3"/>
      <c r="J9" s="3"/>
      <c r="K9" s="3"/>
      <c r="L9" s="3"/>
      <c r="M9" s="3"/>
      <c r="N9" s="3"/>
      <c r="O9" s="3"/>
      <c r="P9" s="3" t="s">
        <v>17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 t="s">
        <v>17</v>
      </c>
      <c r="AF9" s="3"/>
      <c r="AG9" s="3"/>
      <c r="AH9" s="10">
        <f>COUNTA(Styczeń!$C9:$AG9)</f>
        <v>3</v>
      </c>
    </row>
    <row r="10" spans="1:34" ht="30" customHeight="1" x14ac:dyDescent="0.25">
      <c r="B10" s="9" t="s">
        <v>7</v>
      </c>
      <c r="C10" s="3"/>
      <c r="D10" s="3"/>
      <c r="E10" s="3"/>
      <c r="F10" s="3"/>
      <c r="G10" s="3"/>
      <c r="H10" s="3"/>
      <c r="I10" s="3" t="s">
        <v>15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 t="s">
        <v>9</v>
      </c>
      <c r="V10" s="3" t="s">
        <v>9</v>
      </c>
      <c r="W10" s="3" t="s">
        <v>9</v>
      </c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10">
        <f>COUNTA(Styczeń!$C10:$AG10)</f>
        <v>4</v>
      </c>
    </row>
    <row r="11" spans="1:34" ht="30" customHeight="1" x14ac:dyDescent="0.25">
      <c r="B11" s="9" t="s">
        <v>8</v>
      </c>
      <c r="C11" s="3"/>
      <c r="D11" s="3"/>
      <c r="E11" s="3"/>
      <c r="F11" s="3" t="s">
        <v>17</v>
      </c>
      <c r="G11" s="3" t="s">
        <v>9</v>
      </c>
      <c r="H11" s="3" t="s">
        <v>9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 t="s">
        <v>17</v>
      </c>
      <c r="T11" s="3"/>
      <c r="U11" s="3"/>
      <c r="V11" s="3"/>
      <c r="W11" s="3"/>
      <c r="X11" s="3"/>
      <c r="Y11" s="3"/>
      <c r="Z11" s="3" t="s">
        <v>17</v>
      </c>
      <c r="AA11" s="3"/>
      <c r="AB11" s="3"/>
      <c r="AC11" s="3"/>
      <c r="AD11" s="3"/>
      <c r="AE11" s="3"/>
      <c r="AF11" s="3"/>
      <c r="AG11" s="3" t="s">
        <v>9</v>
      </c>
      <c r="AH11" s="10">
        <f>COUNTA(Styczeń!$C11:$AG11)</f>
        <v>6</v>
      </c>
    </row>
    <row r="12" spans="1:34" ht="30" customHeight="1" x14ac:dyDescent="0.25">
      <c r="B12" s="21" t="str">
        <f>"Suma z "&amp;Nazwa_miesiąca</f>
        <v>Suma z Styczeń</v>
      </c>
      <c r="C12" s="13">
        <f>SUBTOTAL(103,Styczeń!$C$7:$C$11)</f>
        <v>0</v>
      </c>
      <c r="D12" s="13">
        <f>SUBTOTAL(103,Styczeń!$D$7:$D$11)</f>
        <v>0</v>
      </c>
      <c r="E12" s="13">
        <f>SUBTOTAL(103,Styczeń!$E$7:$E$11)</f>
        <v>2</v>
      </c>
      <c r="F12" s="13">
        <f>SUBTOTAL(103,Styczeń!$F$7:$F$11)</f>
        <v>2</v>
      </c>
      <c r="G12" s="13">
        <f>SUBTOTAL(103,Styczeń!$G$7:$G$11)</f>
        <v>3</v>
      </c>
      <c r="H12" s="13">
        <f>SUBTOTAL(103,Styczeń!$H$7:$H$11)</f>
        <v>3</v>
      </c>
      <c r="I12" s="13">
        <f>SUBTOTAL(103,Styczeń!$I$7:$I$11)</f>
        <v>1</v>
      </c>
      <c r="J12" s="13">
        <f>SUBTOTAL(103,Styczeń!$J$7:$J$11)</f>
        <v>0</v>
      </c>
      <c r="K12" s="13">
        <f>SUBTOTAL(103,Styczeń!$K$7:$K$11)</f>
        <v>0</v>
      </c>
      <c r="L12" s="13">
        <f>SUBTOTAL(103,Styczeń!$L$7:$L$11)</f>
        <v>0</v>
      </c>
      <c r="M12" s="13">
        <f>SUBTOTAL(103,Styczeń!$M$7:$M$11)</f>
        <v>1</v>
      </c>
      <c r="N12" s="13">
        <f>SUBTOTAL(103,Styczeń!$N$7:$N$11)</f>
        <v>0</v>
      </c>
      <c r="O12" s="13">
        <f>SUBTOTAL(103,Styczeń!$O$7:$O$11)</f>
        <v>1</v>
      </c>
      <c r="P12" s="13">
        <f>SUBTOTAL(103,Styczeń!$P$7:$P$11)</f>
        <v>1</v>
      </c>
      <c r="Q12" s="13">
        <f>SUBTOTAL(103,Styczeń!$Q$7:$Q$11)</f>
        <v>0</v>
      </c>
      <c r="R12" s="13">
        <f>SUBTOTAL(103,Styczeń!$R$7:$R$11)</f>
        <v>0</v>
      </c>
      <c r="S12" s="13">
        <f>SUBTOTAL(103,Styczeń!$S$7:$S$11)</f>
        <v>1</v>
      </c>
      <c r="T12" s="13">
        <f>SUBTOTAL(103,Styczeń!$T$7:$T$11)</f>
        <v>0</v>
      </c>
      <c r="U12" s="13">
        <f>SUBTOTAL(103,Styczeń!$U$7:$U$11)</f>
        <v>1</v>
      </c>
      <c r="V12" s="13">
        <f>SUBTOTAL(103,Styczeń!$V$7:$V$11)</f>
        <v>2</v>
      </c>
      <c r="W12" s="13">
        <f>SUBTOTAL(103,Styczeń!$W$7:$W$11)</f>
        <v>1</v>
      </c>
      <c r="X12" s="13">
        <f>SUBTOTAL(103,Styczeń!$X$7:$X$11)</f>
        <v>0</v>
      </c>
      <c r="Y12" s="13">
        <f>SUBTOTAL(103,Styczeń!$Y$7:$Y$11)</f>
        <v>0</v>
      </c>
      <c r="Z12" s="13">
        <f>SUBTOTAL(103,Styczeń!$Z$7:$Z$11)</f>
        <v>1</v>
      </c>
      <c r="AA12" s="13">
        <f>SUBTOTAL(103,Styczeń!$AA$7:$AA$11)</f>
        <v>1</v>
      </c>
      <c r="AB12" s="13">
        <f>SUBTOTAL(103,Styczeń!$AB$7:$AB$11)</f>
        <v>1</v>
      </c>
      <c r="AC12" s="13">
        <f>SUBTOTAL(103,Styczeń!$AC$7:$AC$11)</f>
        <v>1</v>
      </c>
      <c r="AD12" s="13">
        <f>SUBTOTAL(103,Styczeń!$AD$7:$AD$11)</f>
        <v>0</v>
      </c>
      <c r="AE12" s="13">
        <f>SUBTOTAL(103,Styczeń!$AE$7:$AE$11)</f>
        <v>1</v>
      </c>
      <c r="AF12" s="13">
        <f>SUBTOTAL(103,Styczeń!$AF$7:$AF$11)</f>
        <v>0</v>
      </c>
      <c r="AG12" s="13">
        <f>SUBTOTAL(103,Styczeń!$AG$7:$AG$11)</f>
        <v>1</v>
      </c>
      <c r="AH12" s="13">
        <f>SUBTOTAL(109,Styczeń[Łączna liczba dni])</f>
        <v>25</v>
      </c>
    </row>
  </sheetData>
  <mergeCells count="6">
    <mergeCell ref="C4:AG4"/>
    <mergeCell ref="D2:F2"/>
    <mergeCell ref="H2:J2"/>
    <mergeCell ref="L2:P2"/>
    <mergeCell ref="R2:U2"/>
    <mergeCell ref="W2:Z2"/>
  </mergeCells>
  <conditionalFormatting sqref="C7:AG11">
    <cfRule type="expression" priority="1" stopIfTrue="1">
      <formula>C7=""</formula>
    </cfRule>
    <cfRule type="expression" dxfId="424" priority="6" stopIfTrue="1">
      <formula>C7=Klucz_niestandardowy_2</formula>
    </cfRule>
    <cfRule type="expression" dxfId="423" priority="7" stopIfTrue="1">
      <formula>C7=Klucz_niestandardowy_1</formula>
    </cfRule>
    <cfRule type="expression" dxfId="422" priority="8" stopIfTrue="1">
      <formula>C7=Klucz_Zwolnienie_lekarskie</formula>
    </cfRule>
    <cfRule type="expression" dxfId="421" priority="9" stopIfTrue="1">
      <formula>C7=Klucz_Osobiste</formula>
    </cfRule>
    <cfRule type="expression" dxfId="420" priority="10" stopIfTrue="1">
      <formula>C7=Klucz_Urlop</formula>
    </cfRule>
  </conditionalFormatting>
  <conditionalFormatting sqref="AH7:AH11">
    <cfRule type="dataBar" priority="168">
      <dataBar>
        <cfvo type="num" val="0"/>
        <cfvo type="num" val="31"/>
        <color theme="2" tint="-0.249977111117893"/>
      </dataBar>
      <extLst>
        <ext xmlns:x14="http://schemas.microsoft.com/office/spreadsheetml/2009/9/main" uri="{B025F937-C7B1-47D3-B67F-A62EFF666E3E}">
          <x14:id>{ECCE2C3C-1B01-4700-B60E-DAAAB19A9C1A}</x14:id>
        </ext>
      </extLst>
    </cfRule>
  </conditionalFormatting>
  <dataValidations count="15">
    <dataValidation allowBlank="1" showInputMessage="1" showErrorMessage="1" prompt="W tej komórce wprowadź rok" sqref="AH4" xr:uid="{00000000-0002-0000-0000-000000000000}"/>
    <dataValidation errorStyle="warning" allowBlank="1" showInputMessage="1" showErrorMessage="1" error="Wybierz nazwisko z listy. Wybierz pozycję ANULUJ, a następnie naciśnij klawisze ALT+STRZAŁKA W DÓŁ i klawisz ENTER, aby wybrać nazwisko" prompt="Wprowadź nazwiska pracowników w arkuszu Nazwiska pracowników, a następnie wybierz jedno z tych nazwisk z listy w tej kolumnie. Naciśnij klawisze ALT+STRZAŁKA W DÓŁ, a następnie klawisz ENTER, aby wybrać nazwisko" sqref="B6" xr:uid="{00000000-0002-0000-0000-000001000000}"/>
    <dataValidation allowBlank="1" showInputMessage="1" showErrorMessage="1" prompt="Dni miesiąca w tym wierszu są generowane automatycznie. Wprowadź nieobecność pracownika i typ nieobecności w każdej kolumnie dla każdego dnia danego miesiąca. Puste pole oznacza brak nieobecności." sqref="C6" xr:uid="{00000000-0002-0000-0000-000002000000}"/>
    <dataValidation allowBlank="1" showInputMessage="1" showErrorMessage="1" prompt="W tym wierszu dni tygodnia dla danego miesiąca są aktualizowane automatycznie według roku wprowadzonego w komórce AH4. Każdy dzień miesiąca jest reprezentowany przez kolumnę, w której można zanotować nieobecność pracownika i typ nieobecności" sqref="C5" xr:uid="{00000000-0002-0000-0000-000003000000}"/>
    <dataValidation allowBlank="1" showInputMessage="1" showErrorMessage="1" prompt="Automatycznie oblicza łączną liczbę dni nieobecności pracownika w danym miesiącu" sqref="AH6" xr:uid="{00000000-0002-0000-0000-000004000000}"/>
    <dataValidation allowBlank="1" showInputMessage="1" showErrorMessage="1" prompt="W tej komórce znajduje się tytuł tego arkusza. Zaktualizuj tytuł, a każdy arkusz automatycznie odziedziczy tę zmianę." sqref="B1" xr:uid="{00000000-0002-0000-0000-000005000000}"/>
    <dataValidation allowBlank="1" showInputMessage="1" showErrorMessage="1" prompt="Miesiąc tego harmonogramu nieobecności. Zaktualizuj rok w komórce AH4. W ostatniej komórce tabeli są śledzone sumy według miesiąca. W kolumnie B tabeli wprowadź nazwiska pracowników" sqref="B4" xr:uid="{00000000-0002-0000-0000-000006000000}"/>
    <dataValidation allowBlank="1" showInputMessage="1" showErrorMessage="1" prompt="Ten wiersz definiuje klucze używane w tabeli: komórka C2 to urlop, G2 to sprawy osobiste, a K2 to zwolnienie lekarskie. Komórki N2 i R2 można dostosować" sqref="B2" xr:uid="{00000000-0002-0000-0000-000007000000}"/>
    <dataValidation allowBlank="1" showInputMessage="1" showErrorMessage="1" prompt="Litera „U” oznacza nieobecność ze względu na urlop" sqref="C2" xr:uid="{00000000-0002-0000-0000-000008000000}"/>
    <dataValidation allowBlank="1" showInputMessage="1" showErrorMessage="1" prompt="Litera „O” oznacza nieobecność ze względu na sprawy osobiste" sqref="G2" xr:uid="{00000000-0002-0000-0000-000009000000}"/>
    <dataValidation allowBlank="1" showInputMessage="1" showErrorMessage="1" prompt="Litera „Z” oznacza nieobecność ze względu na zwolnienie lekarskie" sqref="K2" xr:uid="{00000000-0002-0000-0000-00000A000000}"/>
    <dataValidation allowBlank="1" showInputMessage="1" showErrorMessage="1" prompt="Wprowadź literę i dostosuj etykietę po prawej, aby dodać kolejny element klucza." sqref="Q2 V2" xr:uid="{00000000-0002-0000-0000-00000B000000}"/>
    <dataValidation allowBlank="1" showInputMessage="1" showErrorMessage="1" prompt="Wprowadź etykietę, aby opisać klucz niestandardowy po lewej stronie." sqref="R2 W2" xr:uid="{00000000-0002-0000-0000-00000C000000}"/>
    <dataValidation allowBlank="1" showInputMessage="1" showErrorMessage="1" prompt="Harmonogram nieobecności pracowników pozwala śledzić nieobecność pracowników według dni dla każdego miesiąca. Zawiera on 13 arkuszy: 12 miesięcznych i ostatni z nazwiskami pracowników. Za pomocą tego arkusza śledź nieobecności w styczniu" sqref="A1" xr:uid="{00000000-0002-0000-0000-00000D000000}"/>
    <dataValidation allowBlank="1" showInputMessage="1" showErrorMessage="1" prompt="Wpisz rok w komórce poniżej" sqref="AH3" xr:uid="{00000000-0002-0000-0000-00000E000000}"/>
  </dataValidations>
  <printOptions horizontalCentered="1"/>
  <pageMargins left="0.25" right="0.25" top="0.75" bottom="0.75" header="0.3" footer="0.3"/>
  <pageSetup paperSize="9" scale="73"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CCE2C3C-1B01-4700-B60E-DAAAB19A9C1A}">
            <x14:dataBar minLength="0" maxLength="100">
              <x14:cfvo type="num">
                <xm:f>0</xm:f>
              </x14:cfvo>
              <x14:cfvo type="num">
                <xm:f>31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F000000}">
          <x14:formula1>
            <xm:f>'Nazwiska pracowników'!$B$4:$B$8</xm:f>
          </x14:formula1>
          <xm:sqref>B7:B11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2" tint="-0.249977111117893"/>
    <pageSetUpPr fitToPage="1"/>
  </sheetPr>
  <dimension ref="A1:AH12"/>
  <sheetViews>
    <sheetView showGridLines="0" zoomScaleNormal="100" workbookViewId="0"/>
  </sheetViews>
  <sheetFormatPr defaultRowHeight="30" customHeight="1" x14ac:dyDescent="0.25"/>
  <cols>
    <col min="1" max="1" width="2.7109375" style="11" customWidth="1"/>
    <col min="2" max="2" width="28.42578125" style="11" customWidth="1"/>
    <col min="3" max="33" width="5.7109375" style="11" customWidth="1"/>
    <col min="34" max="34" width="17.28515625" style="11" customWidth="1"/>
    <col min="35" max="35" width="2.7109375" customWidth="1"/>
  </cols>
  <sheetData>
    <row r="1" spans="2:34" ht="50.1" customHeight="1" x14ac:dyDescent="0.25">
      <c r="B1" s="14" t="str">
        <f>Tytuł_Nieobecności_pracowników</f>
        <v>Harmonogram nieobecności pracowników</v>
      </c>
    </row>
    <row r="2" spans="2:34" ht="15" customHeight="1" x14ac:dyDescent="0.25">
      <c r="B2" s="19" t="s">
        <v>1</v>
      </c>
      <c r="C2" s="4" t="s">
        <v>9</v>
      </c>
      <c r="D2" s="25" t="s">
        <v>12</v>
      </c>
      <c r="E2" s="25"/>
      <c r="F2" s="25"/>
      <c r="G2" s="5" t="s">
        <v>15</v>
      </c>
      <c r="H2" s="25" t="s">
        <v>19</v>
      </c>
      <c r="I2" s="25"/>
      <c r="J2" s="25"/>
      <c r="K2" s="6" t="s">
        <v>17</v>
      </c>
      <c r="L2" s="25" t="s">
        <v>24</v>
      </c>
      <c r="M2" s="25"/>
      <c r="N2" s="25"/>
      <c r="O2" s="25"/>
      <c r="P2" s="25"/>
      <c r="Q2" s="7"/>
      <c r="R2" s="25" t="s">
        <v>28</v>
      </c>
      <c r="S2" s="25"/>
      <c r="T2" s="25"/>
      <c r="U2" s="25"/>
      <c r="V2" s="8"/>
      <c r="W2" s="25" t="s">
        <v>33</v>
      </c>
      <c r="X2" s="25"/>
      <c r="Y2" s="25"/>
      <c r="Z2" s="25"/>
    </row>
    <row r="3" spans="2:34" ht="15" customHeight="1" x14ac:dyDescent="0.25">
      <c r="B3" s="14"/>
    </row>
    <row r="4" spans="2:34" ht="30" customHeight="1" x14ac:dyDescent="0.25">
      <c r="B4" s="12" t="s">
        <v>61</v>
      </c>
      <c r="C4" s="24" t="s">
        <v>10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12">
        <f>Rok_kalendarzowy</f>
        <v>2019</v>
      </c>
    </row>
    <row r="5" spans="2:34" ht="15" customHeight="1" x14ac:dyDescent="0.25">
      <c r="B5" s="12"/>
      <c r="C5" s="2" t="str">
        <f>TEXT(WEEKDAY(DATE(Rok_kalendarzowy,10,1),1),"aaa")</f>
        <v>wt</v>
      </c>
      <c r="D5" s="2" t="str">
        <f>TEXT(WEEKDAY(DATE(Rok_kalendarzowy,10,2),1),"aaa")</f>
        <v>śr</v>
      </c>
      <c r="E5" s="2" t="str">
        <f>TEXT(WEEKDAY(DATE(Rok_kalendarzowy,10,3),1),"aaa")</f>
        <v>czw</v>
      </c>
      <c r="F5" s="2" t="str">
        <f>TEXT(WEEKDAY(DATE(Rok_kalendarzowy,10,4),1),"aaa")</f>
        <v>pt</v>
      </c>
      <c r="G5" s="2" t="str">
        <f>TEXT(WEEKDAY(DATE(Rok_kalendarzowy,10,5),1),"aaa")</f>
        <v>sob</v>
      </c>
      <c r="H5" s="2" t="str">
        <f>TEXT(WEEKDAY(DATE(Rok_kalendarzowy,10,6),1),"aaa")</f>
        <v>niedz</v>
      </c>
      <c r="I5" s="2" t="str">
        <f>TEXT(WEEKDAY(DATE(Rok_kalendarzowy,10,7),1),"aaa")</f>
        <v>pon</v>
      </c>
      <c r="J5" s="2" t="str">
        <f>TEXT(WEEKDAY(DATE(Rok_kalendarzowy,10,8),1),"aaa")</f>
        <v>wt</v>
      </c>
      <c r="K5" s="2" t="str">
        <f>TEXT(WEEKDAY(DATE(Rok_kalendarzowy,10,9),1),"aaa")</f>
        <v>śr</v>
      </c>
      <c r="L5" s="2" t="str">
        <f>TEXT(WEEKDAY(DATE(Rok_kalendarzowy,10,10),1),"aaa")</f>
        <v>czw</v>
      </c>
      <c r="M5" s="2" t="str">
        <f>TEXT(WEEKDAY(DATE(Rok_kalendarzowy,10,11),1),"aaa")</f>
        <v>pt</v>
      </c>
      <c r="N5" s="2" t="str">
        <f>TEXT(WEEKDAY(DATE(Rok_kalendarzowy,10,12),1),"aaa")</f>
        <v>sob</v>
      </c>
      <c r="O5" s="2" t="str">
        <f>TEXT(WEEKDAY(DATE(Rok_kalendarzowy,10,13),1),"aaa")</f>
        <v>niedz</v>
      </c>
      <c r="P5" s="2" t="str">
        <f>TEXT(WEEKDAY(DATE(Rok_kalendarzowy,10,14),1),"aaa")</f>
        <v>pon</v>
      </c>
      <c r="Q5" s="2" t="str">
        <f>TEXT(WEEKDAY(DATE(Rok_kalendarzowy,10,15),1),"aaa")</f>
        <v>wt</v>
      </c>
      <c r="R5" s="2" t="str">
        <f>TEXT(WEEKDAY(DATE(Rok_kalendarzowy,10,16),1),"aaa")</f>
        <v>śr</v>
      </c>
      <c r="S5" s="2" t="str">
        <f>TEXT(WEEKDAY(DATE(Rok_kalendarzowy,10,17),1),"aaa")</f>
        <v>czw</v>
      </c>
      <c r="T5" s="2" t="str">
        <f>TEXT(WEEKDAY(DATE(Rok_kalendarzowy,10,18),1),"aaa")</f>
        <v>pt</v>
      </c>
      <c r="U5" s="2" t="str">
        <f>TEXT(WEEKDAY(DATE(Rok_kalendarzowy,10,19),1),"aaa")</f>
        <v>sob</v>
      </c>
      <c r="V5" s="2" t="str">
        <f>TEXT(WEEKDAY(DATE(Rok_kalendarzowy,10,20),1),"aaa")</f>
        <v>niedz</v>
      </c>
      <c r="W5" s="2" t="str">
        <f>TEXT(WEEKDAY(DATE(Rok_kalendarzowy,10,21),1),"aaa")</f>
        <v>pon</v>
      </c>
      <c r="X5" s="2" t="str">
        <f>TEXT(WEEKDAY(DATE(Rok_kalendarzowy,10,22),1),"aaa")</f>
        <v>wt</v>
      </c>
      <c r="Y5" s="2" t="str">
        <f>TEXT(WEEKDAY(DATE(Rok_kalendarzowy,10,23),1),"aaa")</f>
        <v>śr</v>
      </c>
      <c r="Z5" s="2" t="str">
        <f>TEXT(WEEKDAY(DATE(Rok_kalendarzowy,10,24),1),"aaa")</f>
        <v>czw</v>
      </c>
      <c r="AA5" s="2" t="str">
        <f>TEXT(WEEKDAY(DATE(Rok_kalendarzowy,10,25),1),"aaa")</f>
        <v>pt</v>
      </c>
      <c r="AB5" s="2" t="str">
        <f>TEXT(WEEKDAY(DATE(Rok_kalendarzowy,10,26),1),"aaa")</f>
        <v>sob</v>
      </c>
      <c r="AC5" s="2" t="str">
        <f>TEXT(WEEKDAY(DATE(Rok_kalendarzowy,10,27),1),"aaa")</f>
        <v>niedz</v>
      </c>
      <c r="AD5" s="2" t="str">
        <f>TEXT(WEEKDAY(DATE(Rok_kalendarzowy,10,28),1),"aaa")</f>
        <v>pon</v>
      </c>
      <c r="AE5" s="2" t="str">
        <f>TEXT(WEEKDAY(DATE(Rok_kalendarzowy,10,29),1),"aaa")</f>
        <v>wt</v>
      </c>
      <c r="AF5" s="2" t="str">
        <f>TEXT(WEEKDAY(DATE(Rok_kalendarzowy,10,30),1),"aaa")</f>
        <v>śr</v>
      </c>
      <c r="AG5" s="2" t="str">
        <f>TEXT(WEEKDAY(DATE(Rok_kalendarzowy,10,31),1),"aaa")</f>
        <v>czw</v>
      </c>
      <c r="AH5" s="12"/>
    </row>
    <row r="6" spans="2:34" ht="15" customHeight="1" x14ac:dyDescent="0.25">
      <c r="B6" s="15" t="s">
        <v>3</v>
      </c>
      <c r="C6" s="3" t="s">
        <v>11</v>
      </c>
      <c r="D6" s="3" t="s">
        <v>13</v>
      </c>
      <c r="E6" s="3" t="s">
        <v>14</v>
      </c>
      <c r="F6" s="3" t="s">
        <v>16</v>
      </c>
      <c r="G6" s="3" t="s">
        <v>18</v>
      </c>
      <c r="H6" s="3" t="s">
        <v>20</v>
      </c>
      <c r="I6" s="3" t="s">
        <v>21</v>
      </c>
      <c r="J6" s="3" t="s">
        <v>22</v>
      </c>
      <c r="K6" s="3" t="s">
        <v>23</v>
      </c>
      <c r="L6" s="3" t="s">
        <v>25</v>
      </c>
      <c r="M6" s="3" t="s">
        <v>26</v>
      </c>
      <c r="N6" s="3" t="s">
        <v>27</v>
      </c>
      <c r="O6" s="3" t="s">
        <v>29</v>
      </c>
      <c r="P6" s="3" t="s">
        <v>30</v>
      </c>
      <c r="Q6" s="3" t="s">
        <v>31</v>
      </c>
      <c r="R6" s="3" t="s">
        <v>32</v>
      </c>
      <c r="S6" s="3" t="s">
        <v>34</v>
      </c>
      <c r="T6" s="3" t="s">
        <v>35</v>
      </c>
      <c r="U6" s="3" t="s">
        <v>36</v>
      </c>
      <c r="V6" s="3" t="s">
        <v>37</v>
      </c>
      <c r="W6" s="3" t="s">
        <v>38</v>
      </c>
      <c r="X6" s="3" t="s">
        <v>39</v>
      </c>
      <c r="Y6" s="3" t="s">
        <v>40</v>
      </c>
      <c r="Z6" s="3" t="s">
        <v>41</v>
      </c>
      <c r="AA6" s="3" t="s">
        <v>42</v>
      </c>
      <c r="AB6" s="3" t="s">
        <v>43</v>
      </c>
      <c r="AC6" s="3" t="s">
        <v>44</v>
      </c>
      <c r="AD6" s="3" t="s">
        <v>45</v>
      </c>
      <c r="AE6" s="3" t="s">
        <v>46</v>
      </c>
      <c r="AF6" s="3" t="s">
        <v>47</v>
      </c>
      <c r="AG6" s="3" t="s">
        <v>48</v>
      </c>
      <c r="AH6" s="16" t="s">
        <v>50</v>
      </c>
    </row>
    <row r="7" spans="2:34" ht="30" customHeight="1" x14ac:dyDescent="0.25">
      <c r="B7" s="17" t="s">
        <v>4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0">
        <f>COUNTA(Październik[[#This Row],[1]:[31]])</f>
        <v>0</v>
      </c>
    </row>
    <row r="8" spans="2:34" ht="30" customHeight="1" x14ac:dyDescent="0.25">
      <c r="B8" s="17" t="s">
        <v>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10">
        <f>COUNTA(Październik[[#This Row],[1]:[31]])</f>
        <v>0</v>
      </c>
    </row>
    <row r="9" spans="2:34" ht="30" customHeight="1" x14ac:dyDescent="0.25">
      <c r="B9" s="17" t="s">
        <v>6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10">
        <f>COUNTA(Październik[[#This Row],[1]:[31]])</f>
        <v>0</v>
      </c>
    </row>
    <row r="10" spans="2:34" ht="30" customHeight="1" x14ac:dyDescent="0.25">
      <c r="B10" s="17" t="s">
        <v>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10">
        <f>COUNTA(Październik[[#This Row],[1]:[31]])</f>
        <v>0</v>
      </c>
    </row>
    <row r="11" spans="2:34" ht="30" customHeight="1" x14ac:dyDescent="0.25">
      <c r="B11" s="17" t="s">
        <v>8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10">
        <f>COUNTA(Październik[[#This Row],[1]:[31]])</f>
        <v>0</v>
      </c>
    </row>
    <row r="12" spans="2:34" ht="30" customHeight="1" x14ac:dyDescent="0.25">
      <c r="B12" s="21" t="str">
        <f>"Suma z "&amp;Nazwa_miesiąca</f>
        <v>Suma z Październik</v>
      </c>
      <c r="C12" s="13">
        <f>SUBTOTAL(103,Październik[1])</f>
        <v>0</v>
      </c>
      <c r="D12" s="13">
        <f>SUBTOTAL(103,Październik[2])</f>
        <v>0</v>
      </c>
      <c r="E12" s="13">
        <f>SUBTOTAL(103,Październik[3])</f>
        <v>0</v>
      </c>
      <c r="F12" s="13">
        <f>SUBTOTAL(103,Październik[4])</f>
        <v>0</v>
      </c>
      <c r="G12" s="13">
        <f>SUBTOTAL(103,Październik[5])</f>
        <v>0</v>
      </c>
      <c r="H12" s="13">
        <f>SUBTOTAL(103,Październik[6])</f>
        <v>0</v>
      </c>
      <c r="I12" s="13">
        <f>SUBTOTAL(103,Październik[7])</f>
        <v>0</v>
      </c>
      <c r="J12" s="13">
        <f>SUBTOTAL(103,Październik[8])</f>
        <v>0</v>
      </c>
      <c r="K12" s="13">
        <f>SUBTOTAL(103,Październik[9])</f>
        <v>0</v>
      </c>
      <c r="L12" s="13">
        <f>SUBTOTAL(103,Październik[10])</f>
        <v>0</v>
      </c>
      <c r="M12" s="13">
        <f>SUBTOTAL(103,Październik[11])</f>
        <v>0</v>
      </c>
      <c r="N12" s="13">
        <f>SUBTOTAL(103,Październik[12])</f>
        <v>0</v>
      </c>
      <c r="O12" s="13">
        <f>SUBTOTAL(103,Październik[13])</f>
        <v>0</v>
      </c>
      <c r="P12" s="13">
        <f>SUBTOTAL(103,Październik[14])</f>
        <v>0</v>
      </c>
      <c r="Q12" s="13">
        <f>SUBTOTAL(103,Październik[15])</f>
        <v>0</v>
      </c>
      <c r="R12" s="13">
        <f>SUBTOTAL(103,Październik[16])</f>
        <v>0</v>
      </c>
      <c r="S12" s="13">
        <f>SUBTOTAL(103,Październik[17])</f>
        <v>0</v>
      </c>
      <c r="T12" s="13">
        <f>SUBTOTAL(103,Październik[18])</f>
        <v>0</v>
      </c>
      <c r="U12" s="13">
        <f>SUBTOTAL(103,Październik[19])</f>
        <v>0</v>
      </c>
      <c r="V12" s="13">
        <f>SUBTOTAL(103,Październik[20])</f>
        <v>0</v>
      </c>
      <c r="W12" s="13">
        <f>SUBTOTAL(103,Październik[21])</f>
        <v>0</v>
      </c>
      <c r="X12" s="13">
        <f>SUBTOTAL(103,Październik[22])</f>
        <v>0</v>
      </c>
      <c r="Y12" s="13">
        <f>SUBTOTAL(103,Październik[23])</f>
        <v>0</v>
      </c>
      <c r="Z12" s="13">
        <f>SUBTOTAL(103,Październik[24])</f>
        <v>0</v>
      </c>
      <c r="AA12" s="13">
        <f>SUBTOTAL(103,Październik[25])</f>
        <v>0</v>
      </c>
      <c r="AB12" s="13">
        <f>SUBTOTAL(103,Październik[26])</f>
        <v>0</v>
      </c>
      <c r="AC12" s="13">
        <f>SUBTOTAL(103,Październik[27])</f>
        <v>0</v>
      </c>
      <c r="AD12" s="13">
        <f>SUBTOTAL(103,Październik[28])</f>
        <v>0</v>
      </c>
      <c r="AE12" s="13">
        <f>SUBTOTAL(103,Październik[29])</f>
        <v>0</v>
      </c>
      <c r="AF12" s="13">
        <f>SUBTOTAL(103,Październik[30])</f>
        <v>0</v>
      </c>
      <c r="AG12" s="13">
        <f>SUBTOTAL(103,Październik[31])</f>
        <v>0</v>
      </c>
      <c r="AH12" s="13">
        <f>SUBTOTAL(109,Październik[Łączna liczba dni])</f>
        <v>0</v>
      </c>
    </row>
  </sheetData>
  <mergeCells count="6">
    <mergeCell ref="C4:AG4"/>
    <mergeCell ref="D2:F2"/>
    <mergeCell ref="H2:J2"/>
    <mergeCell ref="L2:P2"/>
    <mergeCell ref="R2:U2"/>
    <mergeCell ref="W2:Z2"/>
  </mergeCells>
  <conditionalFormatting sqref="C7:AG11">
    <cfRule type="expression" priority="1" stopIfTrue="1">
      <formula>C7=""</formula>
    </cfRule>
  </conditionalFormatting>
  <conditionalFormatting sqref="C7:AG11">
    <cfRule type="expression" dxfId="377" priority="2" stopIfTrue="1">
      <formula>C7=Klucz_niestandardowy_2</formula>
    </cfRule>
    <cfRule type="expression" dxfId="376" priority="3" stopIfTrue="1">
      <formula>C7=Klucz_niestandardowy_1</formula>
    </cfRule>
    <cfRule type="expression" dxfId="375" priority="4" stopIfTrue="1">
      <formula>C7=Klucz_Zwolnienie_lekarskie</formula>
    </cfRule>
    <cfRule type="expression" dxfId="374" priority="5" stopIfTrue="1">
      <formula>C7=Klucz_Osobiste</formula>
    </cfRule>
    <cfRule type="expression" dxfId="373" priority="6" stopIfTrue="1">
      <formula>C7=Klucz_Urlop</formula>
    </cfRule>
  </conditionalFormatting>
  <conditionalFormatting sqref="AH7:AH11">
    <cfRule type="dataBar" priority="7">
      <dataBar>
        <cfvo type="min"/>
        <cfvo type="formula" val="DATEDIF(DATE(Rok_kalendarzowy,2,1),DATE(Rok_kalendarzowy,3,1),&quot;d&quot;)"/>
        <color theme="2" tint="-0.249977111117893"/>
      </dataBar>
      <extLst>
        <ext xmlns:x14="http://schemas.microsoft.com/office/spreadsheetml/2009/9/main" uri="{B025F937-C7B1-47D3-B67F-A62EFF666E3E}">
          <x14:id>{F32A08EA-50E8-4B5F-AB1F-5A7739FBC16C}</x14:id>
        </ext>
      </extLst>
    </cfRule>
  </conditionalFormatting>
  <dataValidations count="14">
    <dataValidation allowBlank="1" showInputMessage="1" showErrorMessage="1" prompt="W tym wierszu dni tygodnia dla danego miesiąca są aktualizowane automatycznie według roku w komórce AH4. Każdy dzień miesiąca jest reprezentowany przez kolumnę, w której można zanotować nieobecność pracownika i typ nieobecności" sqref="C5" xr:uid="{00000000-0002-0000-0900-000000000000}"/>
    <dataValidation allowBlank="1" showInputMessage="1" showErrorMessage="1" prompt="Automatycznie aktualizowany rok na podstawie roku wprowadzonego w arkuszu Styczeń." sqref="AH4" xr:uid="{00000000-0002-0000-0900-000001000000}"/>
    <dataValidation allowBlank="1" showInputMessage="1" showErrorMessage="1" prompt="Ta kolumna zawiera automatycznie obliczoną łączną liczbę dni nieobecności pracownika w danym miesiącu." sqref="AH6" xr:uid="{00000000-0002-0000-0900-000002000000}"/>
    <dataValidation allowBlank="1" showInputMessage="1" showErrorMessage="1" prompt="Za pomocą tego arkusza śledź nieobecności w październiku" sqref="A1" xr:uid="{00000000-0002-0000-0900-000003000000}"/>
    <dataValidation errorStyle="warning" allowBlank="1" showInputMessage="1" showErrorMessage="1" error="Wybierz nazwisko z listy. Wybierz pozycję ANULUJ, a następnie naciśnij klawisze ALT+STRZAŁKA W DÓŁ i klawisz ENTER, aby wybrać nazwisko" prompt="Wprowadź nazwiska pracowników w arkuszu Nazwiska pracowników, a następnie wybierz jedno z tych nazwisk z listy w tej kolumnie. Naciśnij klawisze ALT+STRZAŁKA W DÓŁ, a następnie klawisz ENTER, aby wybrać nazwisko" sqref="B6" xr:uid="{00000000-0002-0000-0900-000004000000}"/>
    <dataValidation allowBlank="1" showInputMessage="1" showErrorMessage="1" prompt="W tej komórce znajduje się tytuł aktualizowany automatycznie. Aby zmodyfikować tytuł, zaktualizuj komórkę B1 w arkuszu Styczeń" sqref="B1" xr:uid="{00000000-0002-0000-0900-000005000000}"/>
    <dataValidation allowBlank="1" showInputMessage="1" showErrorMessage="1" prompt="Litera „U” oznacza nieobecność ze względu na urlop" sqref="C2" xr:uid="{00000000-0002-0000-0900-000006000000}"/>
    <dataValidation allowBlank="1" showInputMessage="1" showErrorMessage="1" prompt="Litera „O” oznacza nieobecność ze względu na sprawy osobiste" sqref="G2" xr:uid="{00000000-0002-0000-0900-000007000000}"/>
    <dataValidation allowBlank="1" showInputMessage="1" showErrorMessage="1" prompt="Litera „Z” oznacza nieobecność ze względu na zwolnienie lekarskie" sqref="K2" xr:uid="{00000000-0002-0000-0900-000008000000}"/>
    <dataValidation allowBlank="1" showInputMessage="1" showErrorMessage="1" prompt="Wprowadź literę i dostosuj etykietę po prawej, aby dodać kolejny element klucza." sqref="Q2 V2" xr:uid="{00000000-0002-0000-0900-000009000000}"/>
    <dataValidation allowBlank="1" showInputMessage="1" showErrorMessage="1" prompt="Wprowadź etykietę, aby opisać klucz niestandardowy po lewej stronie." sqref="R2 W2" xr:uid="{00000000-0002-0000-0900-00000A000000}"/>
    <dataValidation allowBlank="1" showInputMessage="1" showErrorMessage="1" prompt="Ten wiersz definiuje klucze używane w tabeli: komórka C2 to urlop, G2 to sprawy osobiste, a K2 to zwolnienie lekarskie. Komórki N2 i R2 można dostosować" sqref="B2" xr:uid="{00000000-0002-0000-0900-00000B000000}"/>
    <dataValidation allowBlank="1" showInputMessage="1" showErrorMessage="1" prompt="W tej komórce znajduje się nazwa miesiąca dla tego harmonogramu nieobecności. Suma nieobecności w tym miesiącu znajduje się w ostatniej komórce tabeli. W kolumnie B tabeli wybierz nazwiska pracowników" sqref="B4" xr:uid="{00000000-0002-0000-0900-00000C000000}"/>
    <dataValidation allowBlank="1" showInputMessage="1" showErrorMessage="1" prompt="Dni miesiąca w tym wierszu są generowane automatycznie. Wprowadź nieobecność pracownika i typ nieobecności w każdej kolumnie dla każdego dnia danego miesiąca. Puste pole oznacza brak nieobecności." sqref="C6" xr:uid="{00000000-0002-0000-0900-00000D000000}"/>
  </dataValidations>
  <printOptions horizontalCentered="1"/>
  <pageMargins left="0.25" right="0.25" top="0.75" bottom="0.75" header="0.3" footer="0.3"/>
  <pageSetup paperSize="9" scale="73" fitToHeight="0" orientation="landscape" verticalDpi="4294967293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32A08EA-50E8-4B5F-AB1F-5A7739FBC16C}">
            <x14:dataBar minLength="0" maxLength="100">
              <x14:cfvo type="autoMin"/>
              <x14:cfvo type="formula">
                <xm:f>DATEDIF(DATE(Rok_kalendarzowy,2,1),DATE(Rok_kalendarzowy,3,1),"d")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900-00000E000000}">
          <x14:formula1>
            <xm:f>'Nazwiska pracowników'!$B$4:$B$8</xm:f>
          </x14:formula1>
          <xm:sqref>B7:B11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2" tint="-0.249977111117893"/>
    <pageSetUpPr fitToPage="1"/>
  </sheetPr>
  <dimension ref="A1:AH12"/>
  <sheetViews>
    <sheetView showGridLines="0" zoomScaleNormal="100" workbookViewId="0"/>
  </sheetViews>
  <sheetFormatPr defaultRowHeight="30" customHeight="1" x14ac:dyDescent="0.25"/>
  <cols>
    <col min="1" max="1" width="2.7109375" style="11" customWidth="1"/>
    <col min="2" max="2" width="28.42578125" style="11" customWidth="1"/>
    <col min="3" max="33" width="5.7109375" style="11" customWidth="1"/>
    <col min="34" max="34" width="17.28515625" style="11" customWidth="1"/>
    <col min="35" max="35" width="2.7109375" customWidth="1"/>
  </cols>
  <sheetData>
    <row r="1" spans="2:34" ht="50.1" customHeight="1" x14ac:dyDescent="0.25">
      <c r="B1" s="14" t="str">
        <f>Tytuł_Nieobecności_pracowników</f>
        <v>Harmonogram nieobecności pracowników</v>
      </c>
    </row>
    <row r="2" spans="2:34" ht="15" customHeight="1" x14ac:dyDescent="0.25">
      <c r="B2" s="19" t="s">
        <v>1</v>
      </c>
      <c r="C2" s="4" t="s">
        <v>9</v>
      </c>
      <c r="D2" s="25" t="s">
        <v>12</v>
      </c>
      <c r="E2" s="25"/>
      <c r="F2" s="25"/>
      <c r="G2" s="5" t="s">
        <v>15</v>
      </c>
      <c r="H2" s="25" t="s">
        <v>19</v>
      </c>
      <c r="I2" s="25"/>
      <c r="J2" s="25"/>
      <c r="K2" s="6" t="s">
        <v>17</v>
      </c>
      <c r="L2" s="25" t="s">
        <v>24</v>
      </c>
      <c r="M2" s="25"/>
      <c r="N2" s="25"/>
      <c r="O2" s="25"/>
      <c r="P2" s="25"/>
      <c r="Q2" s="7"/>
      <c r="R2" s="25" t="s">
        <v>28</v>
      </c>
      <c r="S2" s="25"/>
      <c r="T2" s="25"/>
      <c r="U2" s="25"/>
      <c r="V2" s="8"/>
      <c r="W2" s="25" t="s">
        <v>33</v>
      </c>
      <c r="X2" s="25"/>
      <c r="Y2" s="25"/>
      <c r="Z2" s="25"/>
    </row>
    <row r="3" spans="2:34" ht="15" customHeight="1" x14ac:dyDescent="0.25">
      <c r="B3" s="14"/>
    </row>
    <row r="4" spans="2:34" ht="30" customHeight="1" x14ac:dyDescent="0.25">
      <c r="B4" s="12" t="s">
        <v>62</v>
      </c>
      <c r="C4" s="24" t="s">
        <v>10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12">
        <f>Rok_kalendarzowy</f>
        <v>2019</v>
      </c>
    </row>
    <row r="5" spans="2:34" ht="15" customHeight="1" x14ac:dyDescent="0.25">
      <c r="B5" s="12"/>
      <c r="C5" s="2" t="str">
        <f>TEXT(WEEKDAY(DATE(Rok_kalendarzowy,11,1),1),"aaa")</f>
        <v>pt</v>
      </c>
      <c r="D5" s="2" t="str">
        <f>TEXT(WEEKDAY(DATE(Rok_kalendarzowy,11,2),1),"aaa")</f>
        <v>sob</v>
      </c>
      <c r="E5" s="2" t="str">
        <f>TEXT(WEEKDAY(DATE(Rok_kalendarzowy,11,3),1),"aaa")</f>
        <v>niedz</v>
      </c>
      <c r="F5" s="2" t="str">
        <f>TEXT(WEEKDAY(DATE(Rok_kalendarzowy,11,4),1),"aaa")</f>
        <v>pon</v>
      </c>
      <c r="G5" s="2" t="str">
        <f>TEXT(WEEKDAY(DATE(Rok_kalendarzowy,11,5),1),"aaa")</f>
        <v>wt</v>
      </c>
      <c r="H5" s="2" t="str">
        <f>TEXT(WEEKDAY(DATE(Rok_kalendarzowy,11,6),1),"aaa")</f>
        <v>śr</v>
      </c>
      <c r="I5" s="2" t="str">
        <f>TEXT(WEEKDAY(DATE(Rok_kalendarzowy,11,7),1),"aaa")</f>
        <v>czw</v>
      </c>
      <c r="J5" s="2" t="str">
        <f>TEXT(WEEKDAY(DATE(Rok_kalendarzowy,11,8),1),"aaa")</f>
        <v>pt</v>
      </c>
      <c r="K5" s="2" t="str">
        <f>TEXT(WEEKDAY(DATE(Rok_kalendarzowy,11,9),1),"aaa")</f>
        <v>sob</v>
      </c>
      <c r="L5" s="2" t="str">
        <f>TEXT(WEEKDAY(DATE(Rok_kalendarzowy,11,10),1),"aaa")</f>
        <v>niedz</v>
      </c>
      <c r="M5" s="2" t="str">
        <f>TEXT(WEEKDAY(DATE(Rok_kalendarzowy,11,11),1),"aaa")</f>
        <v>pon</v>
      </c>
      <c r="N5" s="2" t="str">
        <f>TEXT(WEEKDAY(DATE(Rok_kalendarzowy,11,12),1),"aaa")</f>
        <v>wt</v>
      </c>
      <c r="O5" s="2" t="str">
        <f>TEXT(WEEKDAY(DATE(Rok_kalendarzowy,11,13),1),"aaa")</f>
        <v>śr</v>
      </c>
      <c r="P5" s="2" t="str">
        <f>TEXT(WEEKDAY(DATE(Rok_kalendarzowy,11,14),1),"aaa")</f>
        <v>czw</v>
      </c>
      <c r="Q5" s="2" t="str">
        <f>TEXT(WEEKDAY(DATE(Rok_kalendarzowy,11,15),1),"aaa")</f>
        <v>pt</v>
      </c>
      <c r="R5" s="2" t="str">
        <f>TEXT(WEEKDAY(DATE(Rok_kalendarzowy,11,16),1),"aaa")</f>
        <v>sob</v>
      </c>
      <c r="S5" s="2" t="str">
        <f>TEXT(WEEKDAY(DATE(Rok_kalendarzowy,11,17),1),"aaa")</f>
        <v>niedz</v>
      </c>
      <c r="T5" s="2" t="str">
        <f>TEXT(WEEKDAY(DATE(Rok_kalendarzowy,11,18),1),"aaa")</f>
        <v>pon</v>
      </c>
      <c r="U5" s="2" t="str">
        <f>TEXT(WEEKDAY(DATE(Rok_kalendarzowy,11,19),1),"aaa")</f>
        <v>wt</v>
      </c>
      <c r="V5" s="2" t="str">
        <f>TEXT(WEEKDAY(DATE(Rok_kalendarzowy,11,20),1),"aaa")</f>
        <v>śr</v>
      </c>
      <c r="W5" s="2" t="str">
        <f>TEXT(WEEKDAY(DATE(Rok_kalendarzowy,11,21),1),"aaa")</f>
        <v>czw</v>
      </c>
      <c r="X5" s="2" t="str">
        <f>TEXT(WEEKDAY(DATE(Rok_kalendarzowy,11,22),1),"aaa")</f>
        <v>pt</v>
      </c>
      <c r="Y5" s="2" t="str">
        <f>TEXT(WEEKDAY(DATE(Rok_kalendarzowy,11,23),1),"aaa")</f>
        <v>sob</v>
      </c>
      <c r="Z5" s="2" t="str">
        <f>TEXT(WEEKDAY(DATE(Rok_kalendarzowy,11,24),1),"aaa")</f>
        <v>niedz</v>
      </c>
      <c r="AA5" s="2" t="str">
        <f>TEXT(WEEKDAY(DATE(Rok_kalendarzowy,11,25),1),"aaa")</f>
        <v>pon</v>
      </c>
      <c r="AB5" s="2" t="str">
        <f>TEXT(WEEKDAY(DATE(Rok_kalendarzowy,11,26),1),"aaa")</f>
        <v>wt</v>
      </c>
      <c r="AC5" s="2" t="str">
        <f>TEXT(WEEKDAY(DATE(Rok_kalendarzowy,11,27),1),"aaa")</f>
        <v>śr</v>
      </c>
      <c r="AD5" s="2" t="str">
        <f>TEXT(WEEKDAY(DATE(Rok_kalendarzowy,11,28),1),"aaa")</f>
        <v>czw</v>
      </c>
      <c r="AE5" s="2" t="str">
        <f>TEXT(WEEKDAY(DATE(Rok_kalendarzowy,11,29),1),"aaa")</f>
        <v>pt</v>
      </c>
      <c r="AF5" s="2" t="str">
        <f>TEXT(WEEKDAY(DATE(Rok_kalendarzowy,11,30),1),"aaa")</f>
        <v>sob</v>
      </c>
      <c r="AG5" s="2"/>
      <c r="AH5" s="12"/>
    </row>
    <row r="6" spans="2:34" ht="15" customHeight="1" x14ac:dyDescent="0.25">
      <c r="B6" s="15" t="s">
        <v>3</v>
      </c>
      <c r="C6" s="3" t="s">
        <v>11</v>
      </c>
      <c r="D6" s="3" t="s">
        <v>13</v>
      </c>
      <c r="E6" s="3" t="s">
        <v>14</v>
      </c>
      <c r="F6" s="3" t="s">
        <v>16</v>
      </c>
      <c r="G6" s="3" t="s">
        <v>18</v>
      </c>
      <c r="H6" s="3" t="s">
        <v>20</v>
      </c>
      <c r="I6" s="3" t="s">
        <v>21</v>
      </c>
      <c r="J6" s="3" t="s">
        <v>22</v>
      </c>
      <c r="K6" s="3" t="s">
        <v>23</v>
      </c>
      <c r="L6" s="3" t="s">
        <v>25</v>
      </c>
      <c r="M6" s="3" t="s">
        <v>26</v>
      </c>
      <c r="N6" s="3" t="s">
        <v>27</v>
      </c>
      <c r="O6" s="3" t="s">
        <v>29</v>
      </c>
      <c r="P6" s="3" t="s">
        <v>30</v>
      </c>
      <c r="Q6" s="3" t="s">
        <v>31</v>
      </c>
      <c r="R6" s="3" t="s">
        <v>32</v>
      </c>
      <c r="S6" s="3" t="s">
        <v>34</v>
      </c>
      <c r="T6" s="3" t="s">
        <v>35</v>
      </c>
      <c r="U6" s="3" t="s">
        <v>36</v>
      </c>
      <c r="V6" s="3" t="s">
        <v>37</v>
      </c>
      <c r="W6" s="3" t="s">
        <v>38</v>
      </c>
      <c r="X6" s="3" t="s">
        <v>39</v>
      </c>
      <c r="Y6" s="3" t="s">
        <v>40</v>
      </c>
      <c r="Z6" s="3" t="s">
        <v>41</v>
      </c>
      <c r="AA6" s="3" t="s">
        <v>42</v>
      </c>
      <c r="AB6" s="3" t="s">
        <v>43</v>
      </c>
      <c r="AC6" s="3" t="s">
        <v>44</v>
      </c>
      <c r="AD6" s="3" t="s">
        <v>45</v>
      </c>
      <c r="AE6" s="3" t="s">
        <v>46</v>
      </c>
      <c r="AF6" s="3" t="s">
        <v>47</v>
      </c>
      <c r="AG6" s="3" t="s">
        <v>52</v>
      </c>
      <c r="AH6" s="16" t="s">
        <v>50</v>
      </c>
    </row>
    <row r="7" spans="2:34" ht="30" customHeight="1" x14ac:dyDescent="0.25">
      <c r="B7" s="17" t="s">
        <v>4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0">
        <f>COUNTA(Listopad[[#This Row],[1]:[30]])</f>
        <v>0</v>
      </c>
    </row>
    <row r="8" spans="2:34" ht="30" customHeight="1" x14ac:dyDescent="0.25">
      <c r="B8" s="17" t="s">
        <v>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10">
        <f>COUNTA(Listopad[[#This Row],[1]:[30]])</f>
        <v>0</v>
      </c>
    </row>
    <row r="9" spans="2:34" ht="30" customHeight="1" x14ac:dyDescent="0.25">
      <c r="B9" s="17" t="s">
        <v>6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10">
        <f>COUNTA(Listopad[[#This Row],[1]:[30]])</f>
        <v>0</v>
      </c>
    </row>
    <row r="10" spans="2:34" ht="30" customHeight="1" x14ac:dyDescent="0.25">
      <c r="B10" s="17" t="s">
        <v>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10">
        <f>COUNTA(Listopad[[#This Row],[1]:[30]])</f>
        <v>0</v>
      </c>
    </row>
    <row r="11" spans="2:34" ht="30" customHeight="1" x14ac:dyDescent="0.25">
      <c r="B11" s="17" t="s">
        <v>8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10">
        <f>COUNTA(Listopad[[#This Row],[1]:[30]])</f>
        <v>0</v>
      </c>
    </row>
    <row r="12" spans="2:34" ht="30" customHeight="1" x14ac:dyDescent="0.25">
      <c r="B12" s="21" t="str">
        <f>"Suma z "&amp;Nazwa_miesiąca</f>
        <v>Suma z Listopad</v>
      </c>
      <c r="C12" s="13">
        <f>SUBTOTAL(103,Listopad[1])</f>
        <v>0</v>
      </c>
      <c r="D12" s="13">
        <f>SUBTOTAL(103,Listopad[2])</f>
        <v>0</v>
      </c>
      <c r="E12" s="13">
        <f>SUBTOTAL(103,Listopad[3])</f>
        <v>0</v>
      </c>
      <c r="F12" s="13">
        <f>SUBTOTAL(103,Listopad[4])</f>
        <v>0</v>
      </c>
      <c r="G12" s="13">
        <f>SUBTOTAL(103,Listopad[5])</f>
        <v>0</v>
      </c>
      <c r="H12" s="13">
        <f>SUBTOTAL(103,Listopad[6])</f>
        <v>0</v>
      </c>
      <c r="I12" s="13">
        <f>SUBTOTAL(103,Listopad[7])</f>
        <v>0</v>
      </c>
      <c r="J12" s="13">
        <f>SUBTOTAL(103,Listopad[8])</f>
        <v>0</v>
      </c>
      <c r="K12" s="13">
        <f>SUBTOTAL(103,Listopad[9])</f>
        <v>0</v>
      </c>
      <c r="L12" s="13">
        <f>SUBTOTAL(103,Listopad[10])</f>
        <v>0</v>
      </c>
      <c r="M12" s="13">
        <f>SUBTOTAL(103,Listopad[11])</f>
        <v>0</v>
      </c>
      <c r="N12" s="13">
        <f>SUBTOTAL(103,Listopad[12])</f>
        <v>0</v>
      </c>
      <c r="O12" s="13">
        <f>SUBTOTAL(103,Listopad[13])</f>
        <v>0</v>
      </c>
      <c r="P12" s="13">
        <f>SUBTOTAL(103,Listopad[14])</f>
        <v>0</v>
      </c>
      <c r="Q12" s="13">
        <f>SUBTOTAL(103,Listopad[15])</f>
        <v>0</v>
      </c>
      <c r="R12" s="13">
        <f>SUBTOTAL(103,Listopad[16])</f>
        <v>0</v>
      </c>
      <c r="S12" s="13">
        <f>SUBTOTAL(103,Listopad[17])</f>
        <v>0</v>
      </c>
      <c r="T12" s="13">
        <f>SUBTOTAL(103,Listopad[18])</f>
        <v>0</v>
      </c>
      <c r="U12" s="13">
        <f>SUBTOTAL(103,Listopad[19])</f>
        <v>0</v>
      </c>
      <c r="V12" s="13">
        <f>SUBTOTAL(103,Listopad[20])</f>
        <v>0</v>
      </c>
      <c r="W12" s="13">
        <f>SUBTOTAL(103,Listopad[21])</f>
        <v>0</v>
      </c>
      <c r="X12" s="13">
        <f>SUBTOTAL(103,Listopad[22])</f>
        <v>0</v>
      </c>
      <c r="Y12" s="13">
        <f>SUBTOTAL(103,Listopad[23])</f>
        <v>0</v>
      </c>
      <c r="Z12" s="13">
        <f>SUBTOTAL(103,Listopad[24])</f>
        <v>0</v>
      </c>
      <c r="AA12" s="13">
        <f>SUBTOTAL(103,Listopad[25])</f>
        <v>0</v>
      </c>
      <c r="AB12" s="13">
        <f>SUBTOTAL(103,Listopad[26])</f>
        <v>0</v>
      </c>
      <c r="AC12" s="13">
        <f>SUBTOTAL(103,Listopad[27])</f>
        <v>0</v>
      </c>
      <c r="AD12" s="13">
        <f>SUBTOTAL(103,Listopad[28])</f>
        <v>0</v>
      </c>
      <c r="AE12" s="13">
        <f>SUBTOTAL(103,Listopad[29])</f>
        <v>0</v>
      </c>
      <c r="AF12" s="13">
        <f>SUBTOTAL(103,Listopad[30])</f>
        <v>0</v>
      </c>
      <c r="AG12" s="13">
        <f>SUBTOTAL(103,Listopad[[ ]])</f>
        <v>0</v>
      </c>
      <c r="AH12" s="13">
        <f>SUBTOTAL(109,Listopad[Łączna liczba dni])</f>
        <v>0</v>
      </c>
    </row>
  </sheetData>
  <mergeCells count="6">
    <mergeCell ref="C4:AG4"/>
    <mergeCell ref="D2:F2"/>
    <mergeCell ref="H2:J2"/>
    <mergeCell ref="L2:P2"/>
    <mergeCell ref="R2:U2"/>
    <mergeCell ref="W2:Z2"/>
  </mergeCells>
  <conditionalFormatting sqref="C7:AG11">
    <cfRule type="expression" priority="1" stopIfTrue="1">
      <formula>C7=""</formula>
    </cfRule>
  </conditionalFormatting>
  <conditionalFormatting sqref="C7:AG11">
    <cfRule type="expression" dxfId="372" priority="2" stopIfTrue="1">
      <formula>C7=Klucz_niestandardowy_2</formula>
    </cfRule>
    <cfRule type="expression" dxfId="371" priority="3" stopIfTrue="1">
      <formula>C7=Klucz_niestandardowy_1</formula>
    </cfRule>
    <cfRule type="expression" dxfId="370" priority="4" stopIfTrue="1">
      <formula>C7=Klucz_Zwolnienie_lekarskie</formula>
    </cfRule>
    <cfRule type="expression" dxfId="369" priority="5" stopIfTrue="1">
      <formula>C7=Klucz_Osobiste</formula>
    </cfRule>
    <cfRule type="expression" dxfId="368" priority="6" stopIfTrue="1">
      <formula>C7=Klucz_Urlop</formula>
    </cfRule>
  </conditionalFormatting>
  <conditionalFormatting sqref="AH7:AH11">
    <cfRule type="dataBar" priority="7">
      <dataBar>
        <cfvo type="min"/>
        <cfvo type="formula" val="DATEDIF(DATE(Rok_kalendarzowy,2,1),DATE(Rok_kalendarzowy,3,1),&quot;d&quot;)"/>
        <color theme="2" tint="-0.249977111117893"/>
      </dataBar>
      <extLst>
        <ext xmlns:x14="http://schemas.microsoft.com/office/spreadsheetml/2009/9/main" uri="{B025F937-C7B1-47D3-B67F-A62EFF666E3E}">
          <x14:id>{27D92E49-5CF1-46DF-AD7A-3A5E92F274F3}</x14:id>
        </ext>
      </extLst>
    </cfRule>
  </conditionalFormatting>
  <dataValidations count="14">
    <dataValidation allowBlank="1" showInputMessage="1" showErrorMessage="1" prompt="Dni miesiąca w tym wierszu są generowane automatycznie. Wprowadź nieobecność pracownika i typ nieobecności w każdej kolumnie dla każdego dnia danego miesiąca. Puste pole oznacza brak nieobecności." sqref="C6" xr:uid="{00000000-0002-0000-0A00-000000000000}"/>
    <dataValidation allowBlank="1" showInputMessage="1" showErrorMessage="1" prompt="W tej komórce znajduje się nazwa miesiąca dla tego harmonogramu nieobecności. Suma nieobecności w tym miesiącu znajduje się w ostatniej komórce tabeli. W kolumnie B tabeli wybierz nazwiska pracowników" sqref="B4" xr:uid="{00000000-0002-0000-0A00-000001000000}"/>
    <dataValidation allowBlank="1" showInputMessage="1" showErrorMessage="1" prompt="Ten wiersz definiuje klucze używane w tabeli: komórka C2 to urlop, G2 to sprawy osobiste, a K2 to zwolnienie lekarskie. Komórki N2 i R2 można dostosować" sqref="B2" xr:uid="{00000000-0002-0000-0A00-000002000000}"/>
    <dataValidation allowBlank="1" showInputMessage="1" showErrorMessage="1" prompt="Wprowadź etykietę, aby opisać klucz niestandardowy po lewej stronie." sqref="R2 W2" xr:uid="{00000000-0002-0000-0A00-000003000000}"/>
    <dataValidation allowBlank="1" showInputMessage="1" showErrorMessage="1" prompt="Wprowadź literę i dostosuj etykietę po prawej, aby dodać kolejny element klucza." sqref="Q2 V2" xr:uid="{00000000-0002-0000-0A00-000004000000}"/>
    <dataValidation allowBlank="1" showInputMessage="1" showErrorMessage="1" prompt="Litera „Z” oznacza nieobecność ze względu na zwolnienie lekarskie" sqref="K2" xr:uid="{00000000-0002-0000-0A00-000005000000}"/>
    <dataValidation allowBlank="1" showInputMessage="1" showErrorMessage="1" prompt="Litera „O” oznacza nieobecność ze względu na sprawy osobiste" sqref="G2" xr:uid="{00000000-0002-0000-0A00-000006000000}"/>
    <dataValidation allowBlank="1" showInputMessage="1" showErrorMessage="1" prompt="Litera „U” oznacza nieobecność ze względu na urlop" sqref="C2" xr:uid="{00000000-0002-0000-0A00-000007000000}"/>
    <dataValidation allowBlank="1" showInputMessage="1" showErrorMessage="1" prompt="W tej komórce znajduje się tytuł aktualizowany automatycznie. Aby zmodyfikować tytuł, zaktualizuj komórkę B1 w arkuszu Styczeń" sqref="B1" xr:uid="{00000000-0002-0000-0A00-000008000000}"/>
    <dataValidation errorStyle="warning" allowBlank="1" showInputMessage="1" showErrorMessage="1" error="Wybierz nazwisko z listy. Wybierz pozycję ANULUJ, a następnie naciśnij klawisze ALT+STRZAŁKA W DÓŁ i klawisz ENTER, aby wybrać nazwisko" prompt="Wprowadź nazwiska pracowników w arkuszu Nazwiska pracowników, a następnie wybierz jedno z tych nazwisk z listy w tej kolumnie. Naciśnij klawisze ALT+STRZAŁKA W DÓŁ, a następnie klawisz ENTER, aby wybrać nazwisko" sqref="B6" xr:uid="{00000000-0002-0000-0A00-000009000000}"/>
    <dataValidation allowBlank="1" showInputMessage="1" showErrorMessage="1" prompt="Za pomocą tego arkusza śledź nieobecności w listopadzie" sqref="A1" xr:uid="{00000000-0002-0000-0A00-00000A000000}"/>
    <dataValidation allowBlank="1" showInputMessage="1" showErrorMessage="1" prompt="Ta kolumna zawiera automatycznie obliczoną łączną liczbę dni nieobecności pracownika w danym miesiącu." sqref="AH6" xr:uid="{00000000-0002-0000-0A00-00000B000000}"/>
    <dataValidation allowBlank="1" showInputMessage="1" showErrorMessage="1" prompt="Automatycznie aktualizowany rok na podstawie roku wprowadzonego w arkuszu Styczeń." sqref="AH4" xr:uid="{00000000-0002-0000-0A00-00000C000000}"/>
    <dataValidation allowBlank="1" showInputMessage="1" showErrorMessage="1" prompt="W tym wierszu dni tygodnia dla danego miesiąca są aktualizowane automatycznie według roku w komórce AH4. Każdy dzień miesiąca jest reprezentowany przez kolumnę, w której można zanotować nieobecność pracownika i typ nieobecności" sqref="C5" xr:uid="{00000000-0002-0000-0A00-00000D000000}"/>
  </dataValidations>
  <printOptions horizontalCentered="1"/>
  <pageMargins left="0.25" right="0.25" top="0.75" bottom="0.75" header="0.3" footer="0.3"/>
  <pageSetup paperSize="9" scale="73" fitToHeight="0" orientation="landscape" verticalDpi="4294967293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7D92E49-5CF1-46DF-AD7A-3A5E92F274F3}">
            <x14:dataBar minLength="0" maxLength="100">
              <x14:cfvo type="autoMin"/>
              <x14:cfvo type="formula">
                <xm:f>DATEDIF(DATE(Rok_kalendarzowy,2,1),DATE(Rok_kalendarzowy,3,1),"d")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A00-00000E000000}">
          <x14:formula1>
            <xm:f>'Nazwiska pracowników'!$B$4:$B$8</xm:f>
          </x14:formula1>
          <xm:sqref>B7:B11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7" tint="0.79998168889431442"/>
    <pageSetUpPr fitToPage="1"/>
  </sheetPr>
  <dimension ref="A1:AH12"/>
  <sheetViews>
    <sheetView showGridLines="0" zoomScaleNormal="100" workbookViewId="0"/>
  </sheetViews>
  <sheetFormatPr defaultRowHeight="30" customHeight="1" x14ac:dyDescent="0.25"/>
  <cols>
    <col min="1" max="1" width="2.7109375" style="11" customWidth="1"/>
    <col min="2" max="2" width="28.42578125" style="11" customWidth="1"/>
    <col min="3" max="33" width="5.7109375" style="11" customWidth="1"/>
    <col min="34" max="34" width="17.28515625" style="11" customWidth="1"/>
    <col min="35" max="35" width="2.7109375" customWidth="1"/>
  </cols>
  <sheetData>
    <row r="1" spans="2:34" ht="50.1" customHeight="1" x14ac:dyDescent="0.25">
      <c r="B1" s="14" t="str">
        <f>Tytuł_Nieobecności_pracowników</f>
        <v>Harmonogram nieobecności pracowników</v>
      </c>
    </row>
    <row r="2" spans="2:34" ht="15" customHeight="1" x14ac:dyDescent="0.25">
      <c r="B2" s="19" t="s">
        <v>1</v>
      </c>
      <c r="C2" s="4" t="s">
        <v>9</v>
      </c>
      <c r="D2" s="25" t="s">
        <v>12</v>
      </c>
      <c r="E2" s="25"/>
      <c r="F2" s="25"/>
      <c r="G2" s="5" t="s">
        <v>15</v>
      </c>
      <c r="H2" s="25" t="s">
        <v>19</v>
      </c>
      <c r="I2" s="25"/>
      <c r="J2" s="25"/>
      <c r="K2" s="6" t="s">
        <v>17</v>
      </c>
      <c r="L2" s="25" t="s">
        <v>24</v>
      </c>
      <c r="M2" s="25"/>
      <c r="N2" s="25"/>
      <c r="O2" s="25"/>
      <c r="P2" s="25"/>
      <c r="Q2" s="7"/>
      <c r="R2" s="25" t="s">
        <v>28</v>
      </c>
      <c r="S2" s="25"/>
      <c r="T2" s="25"/>
      <c r="U2" s="25"/>
      <c r="V2" s="8"/>
      <c r="W2" s="25" t="s">
        <v>33</v>
      </c>
      <c r="X2" s="25"/>
      <c r="Y2" s="25"/>
      <c r="Z2" s="25"/>
    </row>
    <row r="3" spans="2:34" ht="15" customHeight="1" x14ac:dyDescent="0.25">
      <c r="B3" s="14"/>
    </row>
    <row r="4" spans="2:34" ht="30" customHeight="1" x14ac:dyDescent="0.25">
      <c r="B4" s="12" t="s">
        <v>63</v>
      </c>
      <c r="C4" s="24" t="s">
        <v>10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12">
        <f>Rok_kalendarzowy</f>
        <v>2019</v>
      </c>
    </row>
    <row r="5" spans="2:34" ht="15" customHeight="1" x14ac:dyDescent="0.25">
      <c r="B5" s="12"/>
      <c r="C5" s="2" t="str">
        <f>TEXT(WEEKDAY(DATE(Rok_kalendarzowy,12,1),1),"aaa")</f>
        <v>niedz</v>
      </c>
      <c r="D5" s="2" t="str">
        <f>TEXT(WEEKDAY(DATE(Rok_kalendarzowy,12,2),1),"aaa")</f>
        <v>pon</v>
      </c>
      <c r="E5" s="2" t="str">
        <f>TEXT(WEEKDAY(DATE(Rok_kalendarzowy,12,3),1),"aaa")</f>
        <v>wt</v>
      </c>
      <c r="F5" s="2" t="str">
        <f>TEXT(WEEKDAY(DATE(Rok_kalendarzowy,12,4),1),"aaa")</f>
        <v>śr</v>
      </c>
      <c r="G5" s="2" t="str">
        <f>TEXT(WEEKDAY(DATE(Rok_kalendarzowy,12,5),1),"aaa")</f>
        <v>czw</v>
      </c>
      <c r="H5" s="2" t="str">
        <f>TEXT(WEEKDAY(DATE(Rok_kalendarzowy,12,6),1),"aaa")</f>
        <v>pt</v>
      </c>
      <c r="I5" s="2" t="str">
        <f>TEXT(WEEKDAY(DATE(Rok_kalendarzowy,12,7),1),"aaa")</f>
        <v>sob</v>
      </c>
      <c r="J5" s="2" t="str">
        <f>TEXT(WEEKDAY(DATE(Rok_kalendarzowy,12,8),1),"aaa")</f>
        <v>niedz</v>
      </c>
      <c r="K5" s="2" t="str">
        <f>TEXT(WEEKDAY(DATE(Rok_kalendarzowy,12,9),1),"aaa")</f>
        <v>pon</v>
      </c>
      <c r="L5" s="2" t="str">
        <f>TEXT(WEEKDAY(DATE(Rok_kalendarzowy,12,10),1),"aaa")</f>
        <v>wt</v>
      </c>
      <c r="M5" s="2" t="str">
        <f>TEXT(WEEKDAY(DATE(Rok_kalendarzowy,12,11),1),"aaa")</f>
        <v>śr</v>
      </c>
      <c r="N5" s="2" t="str">
        <f>TEXT(WEEKDAY(DATE(Rok_kalendarzowy,12,12),1),"aaa")</f>
        <v>czw</v>
      </c>
      <c r="O5" s="2" t="str">
        <f>TEXT(WEEKDAY(DATE(Rok_kalendarzowy,12,13),1),"aaa")</f>
        <v>pt</v>
      </c>
      <c r="P5" s="2" t="str">
        <f>TEXT(WEEKDAY(DATE(Rok_kalendarzowy,12,14),1),"aaa")</f>
        <v>sob</v>
      </c>
      <c r="Q5" s="2" t="str">
        <f>TEXT(WEEKDAY(DATE(Rok_kalendarzowy,12,15),1),"aaa")</f>
        <v>niedz</v>
      </c>
      <c r="R5" s="2" t="str">
        <f>TEXT(WEEKDAY(DATE(Rok_kalendarzowy,12,16),1),"aaa")</f>
        <v>pon</v>
      </c>
      <c r="S5" s="2" t="str">
        <f>TEXT(WEEKDAY(DATE(Rok_kalendarzowy,12,17),1),"aaa")</f>
        <v>wt</v>
      </c>
      <c r="T5" s="2" t="str">
        <f>TEXT(WEEKDAY(DATE(Rok_kalendarzowy,12,18),1),"aaa")</f>
        <v>śr</v>
      </c>
      <c r="U5" s="2" t="str">
        <f>TEXT(WEEKDAY(DATE(Rok_kalendarzowy,12,19),1),"aaa")</f>
        <v>czw</v>
      </c>
      <c r="V5" s="2" t="str">
        <f>TEXT(WEEKDAY(DATE(Rok_kalendarzowy,12,20),1),"aaa")</f>
        <v>pt</v>
      </c>
      <c r="W5" s="2" t="str">
        <f>TEXT(WEEKDAY(DATE(Rok_kalendarzowy,12,21),1),"aaa")</f>
        <v>sob</v>
      </c>
      <c r="X5" s="2" t="str">
        <f>TEXT(WEEKDAY(DATE(Rok_kalendarzowy,12,22),1),"aaa")</f>
        <v>niedz</v>
      </c>
      <c r="Y5" s="2" t="str">
        <f>TEXT(WEEKDAY(DATE(Rok_kalendarzowy,12,23),1),"aaa")</f>
        <v>pon</v>
      </c>
      <c r="Z5" s="2" t="str">
        <f>TEXT(WEEKDAY(DATE(Rok_kalendarzowy,12,24),1),"aaa")</f>
        <v>wt</v>
      </c>
      <c r="AA5" s="2" t="str">
        <f>TEXT(WEEKDAY(DATE(Rok_kalendarzowy,12,25),1),"aaa")</f>
        <v>śr</v>
      </c>
      <c r="AB5" s="2" t="str">
        <f>TEXT(WEEKDAY(DATE(Rok_kalendarzowy,12,26),1),"aaa")</f>
        <v>czw</v>
      </c>
      <c r="AC5" s="2" t="str">
        <f>TEXT(WEEKDAY(DATE(Rok_kalendarzowy,12,27),1),"aaa")</f>
        <v>pt</v>
      </c>
      <c r="AD5" s="2" t="str">
        <f>TEXT(WEEKDAY(DATE(Rok_kalendarzowy,12,28),1),"aaa")</f>
        <v>sob</v>
      </c>
      <c r="AE5" s="2" t="str">
        <f>TEXT(WEEKDAY(DATE(Rok_kalendarzowy,12,29),1),"aaa")</f>
        <v>niedz</v>
      </c>
      <c r="AF5" s="2" t="str">
        <f>TEXT(WEEKDAY(DATE(Rok_kalendarzowy,12,30),1),"aaa")</f>
        <v>pon</v>
      </c>
      <c r="AG5" s="2" t="str">
        <f>TEXT(WEEKDAY(DATE(Rok_kalendarzowy,12,31),1),"aaa")</f>
        <v>wt</v>
      </c>
      <c r="AH5" s="12"/>
    </row>
    <row r="6" spans="2:34" ht="15" customHeight="1" x14ac:dyDescent="0.25">
      <c r="B6" s="15" t="s">
        <v>3</v>
      </c>
      <c r="C6" s="3" t="s">
        <v>11</v>
      </c>
      <c r="D6" s="3" t="s">
        <v>13</v>
      </c>
      <c r="E6" s="3" t="s">
        <v>14</v>
      </c>
      <c r="F6" s="3" t="s">
        <v>16</v>
      </c>
      <c r="G6" s="3" t="s">
        <v>18</v>
      </c>
      <c r="H6" s="3" t="s">
        <v>20</v>
      </c>
      <c r="I6" s="3" t="s">
        <v>21</v>
      </c>
      <c r="J6" s="3" t="s">
        <v>22</v>
      </c>
      <c r="K6" s="3" t="s">
        <v>23</v>
      </c>
      <c r="L6" s="3" t="s">
        <v>25</v>
      </c>
      <c r="M6" s="3" t="s">
        <v>26</v>
      </c>
      <c r="N6" s="3" t="s">
        <v>27</v>
      </c>
      <c r="O6" s="3" t="s">
        <v>29</v>
      </c>
      <c r="P6" s="3" t="s">
        <v>30</v>
      </c>
      <c r="Q6" s="3" t="s">
        <v>31</v>
      </c>
      <c r="R6" s="3" t="s">
        <v>32</v>
      </c>
      <c r="S6" s="3" t="s">
        <v>34</v>
      </c>
      <c r="T6" s="3" t="s">
        <v>35</v>
      </c>
      <c r="U6" s="3" t="s">
        <v>36</v>
      </c>
      <c r="V6" s="3" t="s">
        <v>37</v>
      </c>
      <c r="W6" s="3" t="s">
        <v>38</v>
      </c>
      <c r="X6" s="3" t="s">
        <v>39</v>
      </c>
      <c r="Y6" s="3" t="s">
        <v>40</v>
      </c>
      <c r="Z6" s="3" t="s">
        <v>41</v>
      </c>
      <c r="AA6" s="3" t="s">
        <v>42</v>
      </c>
      <c r="AB6" s="3" t="s">
        <v>43</v>
      </c>
      <c r="AC6" s="3" t="s">
        <v>44</v>
      </c>
      <c r="AD6" s="3" t="s">
        <v>45</v>
      </c>
      <c r="AE6" s="3" t="s">
        <v>46</v>
      </c>
      <c r="AF6" s="3" t="s">
        <v>47</v>
      </c>
      <c r="AG6" s="3" t="s">
        <v>48</v>
      </c>
      <c r="AH6" s="16" t="s">
        <v>50</v>
      </c>
    </row>
    <row r="7" spans="2:34" ht="30" customHeight="1" x14ac:dyDescent="0.25">
      <c r="B7" s="17" t="s">
        <v>4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0">
        <f>COUNTA(Grudzień[[#This Row],[1]:[31]])</f>
        <v>0</v>
      </c>
    </row>
    <row r="8" spans="2:34" ht="30" customHeight="1" x14ac:dyDescent="0.25">
      <c r="B8" s="17" t="s">
        <v>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10">
        <f>COUNTA(Grudzień[[#This Row],[1]:[31]])</f>
        <v>0</v>
      </c>
    </row>
    <row r="9" spans="2:34" ht="30" customHeight="1" x14ac:dyDescent="0.25">
      <c r="B9" s="17" t="s">
        <v>6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10">
        <f>COUNTA(Grudzień[[#This Row],[1]:[31]])</f>
        <v>0</v>
      </c>
    </row>
    <row r="10" spans="2:34" ht="30" customHeight="1" x14ac:dyDescent="0.25">
      <c r="B10" s="17" t="s">
        <v>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10">
        <f>COUNTA(Grudzień[[#This Row],[1]:[31]])</f>
        <v>0</v>
      </c>
    </row>
    <row r="11" spans="2:34" ht="30" customHeight="1" x14ac:dyDescent="0.25">
      <c r="B11" s="17" t="s">
        <v>8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10">
        <f>COUNTA(Grudzień[[#This Row],[1]:[31]])</f>
        <v>0</v>
      </c>
    </row>
    <row r="12" spans="2:34" ht="30" customHeight="1" x14ac:dyDescent="0.25">
      <c r="B12" s="21" t="str">
        <f>"Suma z "&amp;Nazwa_miesiąca</f>
        <v>Suma z Grudzień</v>
      </c>
      <c r="C12" s="13">
        <f>SUBTOTAL(103,Grudzień[1])</f>
        <v>0</v>
      </c>
      <c r="D12" s="13">
        <f>SUBTOTAL(103,Grudzień[2])</f>
        <v>0</v>
      </c>
      <c r="E12" s="13">
        <f>SUBTOTAL(103,Grudzień[3])</f>
        <v>0</v>
      </c>
      <c r="F12" s="13">
        <f>SUBTOTAL(103,Grudzień[4])</f>
        <v>0</v>
      </c>
      <c r="G12" s="13">
        <f>SUBTOTAL(103,Grudzień[5])</f>
        <v>0</v>
      </c>
      <c r="H12" s="13">
        <f>SUBTOTAL(103,Grudzień[6])</f>
        <v>0</v>
      </c>
      <c r="I12" s="13">
        <f>SUBTOTAL(103,Grudzień[7])</f>
        <v>0</v>
      </c>
      <c r="J12" s="13">
        <f>SUBTOTAL(103,Grudzień[8])</f>
        <v>0</v>
      </c>
      <c r="K12" s="13">
        <f>SUBTOTAL(103,Grudzień[9])</f>
        <v>0</v>
      </c>
      <c r="L12" s="13">
        <f>SUBTOTAL(103,Grudzień[10])</f>
        <v>0</v>
      </c>
      <c r="M12" s="13">
        <f>SUBTOTAL(103,Grudzień[11])</f>
        <v>0</v>
      </c>
      <c r="N12" s="13">
        <f>SUBTOTAL(103,Grudzień[12])</f>
        <v>0</v>
      </c>
      <c r="O12" s="13">
        <f>SUBTOTAL(103,Grudzień[13])</f>
        <v>0</v>
      </c>
      <c r="P12" s="13">
        <f>SUBTOTAL(103,Grudzień[14])</f>
        <v>0</v>
      </c>
      <c r="Q12" s="13">
        <f>SUBTOTAL(103,Grudzień[15])</f>
        <v>0</v>
      </c>
      <c r="R12" s="13">
        <f>SUBTOTAL(103,Grudzień[16])</f>
        <v>0</v>
      </c>
      <c r="S12" s="13">
        <f>SUBTOTAL(103,Grudzień[17])</f>
        <v>0</v>
      </c>
      <c r="T12" s="13">
        <f>SUBTOTAL(103,Grudzień[18])</f>
        <v>0</v>
      </c>
      <c r="U12" s="13">
        <f>SUBTOTAL(103,Grudzień[19])</f>
        <v>0</v>
      </c>
      <c r="V12" s="13">
        <f>SUBTOTAL(103,Grudzień[20])</f>
        <v>0</v>
      </c>
      <c r="W12" s="13">
        <f>SUBTOTAL(103,Grudzień[21])</f>
        <v>0</v>
      </c>
      <c r="X12" s="13">
        <f>SUBTOTAL(103,Grudzień[22])</f>
        <v>0</v>
      </c>
      <c r="Y12" s="13">
        <f>SUBTOTAL(103,Grudzień[23])</f>
        <v>0</v>
      </c>
      <c r="Z12" s="13">
        <f>SUBTOTAL(103,Grudzień[24])</f>
        <v>0</v>
      </c>
      <c r="AA12" s="13">
        <f>SUBTOTAL(103,Grudzień[25])</f>
        <v>0</v>
      </c>
      <c r="AB12" s="13">
        <f>SUBTOTAL(103,Grudzień[26])</f>
        <v>0</v>
      </c>
      <c r="AC12" s="13">
        <f>SUBTOTAL(103,Grudzień[27])</f>
        <v>0</v>
      </c>
      <c r="AD12" s="13">
        <f>SUBTOTAL(103,Grudzień[28])</f>
        <v>0</v>
      </c>
      <c r="AE12" s="13">
        <f>SUBTOTAL(103,Grudzień[29])</f>
        <v>0</v>
      </c>
      <c r="AF12" s="13">
        <f>SUBTOTAL(103,Grudzień[30])</f>
        <v>0</v>
      </c>
      <c r="AG12" s="13">
        <f>SUBTOTAL(103,Grudzień[31])</f>
        <v>0</v>
      </c>
      <c r="AH12" s="13">
        <f>SUBTOTAL(109,Grudzień[Łączna liczba dni])</f>
        <v>0</v>
      </c>
    </row>
  </sheetData>
  <mergeCells count="6">
    <mergeCell ref="C4:AG4"/>
    <mergeCell ref="D2:F2"/>
    <mergeCell ref="H2:J2"/>
    <mergeCell ref="L2:P2"/>
    <mergeCell ref="R2:U2"/>
    <mergeCell ref="W2:Z2"/>
  </mergeCells>
  <conditionalFormatting sqref="C7:AG11">
    <cfRule type="expression" priority="1" stopIfTrue="1">
      <formula>C7=""</formula>
    </cfRule>
  </conditionalFormatting>
  <conditionalFormatting sqref="C7:AG11">
    <cfRule type="expression" dxfId="367" priority="2" stopIfTrue="1">
      <formula>C7=Klucz_niestandardowy_2</formula>
    </cfRule>
    <cfRule type="expression" dxfId="366" priority="3" stopIfTrue="1">
      <formula>C7=Klucz_niestandardowy_1</formula>
    </cfRule>
    <cfRule type="expression" dxfId="365" priority="4" stopIfTrue="1">
      <formula>C7=Klucz_Zwolnienie_lekarskie</formula>
    </cfRule>
    <cfRule type="expression" dxfId="364" priority="5" stopIfTrue="1">
      <formula>C7=Klucz_Osobiste</formula>
    </cfRule>
    <cfRule type="expression" dxfId="363" priority="6" stopIfTrue="1">
      <formula>C7=Klucz_Urlop</formula>
    </cfRule>
  </conditionalFormatting>
  <conditionalFormatting sqref="AH7:AH11">
    <cfRule type="dataBar" priority="30">
      <dataBar>
        <cfvo type="min"/>
        <cfvo type="formula" val="DATEDIF(DATE(Rok_kalendarzowy,2,1),DATE(Rok_kalendarzowy,3,1),&quot;d&quot;)"/>
        <color theme="2" tint="-0.249977111117893"/>
      </dataBar>
      <extLst>
        <ext xmlns:x14="http://schemas.microsoft.com/office/spreadsheetml/2009/9/main" uri="{B025F937-C7B1-47D3-B67F-A62EFF666E3E}">
          <x14:id>{17586780-365B-4F4C-BBB4-F5991705D361}</x14:id>
        </ext>
      </extLst>
    </cfRule>
  </conditionalFormatting>
  <dataValidations count="14">
    <dataValidation allowBlank="1" showInputMessage="1" showErrorMessage="1" prompt="Automatycznie aktualizowany rok na podstawie roku wprowadzonego w arkuszu Styczeń." sqref="AH4" xr:uid="{00000000-0002-0000-0B00-000000000000}"/>
    <dataValidation allowBlank="1" showInputMessage="1" showErrorMessage="1" prompt="Ta kolumna zawiera automatycznie obliczoną łączną liczbę dni nieobecności pracownika w danym miesiącu." sqref="AH6" xr:uid="{00000000-0002-0000-0B00-000001000000}"/>
    <dataValidation allowBlank="1" showInputMessage="1" showErrorMessage="1" prompt="Za pomocą tego arkusza śledź nieobecności w grudniu" sqref="A1" xr:uid="{00000000-0002-0000-0B00-000002000000}"/>
    <dataValidation errorStyle="warning" allowBlank="1" showInputMessage="1" showErrorMessage="1" error="Wybierz nazwisko z listy. Wybierz pozycję ANULUJ, a następnie naciśnij klawisze ALT+STRZAŁKA W DÓŁ i klawisz ENTER, aby wybrać nazwisko" prompt="Wprowadź nazwiska pracowników w arkuszu Nazwiska pracowników, a następnie wybierz jedno z tych nazwisk z listy w tej kolumnie. Naciśnij klawisze ALT+STRZAŁKA W DÓŁ, a następnie klawisz ENTER, aby wybrać nazwisko" sqref="B6" xr:uid="{00000000-0002-0000-0B00-000003000000}"/>
    <dataValidation allowBlank="1" showInputMessage="1" showErrorMessage="1" prompt="W tej komórce znajduje się tytuł aktualizowany automatycznie. Aby zmodyfikować tytuł, zaktualizuj komórkę B1 w arkuszu Styczeń" sqref="B1" xr:uid="{00000000-0002-0000-0B00-000004000000}"/>
    <dataValidation allowBlank="1" showInputMessage="1" showErrorMessage="1" prompt="Litera „U” oznacza nieobecność ze względu na urlop" sqref="C2" xr:uid="{00000000-0002-0000-0B00-000005000000}"/>
    <dataValidation allowBlank="1" showInputMessage="1" showErrorMessage="1" prompt="Litera „O” oznacza nieobecność ze względu na sprawy osobiste" sqref="G2" xr:uid="{00000000-0002-0000-0B00-000006000000}"/>
    <dataValidation allowBlank="1" showInputMessage="1" showErrorMessage="1" prompt="Litera „Z” oznacza nieobecność ze względu na zwolnienie lekarskie" sqref="K2" xr:uid="{00000000-0002-0000-0B00-000007000000}"/>
    <dataValidation allowBlank="1" showInputMessage="1" showErrorMessage="1" prompt="Wprowadź literę i dostosuj etykietę po prawej, aby dodać kolejny element klucza." sqref="Q2 V2" xr:uid="{00000000-0002-0000-0B00-000008000000}"/>
    <dataValidation allowBlank="1" showInputMessage="1" showErrorMessage="1" prompt="Wprowadź etykietę, aby opisać klucz niestandardowy po lewej stronie." sqref="R2 W2" xr:uid="{00000000-0002-0000-0B00-000009000000}"/>
    <dataValidation allowBlank="1" showInputMessage="1" showErrorMessage="1" prompt="Ten wiersz definiuje klucze używane w tabeli: komórka C2 to urlop, G2 to sprawy osobiste, a K2 to zwolnienie lekarskie. Komórki N2 i R2 można dostosować" sqref="B2" xr:uid="{00000000-0002-0000-0B00-00000A000000}"/>
    <dataValidation allowBlank="1" showInputMessage="1" showErrorMessage="1" prompt="W tej komórce znajduje się nazwa miesiąca dla tego harmonogramu nieobecności. Suma nieobecności w tym miesiącu znajduje się w ostatniej komórce tabeli. W kolumnie B tabeli wybierz nazwiska pracowników" sqref="B4" xr:uid="{00000000-0002-0000-0B00-00000B000000}"/>
    <dataValidation allowBlank="1" showInputMessage="1" showErrorMessage="1" prompt="W tym wierszu dni tygodnia dla danego miesiąca są aktualizowane automatycznie według roku w komórce AH4. Każdy dzień miesiąca jest reprezentowany przez kolumnę, w której można zanotować nieobecność pracownika i typ nieobecności" sqref="C5" xr:uid="{00000000-0002-0000-0B00-00000C000000}"/>
    <dataValidation allowBlank="1" showInputMessage="1" showErrorMessage="1" prompt="Dni miesiąca w tym wierszu są generowane automatycznie. Wprowadź nieobecność pracownika i typ nieobecności w każdej kolumnie dla każdego dnia danego miesiąca. Puste pole oznacza brak nieobecności." sqref="C6" xr:uid="{00000000-0002-0000-0B00-00000D000000}"/>
  </dataValidations>
  <printOptions horizontalCentered="1"/>
  <pageMargins left="0.25" right="0.25" top="0.75" bottom="0.75" header="0.3" footer="0.3"/>
  <pageSetup paperSize="9" scale="73" fitToHeight="0" orientation="landscape" verticalDpi="4294967293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7586780-365B-4F4C-BBB4-F5991705D361}">
            <x14:dataBar minLength="0" maxLength="100">
              <x14:cfvo type="autoMin"/>
              <x14:cfvo type="formula">
                <xm:f>DATEDIF(DATE(Rok_kalendarzowy,2,1),DATE(Rok_kalendarzowy,3,1),"d")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B00-00000E000000}">
          <x14:formula1>
            <xm:f>'Nazwiska pracowników'!$B$4:$B$8</xm:f>
          </x14:formula1>
          <xm:sqref>B7:B11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1"/>
  </sheetPr>
  <dimension ref="B1:B8"/>
  <sheetViews>
    <sheetView showGridLines="0" workbookViewId="0"/>
  </sheetViews>
  <sheetFormatPr defaultRowHeight="30" customHeight="1" x14ac:dyDescent="0.25"/>
  <cols>
    <col min="1" max="1" width="2.7109375" customWidth="1"/>
    <col min="2" max="2" width="30.7109375" customWidth="1"/>
    <col min="3" max="3" width="2.7109375" customWidth="1"/>
  </cols>
  <sheetData>
    <row r="1" spans="2:2" ht="50.1" customHeight="1" x14ac:dyDescent="0.25">
      <c r="B1" s="22" t="s">
        <v>64</v>
      </c>
    </row>
    <row r="2" spans="2:2" ht="15" customHeight="1" x14ac:dyDescent="0.25"/>
    <row r="3" spans="2:2" ht="30" customHeight="1" x14ac:dyDescent="0.25">
      <c r="B3" t="s">
        <v>64</v>
      </c>
    </row>
    <row r="4" spans="2:2" ht="30" customHeight="1" x14ac:dyDescent="0.25">
      <c r="B4" s="1" t="s">
        <v>4</v>
      </c>
    </row>
    <row r="5" spans="2:2" ht="30" customHeight="1" x14ac:dyDescent="0.25">
      <c r="B5" s="1" t="s">
        <v>5</v>
      </c>
    </row>
    <row r="6" spans="2:2" ht="30" customHeight="1" x14ac:dyDescent="0.25">
      <c r="B6" s="1" t="s">
        <v>6</v>
      </c>
    </row>
    <row r="7" spans="2:2" ht="30" customHeight="1" x14ac:dyDescent="0.25">
      <c r="B7" s="1" t="s">
        <v>7</v>
      </c>
    </row>
    <row r="8" spans="2:2" ht="30" customHeight="1" x14ac:dyDescent="0.25">
      <c r="B8" s="1" t="s">
        <v>8</v>
      </c>
    </row>
  </sheetData>
  <dataValidations count="3">
    <dataValidation allowBlank="1" showInputMessage="1" showErrorMessage="1" prompt="Tytuł Nazwiska pracowników" sqref="B1" xr:uid="{00000000-0002-0000-0C00-000000000000}"/>
    <dataValidation allowBlank="1" showInputMessage="1" showErrorMessage="1" prompt="W tym arkuszu wprowadź nazwiska pracowników w tabeli Nazwiska pracowników. Te nazwiska są używane jako opcje w kolumnie B w tabeli nieobecności dla każdego miesiąca" sqref="A1" xr:uid="{00000000-0002-0000-0C00-000001000000}"/>
    <dataValidation allowBlank="1" showInputMessage="1" showErrorMessage="1" prompt="W tej kolumnie wprowadź nazwiska pracowników" sqref="B3" xr:uid="{00000000-0002-0000-0C00-000002000000}"/>
  </dataValidations>
  <pageMargins left="0.7" right="0.7" top="0.75" bottom="0.75" header="0.3" footer="0.3"/>
  <pageSetup paperSize="9" orientation="portrait" horizontalDpi="200" verticalDpi="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0.749992370372631"/>
    <pageSetUpPr fitToPage="1"/>
  </sheetPr>
  <dimension ref="A1:AH12"/>
  <sheetViews>
    <sheetView showGridLines="0" zoomScaleNormal="100" workbookViewId="0"/>
  </sheetViews>
  <sheetFormatPr defaultColWidth="9.140625" defaultRowHeight="30" customHeight="1" x14ac:dyDescent="0.25"/>
  <cols>
    <col min="1" max="1" width="2.7109375" style="11" customWidth="1"/>
    <col min="2" max="2" width="28.42578125" style="11" customWidth="1"/>
    <col min="3" max="33" width="5.7109375" style="11" customWidth="1"/>
    <col min="34" max="34" width="17.28515625" style="11" customWidth="1"/>
    <col min="35" max="35" width="2.7109375" customWidth="1"/>
  </cols>
  <sheetData>
    <row r="1" spans="2:34" ht="50.1" customHeight="1" x14ac:dyDescent="0.25">
      <c r="B1" s="14" t="str">
        <f>Tytuł_Nieobecności_pracowników</f>
        <v>Harmonogram nieobecności pracowników</v>
      </c>
    </row>
    <row r="2" spans="2:34" ht="15" customHeight="1" x14ac:dyDescent="0.25">
      <c r="B2" s="19" t="s">
        <v>1</v>
      </c>
      <c r="C2" s="4" t="s">
        <v>9</v>
      </c>
      <c r="D2" s="25" t="s">
        <v>12</v>
      </c>
      <c r="E2" s="25"/>
      <c r="F2" s="25"/>
      <c r="G2" s="5" t="s">
        <v>15</v>
      </c>
      <c r="H2" s="25" t="s">
        <v>19</v>
      </c>
      <c r="I2" s="25"/>
      <c r="J2" s="25"/>
      <c r="K2" s="6" t="s">
        <v>17</v>
      </c>
      <c r="L2" s="25" t="s">
        <v>24</v>
      </c>
      <c r="M2" s="25"/>
      <c r="N2" s="25"/>
      <c r="O2" s="25"/>
      <c r="P2" s="25"/>
      <c r="Q2" s="7"/>
      <c r="R2" s="25" t="s">
        <v>28</v>
      </c>
      <c r="S2" s="25"/>
      <c r="T2" s="25"/>
      <c r="U2" s="25"/>
      <c r="V2" s="8"/>
      <c r="W2" s="25" t="s">
        <v>33</v>
      </c>
      <c r="X2" s="25"/>
      <c r="Y2" s="25"/>
      <c r="Z2" s="25"/>
    </row>
    <row r="3" spans="2:34" ht="15" customHeight="1" x14ac:dyDescent="0.25">
      <c r="B3"/>
    </row>
    <row r="4" spans="2:34" ht="30" customHeight="1" x14ac:dyDescent="0.25">
      <c r="B4" s="12" t="s">
        <v>51</v>
      </c>
      <c r="C4" s="24" t="s">
        <v>10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12">
        <f>Rok_kalendarzowy</f>
        <v>2019</v>
      </c>
    </row>
    <row r="5" spans="2:34" ht="15" customHeight="1" x14ac:dyDescent="0.25">
      <c r="B5" s="12"/>
      <c r="C5" s="2" t="str">
        <f>TEXT(WEEKDAY(DATE(Rok_kalendarzowy,2,1),1),"aaa")</f>
        <v>pt</v>
      </c>
      <c r="D5" s="2" t="str">
        <f>TEXT(WEEKDAY(DATE(Rok_kalendarzowy,2,2),1),"aaa")</f>
        <v>sob</v>
      </c>
      <c r="E5" s="2" t="str">
        <f>TEXT(WEEKDAY(DATE(Rok_kalendarzowy,2,3),1),"aaa")</f>
        <v>niedz</v>
      </c>
      <c r="F5" s="2" t="str">
        <f>TEXT(WEEKDAY(DATE(Rok_kalendarzowy,2,4),1),"aaa")</f>
        <v>pon</v>
      </c>
      <c r="G5" s="2" t="str">
        <f>TEXT(WEEKDAY(DATE(Rok_kalendarzowy,2,5),1),"aaa")</f>
        <v>wt</v>
      </c>
      <c r="H5" s="2" t="str">
        <f>TEXT(WEEKDAY(DATE(Rok_kalendarzowy,2,6),1),"aaa")</f>
        <v>śr</v>
      </c>
      <c r="I5" s="2" t="str">
        <f>TEXT(WEEKDAY(DATE(Rok_kalendarzowy,2,7),1),"aaa")</f>
        <v>czw</v>
      </c>
      <c r="J5" s="2" t="str">
        <f>TEXT(WEEKDAY(DATE(Rok_kalendarzowy,2,8),1),"aaa")</f>
        <v>pt</v>
      </c>
      <c r="K5" s="2" t="str">
        <f>TEXT(WEEKDAY(DATE(Rok_kalendarzowy,2,9),1),"aaa")</f>
        <v>sob</v>
      </c>
      <c r="L5" s="2" t="str">
        <f>TEXT(WEEKDAY(DATE(Rok_kalendarzowy,2,10),1),"aaa")</f>
        <v>niedz</v>
      </c>
      <c r="M5" s="2" t="str">
        <f>TEXT(WEEKDAY(DATE(Rok_kalendarzowy,2,11),1),"aaa")</f>
        <v>pon</v>
      </c>
      <c r="N5" s="2" t="str">
        <f>TEXT(WEEKDAY(DATE(Rok_kalendarzowy,2,12),1),"aaa")</f>
        <v>wt</v>
      </c>
      <c r="O5" s="2" t="str">
        <f>TEXT(WEEKDAY(DATE(Rok_kalendarzowy,2,13),1),"aaa")</f>
        <v>śr</v>
      </c>
      <c r="P5" s="2" t="str">
        <f>TEXT(WEEKDAY(DATE(Rok_kalendarzowy,2,14),1),"aaa")</f>
        <v>czw</v>
      </c>
      <c r="Q5" s="2" t="str">
        <f>TEXT(WEEKDAY(DATE(Rok_kalendarzowy,2,15),1),"aaa")</f>
        <v>pt</v>
      </c>
      <c r="R5" s="2" t="str">
        <f>TEXT(WEEKDAY(DATE(Rok_kalendarzowy,2,16),1),"aaa")</f>
        <v>sob</v>
      </c>
      <c r="S5" s="2" t="str">
        <f>TEXT(WEEKDAY(DATE(Rok_kalendarzowy,2,17),1),"aaa")</f>
        <v>niedz</v>
      </c>
      <c r="T5" s="2" t="str">
        <f>TEXT(WEEKDAY(DATE(Rok_kalendarzowy,2,18),1),"aaa")</f>
        <v>pon</v>
      </c>
      <c r="U5" s="2" t="str">
        <f>TEXT(WEEKDAY(DATE(Rok_kalendarzowy,2,19),1),"aaa")</f>
        <v>wt</v>
      </c>
      <c r="V5" s="2" t="str">
        <f>TEXT(WEEKDAY(DATE(Rok_kalendarzowy,2,20),1),"aaa")</f>
        <v>śr</v>
      </c>
      <c r="W5" s="2" t="str">
        <f>TEXT(WEEKDAY(DATE(Rok_kalendarzowy,2,21),1),"aaa")</f>
        <v>czw</v>
      </c>
      <c r="X5" s="2" t="str">
        <f>TEXT(WEEKDAY(DATE(Rok_kalendarzowy,2,22),1),"aaa")</f>
        <v>pt</v>
      </c>
      <c r="Y5" s="2" t="str">
        <f>TEXT(WEEKDAY(DATE(Rok_kalendarzowy,2,23),1),"aaa")</f>
        <v>sob</v>
      </c>
      <c r="Z5" s="2" t="str">
        <f>TEXT(WEEKDAY(DATE(Rok_kalendarzowy,2,24),1),"aaa")</f>
        <v>niedz</v>
      </c>
      <c r="AA5" s="2" t="str">
        <f>TEXT(WEEKDAY(DATE(Rok_kalendarzowy,2,25),1),"aaa")</f>
        <v>pon</v>
      </c>
      <c r="AB5" s="2" t="str">
        <f>TEXT(WEEKDAY(DATE(Rok_kalendarzowy,2,26),1),"aaa")</f>
        <v>wt</v>
      </c>
      <c r="AC5" s="2" t="str">
        <f>TEXT(WEEKDAY(DATE(Rok_kalendarzowy,2,27),1),"aaa")</f>
        <v>śr</v>
      </c>
      <c r="AD5" s="2" t="str">
        <f>TEXT(WEEKDAY(DATE(Rok_kalendarzowy,2,28),1),"aaa")</f>
        <v>czw</v>
      </c>
      <c r="AE5" s="2" t="str">
        <f>TEXT(WEEKDAY(DATE(Rok_kalendarzowy,2,29),1),"aaa")</f>
        <v>pt</v>
      </c>
      <c r="AF5" s="2"/>
      <c r="AG5" s="2"/>
      <c r="AH5" s="12"/>
    </row>
    <row r="6" spans="2:34" ht="15" customHeight="1" x14ac:dyDescent="0.25">
      <c r="B6" s="15" t="s">
        <v>3</v>
      </c>
      <c r="C6" s="3" t="s">
        <v>11</v>
      </c>
      <c r="D6" s="3" t="s">
        <v>13</v>
      </c>
      <c r="E6" s="3" t="s">
        <v>14</v>
      </c>
      <c r="F6" s="3" t="s">
        <v>16</v>
      </c>
      <c r="G6" s="3" t="s">
        <v>18</v>
      </c>
      <c r="H6" s="3" t="s">
        <v>20</v>
      </c>
      <c r="I6" s="3" t="s">
        <v>21</v>
      </c>
      <c r="J6" s="3" t="s">
        <v>22</v>
      </c>
      <c r="K6" s="3" t="s">
        <v>23</v>
      </c>
      <c r="L6" s="3" t="s">
        <v>25</v>
      </c>
      <c r="M6" s="3" t="s">
        <v>26</v>
      </c>
      <c r="N6" s="3" t="s">
        <v>27</v>
      </c>
      <c r="O6" s="3" t="s">
        <v>29</v>
      </c>
      <c r="P6" s="3" t="s">
        <v>30</v>
      </c>
      <c r="Q6" s="3" t="s">
        <v>31</v>
      </c>
      <c r="R6" s="3" t="s">
        <v>32</v>
      </c>
      <c r="S6" s="3" t="s">
        <v>34</v>
      </c>
      <c r="T6" s="3" t="s">
        <v>35</v>
      </c>
      <c r="U6" s="3" t="s">
        <v>36</v>
      </c>
      <c r="V6" s="3" t="s">
        <v>37</v>
      </c>
      <c r="W6" s="3" t="s">
        <v>38</v>
      </c>
      <c r="X6" s="3" t="s">
        <v>39</v>
      </c>
      <c r="Y6" s="3" t="s">
        <v>40</v>
      </c>
      <c r="Z6" s="3" t="s">
        <v>41</v>
      </c>
      <c r="AA6" s="3" t="s">
        <v>42</v>
      </c>
      <c r="AB6" s="3" t="s">
        <v>43</v>
      </c>
      <c r="AC6" s="3" t="s">
        <v>44</v>
      </c>
      <c r="AD6" s="3" t="s">
        <v>45</v>
      </c>
      <c r="AE6" s="3" t="s">
        <v>46</v>
      </c>
      <c r="AF6" s="3" t="s">
        <v>52</v>
      </c>
      <c r="AG6" s="3" t="s">
        <v>53</v>
      </c>
      <c r="AH6" s="16" t="s">
        <v>50</v>
      </c>
    </row>
    <row r="7" spans="2:34" ht="30" customHeight="1" x14ac:dyDescent="0.25">
      <c r="B7" s="17" t="s">
        <v>4</v>
      </c>
      <c r="C7" s="3"/>
      <c r="D7" s="3"/>
      <c r="E7" s="3" t="s">
        <v>9</v>
      </c>
      <c r="F7" s="3" t="s">
        <v>9</v>
      </c>
      <c r="G7" s="3" t="s">
        <v>9</v>
      </c>
      <c r="H7" s="3" t="s">
        <v>9</v>
      </c>
      <c r="I7" s="3"/>
      <c r="J7" s="3"/>
      <c r="K7" s="3"/>
      <c r="L7" s="3"/>
      <c r="M7" s="3"/>
      <c r="N7" s="3"/>
      <c r="O7" s="3" t="s">
        <v>9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0">
        <f>COUNTA(Luty[[#This Row],[1]:[29]])</f>
        <v>5</v>
      </c>
    </row>
    <row r="8" spans="2:34" ht="30" customHeight="1" x14ac:dyDescent="0.25">
      <c r="B8" s="17" t="s">
        <v>5</v>
      </c>
      <c r="C8" s="3"/>
      <c r="D8" s="3"/>
      <c r="E8" s="3"/>
      <c r="F8" s="3"/>
      <c r="G8" s="3" t="s">
        <v>17</v>
      </c>
      <c r="H8" s="3" t="s">
        <v>17</v>
      </c>
      <c r="I8" s="3"/>
      <c r="J8" s="3"/>
      <c r="K8" s="3"/>
      <c r="L8" s="3"/>
      <c r="M8" s="3" t="s">
        <v>15</v>
      </c>
      <c r="N8" s="3"/>
      <c r="O8" s="3"/>
      <c r="P8" s="3"/>
      <c r="Q8" s="3"/>
      <c r="R8" s="3"/>
      <c r="S8" s="3"/>
      <c r="T8" s="3"/>
      <c r="U8" s="3"/>
      <c r="V8" s="3" t="s">
        <v>17</v>
      </c>
      <c r="W8" s="3"/>
      <c r="X8" s="3"/>
      <c r="Y8" s="3"/>
      <c r="Z8" s="3"/>
      <c r="AA8" s="3" t="s">
        <v>9</v>
      </c>
      <c r="AB8" s="3" t="s">
        <v>9</v>
      </c>
      <c r="AC8" s="3" t="s">
        <v>9</v>
      </c>
      <c r="AD8" s="3"/>
      <c r="AE8" s="3"/>
      <c r="AF8" s="3"/>
      <c r="AG8" s="3"/>
      <c r="AH8" s="10">
        <f>COUNTA(Luty[[#This Row],[1]:[29]])</f>
        <v>7</v>
      </c>
    </row>
    <row r="9" spans="2:34" ht="30" customHeight="1" x14ac:dyDescent="0.25">
      <c r="B9" s="17" t="s">
        <v>6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10">
        <f>COUNTA(Luty[[#This Row],[1]:[29]])</f>
        <v>0</v>
      </c>
    </row>
    <row r="10" spans="2:34" ht="30" customHeight="1" x14ac:dyDescent="0.25">
      <c r="B10" s="17" t="s">
        <v>7</v>
      </c>
      <c r="C10" s="3"/>
      <c r="D10" s="3"/>
      <c r="E10" s="3" t="s">
        <v>17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 t="s">
        <v>17</v>
      </c>
      <c r="Q10" s="3"/>
      <c r="R10" s="3"/>
      <c r="S10" s="3"/>
      <c r="T10" s="3" t="s">
        <v>15</v>
      </c>
      <c r="U10" s="3"/>
      <c r="V10" s="3"/>
      <c r="W10" s="3"/>
      <c r="X10" s="3"/>
      <c r="Y10" s="3"/>
      <c r="Z10" s="3"/>
      <c r="AA10" s="3"/>
      <c r="AB10" s="3"/>
      <c r="AC10" s="3"/>
      <c r="AD10" s="3" t="s">
        <v>17</v>
      </c>
      <c r="AE10" s="3"/>
      <c r="AF10" s="3"/>
      <c r="AG10" s="3"/>
      <c r="AH10" s="10">
        <f>COUNTA(Luty[[#This Row],[1]:[29]])</f>
        <v>4</v>
      </c>
    </row>
    <row r="11" spans="2:34" ht="30" customHeight="1" x14ac:dyDescent="0.25">
      <c r="B11" s="17" t="s">
        <v>8</v>
      </c>
      <c r="C11" s="3"/>
      <c r="D11" s="3"/>
      <c r="E11" s="3"/>
      <c r="F11" s="3"/>
      <c r="G11" s="3"/>
      <c r="H11" s="3"/>
      <c r="I11" s="3"/>
      <c r="J11" s="3" t="s">
        <v>9</v>
      </c>
      <c r="K11" s="3" t="s">
        <v>9</v>
      </c>
      <c r="L11" s="3" t="s">
        <v>9</v>
      </c>
      <c r="M11" s="3" t="s">
        <v>9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 t="s">
        <v>17</v>
      </c>
      <c r="AA11" s="3"/>
      <c r="AB11" s="3"/>
      <c r="AC11" s="3"/>
      <c r="AD11" s="3"/>
      <c r="AE11" s="3"/>
      <c r="AF11" s="3"/>
      <c r="AG11" s="3"/>
      <c r="AH11" s="10">
        <f>COUNTA(Luty[[#This Row],[1]:[29]])</f>
        <v>5</v>
      </c>
    </row>
    <row r="12" spans="2:34" ht="30" customHeight="1" x14ac:dyDescent="0.25">
      <c r="B12" s="21" t="str">
        <f>"Suma z "&amp;Nazwa_miesiąca</f>
        <v>Suma z Luty</v>
      </c>
      <c r="C12" s="13">
        <f>SUBTOTAL(103,Luty[1])</f>
        <v>0</v>
      </c>
      <c r="D12" s="13">
        <f>SUBTOTAL(103,Luty[2])</f>
        <v>0</v>
      </c>
      <c r="E12" s="13">
        <f>SUBTOTAL(103,Luty[3])</f>
        <v>2</v>
      </c>
      <c r="F12" s="13">
        <f>SUBTOTAL(103,Luty[4])</f>
        <v>1</v>
      </c>
      <c r="G12" s="13">
        <f>SUBTOTAL(103,Luty[5])</f>
        <v>2</v>
      </c>
      <c r="H12" s="13">
        <f>SUBTOTAL(103,Luty[6])</f>
        <v>2</v>
      </c>
      <c r="I12" s="13">
        <f>SUBTOTAL(103,Luty[7])</f>
        <v>0</v>
      </c>
      <c r="J12" s="13">
        <f>SUBTOTAL(103,Luty[8])</f>
        <v>1</v>
      </c>
      <c r="K12" s="13">
        <f>SUBTOTAL(103,Luty[9])</f>
        <v>1</v>
      </c>
      <c r="L12" s="13">
        <f>SUBTOTAL(103,Luty[10])</f>
        <v>1</v>
      </c>
      <c r="M12" s="13">
        <f>SUBTOTAL(103,Luty[11])</f>
        <v>2</v>
      </c>
      <c r="N12" s="13">
        <f>SUBTOTAL(103,Luty[12])</f>
        <v>0</v>
      </c>
      <c r="O12" s="13">
        <f>SUBTOTAL(103,Luty[13])</f>
        <v>1</v>
      </c>
      <c r="P12" s="13">
        <f>SUBTOTAL(103,Luty[14])</f>
        <v>1</v>
      </c>
      <c r="Q12" s="13">
        <f>SUBTOTAL(103,Luty[15])</f>
        <v>0</v>
      </c>
      <c r="R12" s="13">
        <f>SUBTOTAL(103,Luty[16])</f>
        <v>0</v>
      </c>
      <c r="S12" s="13">
        <f>SUBTOTAL(103,Luty[17])</f>
        <v>0</v>
      </c>
      <c r="T12" s="13">
        <f>SUBTOTAL(103,Luty[18])</f>
        <v>1</v>
      </c>
      <c r="U12" s="13">
        <f>SUBTOTAL(103,Luty[19])</f>
        <v>0</v>
      </c>
      <c r="V12" s="13">
        <f>SUBTOTAL(103,Luty[20])</f>
        <v>1</v>
      </c>
      <c r="W12" s="13">
        <f>SUBTOTAL(103,Luty[21])</f>
        <v>0</v>
      </c>
      <c r="X12" s="13">
        <f>SUBTOTAL(103,Luty[22])</f>
        <v>0</v>
      </c>
      <c r="Y12" s="13">
        <f>SUBTOTAL(103,Luty[23])</f>
        <v>0</v>
      </c>
      <c r="Z12" s="13">
        <f>SUBTOTAL(103,Luty[24])</f>
        <v>1</v>
      </c>
      <c r="AA12" s="13">
        <f>SUBTOTAL(103,Luty[25])</f>
        <v>1</v>
      </c>
      <c r="AB12" s="13">
        <f>SUBTOTAL(103,Luty[26])</f>
        <v>1</v>
      </c>
      <c r="AC12" s="13">
        <f>SUBTOTAL(103,Luty[27])</f>
        <v>1</v>
      </c>
      <c r="AD12" s="13">
        <f>SUBTOTAL(103,Luty[28])</f>
        <v>1</v>
      </c>
      <c r="AE12" s="13">
        <f>SUBTOTAL(103,Luty[29])</f>
        <v>0</v>
      </c>
      <c r="AF12" s="13"/>
      <c r="AG12" s="13"/>
      <c r="AH12" s="13">
        <f>SUBTOTAL(109,Luty[Łączna liczba dni])</f>
        <v>21</v>
      </c>
    </row>
  </sheetData>
  <mergeCells count="6">
    <mergeCell ref="C4:AG4"/>
    <mergeCell ref="D2:F2"/>
    <mergeCell ref="H2:J2"/>
    <mergeCell ref="L2:P2"/>
    <mergeCell ref="R2:U2"/>
    <mergeCell ref="W2:Z2"/>
  </mergeCells>
  <conditionalFormatting sqref="AE6">
    <cfRule type="expression" dxfId="419" priority="16">
      <formula>MONTH(DATE(Rok_kalendarzowy,2,29))&lt;&gt;2</formula>
    </cfRule>
  </conditionalFormatting>
  <conditionalFormatting sqref="AE5">
    <cfRule type="expression" dxfId="418" priority="15">
      <formula>MONTH(DATE(Rok_kalendarzowy,2,29))&lt;&gt;2</formula>
    </cfRule>
  </conditionalFormatting>
  <conditionalFormatting sqref="C7:AG11">
    <cfRule type="expression" priority="2" stopIfTrue="1">
      <formula>C7=""</formula>
    </cfRule>
    <cfRule type="expression" dxfId="417" priority="3" stopIfTrue="1">
      <formula>C7=Klucz_niestandardowy_2</formula>
    </cfRule>
  </conditionalFormatting>
  <conditionalFormatting sqref="C7:AG11">
    <cfRule type="expression" dxfId="416" priority="5" stopIfTrue="1">
      <formula>C7=Klucz_niestandardowy_1</formula>
    </cfRule>
    <cfRule type="expression" dxfId="415" priority="6" stopIfTrue="1">
      <formula>C7=Klucz_Zwolnienie_lekarskie</formula>
    </cfRule>
    <cfRule type="expression" dxfId="414" priority="7" stopIfTrue="1">
      <formula>C7=Klucz_Osobiste</formula>
    </cfRule>
    <cfRule type="expression" dxfId="413" priority="8" stopIfTrue="1">
      <formula>C7=Klucz_Urlop</formula>
    </cfRule>
  </conditionalFormatting>
  <conditionalFormatting sqref="AH7:AH11">
    <cfRule type="dataBar" priority="153">
      <dataBar>
        <cfvo type="min"/>
        <cfvo type="formula" val="DATEDIF(DATE(Rok_kalendarzowy,2,1),DATE(Rok_kalendarzowy,3,1),&quot;d&quot;)"/>
        <color theme="2" tint="-0.249977111117893"/>
      </dataBar>
      <extLst>
        <ext xmlns:x14="http://schemas.microsoft.com/office/spreadsheetml/2009/9/main" uri="{B025F937-C7B1-47D3-B67F-A62EFF666E3E}">
          <x14:id>{94738C71-AB78-40C3-A818-D083AE35CC38}</x14:id>
        </ext>
      </extLst>
    </cfRule>
  </conditionalFormatting>
  <dataValidations xWindow="232" yWindow="365" count="14">
    <dataValidation allowBlank="1" showInputMessage="1" showErrorMessage="1" prompt="Automatycznie aktualizowany rok na podstawie roku wprowadzonego w arkuszu Styczeń." sqref="AH4" xr:uid="{00000000-0002-0000-0100-000000000000}"/>
    <dataValidation allowBlank="1" showInputMessage="1" showErrorMessage="1" prompt="Za pomocą tego arkusza śledź nieobecności w lutym." sqref="A1" xr:uid="{00000000-0002-0000-0100-000001000000}"/>
    <dataValidation allowBlank="1" showInputMessage="1" showErrorMessage="1" prompt="Ta kolumna zawiera automatycznie obliczoną łączną liczbę dni nieobecności pracownika w danym miesiącu" sqref="AH6" xr:uid="{00000000-0002-0000-0100-000002000000}"/>
    <dataValidation allowBlank="1" showInputMessage="1" showErrorMessage="1" prompt="W tej komórce znajduje się tytuł aktualizowany automatycznie. Aby zmodyfikować tytuł, zaktualizuj komórkę B1 w arkuszu Styczeń" sqref="B1" xr:uid="{00000000-0002-0000-0100-000003000000}"/>
    <dataValidation allowBlank="1" showInputMessage="1" showErrorMessage="1" prompt="W tej komórce znajduje się nazwa miesiąca dla tego harmonogramu nieobecności. Suma nieobecności w tym miesiącu znajduje się w ostatniej komórce tabeli. W kolumnie B tabeli wybierz nazwiska pracowników" sqref="B4" xr:uid="{00000000-0002-0000-0100-000004000000}"/>
    <dataValidation errorStyle="warning" allowBlank="1" showInputMessage="1" showErrorMessage="1" error="Wybierz nazwisko z listy. Wybierz pozycję ANULUJ, a następnie naciśnij klawisze ALT+STRZAŁKA W DÓŁ i klawisz ENTER, aby wybrać nazwisko" prompt="Wprowadź nazwiska pracowników w arkuszu Nazwiska pracowników, a następnie wybierz jedno z tych nazwisk z listy w tej kolumnie. Naciśnij klawisze ALT+STRZAŁKA W DÓŁ, a następnie klawisz ENTER, aby wybrać nazwisko" sqref="B6" xr:uid="{00000000-0002-0000-0100-000005000000}"/>
    <dataValidation allowBlank="1" showInputMessage="1" showErrorMessage="1" prompt="Ten wiersz definiuje klucze używane w tabeli: komórka C2 to urlop, G2 to sprawy osobiste, a K2 to zwolnienie lekarskie. Komórki N2 i R2 można dostosować" sqref="B2" xr:uid="{00000000-0002-0000-0100-000006000000}"/>
    <dataValidation allowBlank="1" showInputMessage="1" showErrorMessage="1" prompt="Wprowadź etykietę, aby opisać klucz niestandardowy po lewej stronie." sqref="R2 W2" xr:uid="{00000000-0002-0000-0100-000007000000}"/>
    <dataValidation allowBlank="1" showInputMessage="1" showErrorMessage="1" prompt="Wprowadź literę i dostosuj etykietę po prawej, aby dodać kolejny element klucza." sqref="Q2 V2" xr:uid="{00000000-0002-0000-0100-000008000000}"/>
    <dataValidation allowBlank="1" showInputMessage="1" showErrorMessage="1" prompt="Litera „Z” oznacza nieobecność ze względu na zwolnienie lekarskie" sqref="K2" xr:uid="{00000000-0002-0000-0100-000009000000}"/>
    <dataValidation allowBlank="1" showInputMessage="1" showErrorMessage="1" prompt="Litera „O” oznacza nieobecność ze względu na sprawy osobiste" sqref="G2" xr:uid="{00000000-0002-0000-0100-00000A000000}"/>
    <dataValidation allowBlank="1" showInputMessage="1" showErrorMessage="1" prompt="Litera „U” oznacza nieobecność ze względu na urlop" sqref="C2" xr:uid="{00000000-0002-0000-0100-00000B000000}"/>
    <dataValidation allowBlank="1" showInputMessage="1" showErrorMessage="1" prompt="W tym wierszu dni tygodnia dla danego miesiąca są aktualizowane automatycznie według roku w komórce AH4. Każdy dzień miesiąca jest reprezentowany przez kolumnę, w której można zanotować nieobecność pracownika i typ nieobecności" sqref="C5" xr:uid="{00000000-0002-0000-0100-00000C000000}"/>
    <dataValidation allowBlank="1" showInputMessage="1" showErrorMessage="1" prompt="Dni miesiąca w tym wierszu są generowane automatycznie. Wprowadź nieobecność pracownika i typ nieobecności w każdej kolumnie dla każdego dnia danego miesiąca. Puste pole oznacza brak nieobecności." sqref="C6" xr:uid="{00000000-0002-0000-0100-00000D000000}"/>
  </dataValidations>
  <printOptions horizontalCentered="1"/>
  <pageMargins left="0.25" right="0.25" top="0.75" bottom="0.75" header="0.3" footer="0.3"/>
  <pageSetup paperSize="9" scale="73" fitToHeight="0" orientation="landscape" verticalDpi="4294967293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4738C71-AB78-40C3-A818-D083AE35CC38}">
            <x14:dataBar minLength="0" maxLength="100">
              <x14:cfvo type="autoMin"/>
              <x14:cfvo type="formula">
                <xm:f>DATEDIF(DATE(Rok_kalendarzowy,2,1),DATE(Rok_kalendarzowy,3,1),"d")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232" yWindow="365" count="1">
        <x14:dataValidation type="list" allowBlank="1" showInputMessage="1" showErrorMessage="1" xr:uid="{00000000-0002-0000-0100-00000E000000}">
          <x14:formula1>
            <xm:f>'Nazwiska pracowników'!$B$4:$B$8</xm:f>
          </x14:formula1>
          <xm:sqref>B7:B11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2" tint="-0.499984740745262"/>
    <pageSetUpPr fitToPage="1"/>
  </sheetPr>
  <dimension ref="A1:AH12"/>
  <sheetViews>
    <sheetView showGridLines="0" zoomScaleNormal="100" workbookViewId="0"/>
  </sheetViews>
  <sheetFormatPr defaultRowHeight="30" customHeight="1" x14ac:dyDescent="0.25"/>
  <cols>
    <col min="1" max="1" width="2.7109375" style="11" customWidth="1"/>
    <col min="2" max="2" width="28.42578125" style="11" customWidth="1"/>
    <col min="3" max="33" width="5.7109375" style="11" customWidth="1"/>
    <col min="34" max="34" width="17.28515625" style="11" customWidth="1"/>
    <col min="35" max="35" width="2.7109375" customWidth="1"/>
  </cols>
  <sheetData>
    <row r="1" spans="2:34" ht="50.1" customHeight="1" x14ac:dyDescent="0.25">
      <c r="B1" s="14" t="str">
        <f>Tytuł_Nieobecności_pracowników</f>
        <v>Harmonogram nieobecności pracowników</v>
      </c>
    </row>
    <row r="2" spans="2:34" ht="15" customHeight="1" x14ac:dyDescent="0.25">
      <c r="B2" s="19" t="s">
        <v>1</v>
      </c>
      <c r="C2" s="4" t="s">
        <v>9</v>
      </c>
      <c r="D2" s="25" t="s">
        <v>12</v>
      </c>
      <c r="E2" s="25"/>
      <c r="F2" s="25"/>
      <c r="G2" s="5" t="s">
        <v>15</v>
      </c>
      <c r="H2" s="25" t="s">
        <v>19</v>
      </c>
      <c r="I2" s="25"/>
      <c r="J2" s="25"/>
      <c r="K2" s="6" t="s">
        <v>17</v>
      </c>
      <c r="L2" s="25" t="s">
        <v>24</v>
      </c>
      <c r="M2" s="25"/>
      <c r="N2" s="25"/>
      <c r="O2" s="25"/>
      <c r="P2" s="25"/>
      <c r="Q2" s="7"/>
      <c r="R2" s="25" t="s">
        <v>28</v>
      </c>
      <c r="S2" s="25"/>
      <c r="T2" s="25"/>
      <c r="U2" s="25"/>
      <c r="V2" s="8"/>
      <c r="W2" s="25" t="s">
        <v>33</v>
      </c>
      <c r="X2" s="25"/>
      <c r="Y2" s="25"/>
      <c r="Z2" s="25"/>
    </row>
    <row r="3" spans="2:34" ht="15" customHeight="1" x14ac:dyDescent="0.25">
      <c r="B3" s="14"/>
    </row>
    <row r="4" spans="2:34" ht="30" customHeight="1" x14ac:dyDescent="0.25">
      <c r="B4" s="12" t="s">
        <v>54</v>
      </c>
      <c r="C4" s="24" t="s">
        <v>10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12">
        <f>Rok_kalendarzowy</f>
        <v>2019</v>
      </c>
    </row>
    <row r="5" spans="2:34" ht="15" customHeight="1" x14ac:dyDescent="0.25">
      <c r="B5" s="12"/>
      <c r="C5" s="2" t="str">
        <f>TEXT(WEEKDAY(DATE(Rok_kalendarzowy,3,1),1),"aaa")</f>
        <v>pt</v>
      </c>
      <c r="D5" s="2" t="str">
        <f>TEXT(WEEKDAY(DATE(Rok_kalendarzowy,3,2),1),"aaa")</f>
        <v>sob</v>
      </c>
      <c r="E5" s="2" t="str">
        <f>TEXT(WEEKDAY(DATE(Rok_kalendarzowy,3,3),1),"aaa")</f>
        <v>niedz</v>
      </c>
      <c r="F5" s="2" t="str">
        <f>TEXT(WEEKDAY(DATE(Rok_kalendarzowy,3,4),1),"aaa")</f>
        <v>pon</v>
      </c>
      <c r="G5" s="2" t="str">
        <f>TEXT(WEEKDAY(DATE(Rok_kalendarzowy,3,5),1),"aaa")</f>
        <v>wt</v>
      </c>
      <c r="H5" s="2" t="str">
        <f>TEXT(WEEKDAY(DATE(Rok_kalendarzowy,3,6),1),"aaa")</f>
        <v>śr</v>
      </c>
      <c r="I5" s="2" t="str">
        <f>TEXT(WEEKDAY(DATE(Rok_kalendarzowy,3,7),1),"aaa")</f>
        <v>czw</v>
      </c>
      <c r="J5" s="2" t="str">
        <f>TEXT(WEEKDAY(DATE(Rok_kalendarzowy,3,8),1),"aaa")</f>
        <v>pt</v>
      </c>
      <c r="K5" s="2" t="str">
        <f>TEXT(WEEKDAY(DATE(Rok_kalendarzowy,3,9),1),"aaa")</f>
        <v>sob</v>
      </c>
      <c r="L5" s="2" t="str">
        <f>TEXT(WEEKDAY(DATE(Rok_kalendarzowy,3,10),1),"aaa")</f>
        <v>niedz</v>
      </c>
      <c r="M5" s="2" t="str">
        <f>TEXT(WEEKDAY(DATE(Rok_kalendarzowy,3,11),1),"aaa")</f>
        <v>pon</v>
      </c>
      <c r="N5" s="2" t="str">
        <f>TEXT(WEEKDAY(DATE(Rok_kalendarzowy,3,12),1),"aaa")</f>
        <v>wt</v>
      </c>
      <c r="O5" s="2" t="str">
        <f>TEXT(WEEKDAY(DATE(Rok_kalendarzowy,3,13),1),"aaa")</f>
        <v>śr</v>
      </c>
      <c r="P5" s="2" t="str">
        <f>TEXT(WEEKDAY(DATE(Rok_kalendarzowy,3,14),1),"aaa")</f>
        <v>czw</v>
      </c>
      <c r="Q5" s="2" t="str">
        <f>TEXT(WEEKDAY(DATE(Rok_kalendarzowy,3,15),1),"aaa")</f>
        <v>pt</v>
      </c>
      <c r="R5" s="2" t="str">
        <f>TEXT(WEEKDAY(DATE(Rok_kalendarzowy,3,16),1),"aaa")</f>
        <v>sob</v>
      </c>
      <c r="S5" s="2" t="str">
        <f>TEXT(WEEKDAY(DATE(Rok_kalendarzowy,3,17),1),"aaa")</f>
        <v>niedz</v>
      </c>
      <c r="T5" s="2" t="str">
        <f>TEXT(WEEKDAY(DATE(Rok_kalendarzowy,3,18),1),"aaa")</f>
        <v>pon</v>
      </c>
      <c r="U5" s="2" t="str">
        <f>TEXT(WEEKDAY(DATE(Rok_kalendarzowy,3,19),1),"aaa")</f>
        <v>wt</v>
      </c>
      <c r="V5" s="2" t="str">
        <f>TEXT(WEEKDAY(DATE(Rok_kalendarzowy,3,20),1),"aaa")</f>
        <v>śr</v>
      </c>
      <c r="W5" s="2" t="str">
        <f>TEXT(WEEKDAY(DATE(Rok_kalendarzowy,3,21),1),"aaa")</f>
        <v>czw</v>
      </c>
      <c r="X5" s="2" t="str">
        <f>TEXT(WEEKDAY(DATE(Rok_kalendarzowy,3,22),1),"aaa")</f>
        <v>pt</v>
      </c>
      <c r="Y5" s="2" t="str">
        <f>TEXT(WEEKDAY(DATE(Rok_kalendarzowy,3,23),1),"aaa")</f>
        <v>sob</v>
      </c>
      <c r="Z5" s="2" t="str">
        <f>TEXT(WEEKDAY(DATE(Rok_kalendarzowy,3,24),1),"aaa")</f>
        <v>niedz</v>
      </c>
      <c r="AA5" s="2" t="str">
        <f>TEXT(WEEKDAY(DATE(Rok_kalendarzowy,3,25),1),"aaa")</f>
        <v>pon</v>
      </c>
      <c r="AB5" s="2" t="str">
        <f>TEXT(WEEKDAY(DATE(Rok_kalendarzowy,3,26),1),"aaa")</f>
        <v>wt</v>
      </c>
      <c r="AC5" s="2" t="str">
        <f>TEXT(WEEKDAY(DATE(Rok_kalendarzowy,3,27),1),"aaa")</f>
        <v>śr</v>
      </c>
      <c r="AD5" s="2" t="str">
        <f>TEXT(WEEKDAY(DATE(Rok_kalendarzowy,3,28),1),"aaa")</f>
        <v>czw</v>
      </c>
      <c r="AE5" s="2" t="str">
        <f>TEXT(WEEKDAY(DATE(Rok_kalendarzowy,3,29),1),"aaa")</f>
        <v>pt</v>
      </c>
      <c r="AF5" s="2" t="str">
        <f>TEXT(WEEKDAY(DATE(Rok_kalendarzowy,3,30),1),"aaa")</f>
        <v>sob</v>
      </c>
      <c r="AG5" s="2" t="str">
        <f>TEXT(WEEKDAY(DATE(Rok_kalendarzowy,3,31),1),"aaa")</f>
        <v>niedz</v>
      </c>
      <c r="AH5" s="12"/>
    </row>
    <row r="6" spans="2:34" ht="15" customHeight="1" x14ac:dyDescent="0.25">
      <c r="B6" s="15" t="s">
        <v>3</v>
      </c>
      <c r="C6" s="3" t="s">
        <v>11</v>
      </c>
      <c r="D6" s="3" t="s">
        <v>13</v>
      </c>
      <c r="E6" s="3" t="s">
        <v>14</v>
      </c>
      <c r="F6" s="3" t="s">
        <v>16</v>
      </c>
      <c r="G6" s="3" t="s">
        <v>18</v>
      </c>
      <c r="H6" s="3" t="s">
        <v>20</v>
      </c>
      <c r="I6" s="3" t="s">
        <v>21</v>
      </c>
      <c r="J6" s="3" t="s">
        <v>22</v>
      </c>
      <c r="K6" s="3" t="s">
        <v>23</v>
      </c>
      <c r="L6" s="3" t="s">
        <v>25</v>
      </c>
      <c r="M6" s="3" t="s">
        <v>26</v>
      </c>
      <c r="N6" s="3" t="s">
        <v>27</v>
      </c>
      <c r="O6" s="3" t="s">
        <v>29</v>
      </c>
      <c r="P6" s="3" t="s">
        <v>30</v>
      </c>
      <c r="Q6" s="3" t="s">
        <v>31</v>
      </c>
      <c r="R6" s="3" t="s">
        <v>32</v>
      </c>
      <c r="S6" s="3" t="s">
        <v>34</v>
      </c>
      <c r="T6" s="3" t="s">
        <v>35</v>
      </c>
      <c r="U6" s="3" t="s">
        <v>36</v>
      </c>
      <c r="V6" s="3" t="s">
        <v>37</v>
      </c>
      <c r="W6" s="3" t="s">
        <v>38</v>
      </c>
      <c r="X6" s="3" t="s">
        <v>39</v>
      </c>
      <c r="Y6" s="3" t="s">
        <v>40</v>
      </c>
      <c r="Z6" s="3" t="s">
        <v>41</v>
      </c>
      <c r="AA6" s="3" t="s">
        <v>42</v>
      </c>
      <c r="AB6" s="3" t="s">
        <v>43</v>
      </c>
      <c r="AC6" s="3" t="s">
        <v>44</v>
      </c>
      <c r="AD6" s="3" t="s">
        <v>45</v>
      </c>
      <c r="AE6" s="3" t="s">
        <v>46</v>
      </c>
      <c r="AF6" s="3" t="s">
        <v>47</v>
      </c>
      <c r="AG6" s="3" t="s">
        <v>48</v>
      </c>
      <c r="AH6" s="16" t="s">
        <v>50</v>
      </c>
    </row>
    <row r="7" spans="2:34" ht="30" customHeight="1" x14ac:dyDescent="0.25">
      <c r="B7" s="17" t="s">
        <v>4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0">
        <f>COUNTA(Marzec[[#This Row],[1]:[31]])</f>
        <v>0</v>
      </c>
    </row>
    <row r="8" spans="2:34" ht="30" customHeight="1" x14ac:dyDescent="0.25">
      <c r="B8" s="17" t="s">
        <v>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10">
        <f>COUNTA(Marzec[[#This Row],[1]:[31]])</f>
        <v>0</v>
      </c>
    </row>
    <row r="9" spans="2:34" ht="30" customHeight="1" x14ac:dyDescent="0.25">
      <c r="B9" s="17" t="s">
        <v>6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10">
        <f>COUNTA(Marzec[[#This Row],[1]:[31]])</f>
        <v>0</v>
      </c>
    </row>
    <row r="10" spans="2:34" ht="30" customHeight="1" x14ac:dyDescent="0.25">
      <c r="B10" s="17" t="s">
        <v>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10">
        <f>COUNTA(Marzec[[#This Row],[1]:[31]])</f>
        <v>0</v>
      </c>
    </row>
    <row r="11" spans="2:34" ht="30" customHeight="1" x14ac:dyDescent="0.25">
      <c r="B11" s="17" t="s">
        <v>8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10">
        <f>COUNTA(Marzec[[#This Row],[1]:[31]])</f>
        <v>0</v>
      </c>
    </row>
    <row r="12" spans="2:34" ht="30" customHeight="1" x14ac:dyDescent="0.25">
      <c r="B12" s="21" t="str">
        <f>"Suma z "&amp;Nazwa_miesiąca</f>
        <v>Suma z Marzec</v>
      </c>
      <c r="C12" s="13">
        <f>SUBTOTAL(103,Marzec[1])</f>
        <v>0</v>
      </c>
      <c r="D12" s="13">
        <f>SUBTOTAL(103,Marzec[2])</f>
        <v>0</v>
      </c>
      <c r="E12" s="13">
        <f>SUBTOTAL(103,Marzec[3])</f>
        <v>0</v>
      </c>
      <c r="F12" s="13">
        <f>SUBTOTAL(103,Marzec[4])</f>
        <v>0</v>
      </c>
      <c r="G12" s="13">
        <f>SUBTOTAL(103,Marzec[5])</f>
        <v>0</v>
      </c>
      <c r="H12" s="13">
        <f>SUBTOTAL(103,Marzec[6])</f>
        <v>0</v>
      </c>
      <c r="I12" s="13">
        <f>SUBTOTAL(103,Marzec[7])</f>
        <v>0</v>
      </c>
      <c r="J12" s="13">
        <f>SUBTOTAL(103,Marzec[8])</f>
        <v>0</v>
      </c>
      <c r="K12" s="13">
        <f>SUBTOTAL(103,Marzec[9])</f>
        <v>0</v>
      </c>
      <c r="L12" s="13">
        <f>SUBTOTAL(103,Marzec[10])</f>
        <v>0</v>
      </c>
      <c r="M12" s="13">
        <f>SUBTOTAL(103,Marzec[11])</f>
        <v>0</v>
      </c>
      <c r="N12" s="13">
        <f>SUBTOTAL(103,Marzec[12])</f>
        <v>0</v>
      </c>
      <c r="O12" s="13">
        <f>SUBTOTAL(103,Marzec[13])</f>
        <v>0</v>
      </c>
      <c r="P12" s="13">
        <f>SUBTOTAL(103,Marzec[14])</f>
        <v>0</v>
      </c>
      <c r="Q12" s="13">
        <f>SUBTOTAL(103,Marzec[15])</f>
        <v>0</v>
      </c>
      <c r="R12" s="13">
        <f>SUBTOTAL(103,Marzec[16])</f>
        <v>0</v>
      </c>
      <c r="S12" s="13">
        <f>SUBTOTAL(103,Marzec[17])</f>
        <v>0</v>
      </c>
      <c r="T12" s="13">
        <f>SUBTOTAL(103,Marzec[18])</f>
        <v>0</v>
      </c>
      <c r="U12" s="13">
        <f>SUBTOTAL(103,Marzec[19])</f>
        <v>0</v>
      </c>
      <c r="V12" s="13">
        <f>SUBTOTAL(103,Marzec[20])</f>
        <v>0</v>
      </c>
      <c r="W12" s="13">
        <f>SUBTOTAL(103,Marzec[21])</f>
        <v>0</v>
      </c>
      <c r="X12" s="13">
        <f>SUBTOTAL(103,Marzec[22])</f>
        <v>0</v>
      </c>
      <c r="Y12" s="13">
        <f>SUBTOTAL(103,Marzec[23])</f>
        <v>0</v>
      </c>
      <c r="Z12" s="13">
        <f>SUBTOTAL(103,Marzec[24])</f>
        <v>0</v>
      </c>
      <c r="AA12" s="13">
        <f>SUBTOTAL(103,Marzec[25])</f>
        <v>0</v>
      </c>
      <c r="AB12" s="13">
        <f>SUBTOTAL(103,Marzec[26])</f>
        <v>0</v>
      </c>
      <c r="AC12" s="13">
        <f>SUBTOTAL(103,Marzec[27])</f>
        <v>0</v>
      </c>
      <c r="AD12" s="13">
        <f>SUBTOTAL(103,Marzec[28])</f>
        <v>0</v>
      </c>
      <c r="AE12" s="13">
        <f>SUBTOTAL(103,Marzec[29])</f>
        <v>0</v>
      </c>
      <c r="AF12" s="13">
        <f>SUBTOTAL(103,Marzec[30])</f>
        <v>0</v>
      </c>
      <c r="AG12" s="13">
        <f>SUBTOTAL(103,Marzec[31])</f>
        <v>0</v>
      </c>
      <c r="AH12" s="13">
        <f>SUBTOTAL(109,Marzec[Łączna liczba dni])</f>
        <v>0</v>
      </c>
    </row>
  </sheetData>
  <mergeCells count="6">
    <mergeCell ref="C4:AG4"/>
    <mergeCell ref="D2:F2"/>
    <mergeCell ref="H2:J2"/>
    <mergeCell ref="L2:P2"/>
    <mergeCell ref="R2:U2"/>
    <mergeCell ref="W2:Z2"/>
  </mergeCells>
  <conditionalFormatting sqref="C7:AG11">
    <cfRule type="expression" priority="1" stopIfTrue="1">
      <formula>C7=""</formula>
    </cfRule>
  </conditionalFormatting>
  <conditionalFormatting sqref="C7:AG11">
    <cfRule type="expression" dxfId="412" priority="2" stopIfTrue="1">
      <formula>C7=Klucz_niestandardowy_2</formula>
    </cfRule>
    <cfRule type="expression" dxfId="411" priority="3" stopIfTrue="1">
      <formula>C7=Klucz_niestandardowy_1</formula>
    </cfRule>
    <cfRule type="expression" dxfId="410" priority="4" stopIfTrue="1">
      <formula>C7=Klucz_Zwolnienie_lekarskie</formula>
    </cfRule>
    <cfRule type="expression" dxfId="409" priority="5" stopIfTrue="1">
      <formula>C7=Klucz_Osobiste</formula>
    </cfRule>
    <cfRule type="expression" dxfId="408" priority="6" stopIfTrue="1">
      <formula>C7=Klucz_Urlop</formula>
    </cfRule>
  </conditionalFormatting>
  <conditionalFormatting sqref="AH7:AH11">
    <cfRule type="dataBar" priority="7">
      <dataBar>
        <cfvo type="min"/>
        <cfvo type="formula" val="DATEDIF(DATE(Rok_kalendarzowy,2,1),DATE(Rok_kalendarzowy,3,1),&quot;d&quot;)"/>
        <color theme="2" tint="-0.249977111117893"/>
      </dataBar>
      <extLst>
        <ext xmlns:x14="http://schemas.microsoft.com/office/spreadsheetml/2009/9/main" uri="{B025F937-C7B1-47D3-B67F-A62EFF666E3E}">
          <x14:id>{7C2B6C3E-666E-4369-8C57-FD32A7D03A3C}</x14:id>
        </ext>
      </extLst>
    </cfRule>
  </conditionalFormatting>
  <dataValidations count="14">
    <dataValidation allowBlank="1" showInputMessage="1" showErrorMessage="1" prompt="Dni miesiąca w tym wierszu są generowane automatycznie. Wprowadź nieobecność pracownika i typ nieobecności w każdej kolumnie dla każdego dnia danego miesiąca. Puste pole oznacza brak nieobecności." sqref="C6" xr:uid="{00000000-0002-0000-0200-000000000000}"/>
    <dataValidation allowBlank="1" showInputMessage="1" showErrorMessage="1" prompt="W tym wierszu dni tygodnia dla danego miesiąca są aktualizowane automatycznie według roku w komórce AH4. Każdy dzień miesiąca jest reprezentowany przez kolumnę, w której można zanotować nieobecność pracownika i typ nieobecności" sqref="C5" xr:uid="{00000000-0002-0000-0200-000001000000}"/>
    <dataValidation allowBlank="1" showInputMessage="1" showErrorMessage="1" prompt="W tej komórce znajduje się nazwa miesiąca dla tego harmonogramu nieobecności. Suma nieobecności w tym miesiącu znajduje się w ostatniej komórce tabeli. W kolumnie B tabeli wybierz nazwiska pracowników" sqref="B4" xr:uid="{00000000-0002-0000-0200-000002000000}"/>
    <dataValidation allowBlank="1" showInputMessage="1" showErrorMessage="1" prompt="Ten wiersz definiuje klucze używane w tabeli: komórka C2 to urlop, G2 to sprawy osobiste, a K2 to zwolnienie lekarskie. Komórki N2 i R2 można dostosować" sqref="B2" xr:uid="{00000000-0002-0000-0200-000003000000}"/>
    <dataValidation allowBlank="1" showInputMessage="1" showErrorMessage="1" prompt="Wprowadź etykietę, aby opisać klucz niestandardowy po lewej stronie." sqref="R2 W2" xr:uid="{00000000-0002-0000-0200-000004000000}"/>
    <dataValidation allowBlank="1" showInputMessage="1" showErrorMessage="1" prompt="Wprowadź literę i dostosuj etykietę po prawej, aby dodać kolejny element klucza." sqref="Q2 V2" xr:uid="{00000000-0002-0000-0200-000005000000}"/>
    <dataValidation allowBlank="1" showInputMessage="1" showErrorMessage="1" prompt="Litera „Z” oznacza nieobecność ze względu na zwolnienie lekarskie" sqref="K2" xr:uid="{00000000-0002-0000-0200-000006000000}"/>
    <dataValidation allowBlank="1" showInputMessage="1" showErrorMessage="1" prompt="Litera „O” oznacza nieobecność ze względu na sprawy osobiste" sqref="G2" xr:uid="{00000000-0002-0000-0200-000007000000}"/>
    <dataValidation allowBlank="1" showInputMessage="1" showErrorMessage="1" prompt="Litera „U” oznacza nieobecność ze względu na urlop" sqref="C2" xr:uid="{00000000-0002-0000-0200-000008000000}"/>
    <dataValidation allowBlank="1" showInputMessage="1" showErrorMessage="1" prompt="W tej komórce znajduje się tytuł aktualizowany automatycznie. Aby zmodyfikować tytuł, zaktualizuj komórkę B1 w arkuszu Styczeń" sqref="B1" xr:uid="{00000000-0002-0000-0200-000009000000}"/>
    <dataValidation errorStyle="warning" allowBlank="1" showInputMessage="1" showErrorMessage="1" error="Wybierz nazwisko z listy. Wybierz pozycję ANULUJ, a następnie naciśnij klawisze ALT+STRZAŁKA W DÓŁ i klawisz ENTER, aby wybrać nazwisko" prompt="Wprowadź nazwiska pracowników w arkuszu Nazwiska pracowników, a następnie wybierz jedno z tych nazwisk z listy w tej kolumnie. Naciśnij klawisze ALT+STRZAŁKA W DÓŁ, a następnie klawisz ENTER, aby wybrać nazwisko" sqref="B6" xr:uid="{00000000-0002-0000-0200-00000A000000}"/>
    <dataValidation allowBlank="1" showInputMessage="1" showErrorMessage="1" prompt="Za pomocą tego arkusza śledź nieobecności w marcu" sqref="A1" xr:uid="{00000000-0002-0000-0200-00000B000000}"/>
    <dataValidation allowBlank="1" showInputMessage="1" showErrorMessage="1" prompt="Ta kolumna zawiera automatycznie obliczoną łączną liczbę dni nieobecności pracownika w danym miesiącu." sqref="AH6" xr:uid="{00000000-0002-0000-0200-00000C000000}"/>
    <dataValidation allowBlank="1" showInputMessage="1" showErrorMessage="1" prompt="Automatycznie aktualizowany rok na podstawie roku wprowadzonego w arkuszu Styczeń." sqref="AH4" xr:uid="{00000000-0002-0000-0200-00000D000000}"/>
  </dataValidations>
  <printOptions horizontalCentered="1"/>
  <pageMargins left="0.25" right="0.25" top="0.75" bottom="0.75" header="0.3" footer="0.3"/>
  <pageSetup paperSize="9" scale="73" fitToHeight="0" orientation="landscape" verticalDpi="4294967293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C2B6C3E-666E-4369-8C57-FD32A7D03A3C}">
            <x14:dataBar minLength="0" maxLength="100">
              <x14:cfvo type="autoMin"/>
              <x14:cfvo type="formula">
                <xm:f>DATEDIF(DATE(Rok_kalendarzowy,2,1),DATE(Rok_kalendarzowy,3,1),"d")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E000000}">
          <x14:formula1>
            <xm:f>'Nazwiska pracowników'!$B$4:$B$8</xm:f>
          </x14:formula1>
          <xm:sqref>B7:B11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2" tint="-0.249977111117893"/>
    <pageSetUpPr fitToPage="1"/>
  </sheetPr>
  <dimension ref="A1:AH12"/>
  <sheetViews>
    <sheetView showGridLines="0" zoomScaleNormal="100" workbookViewId="0"/>
  </sheetViews>
  <sheetFormatPr defaultRowHeight="30" customHeight="1" x14ac:dyDescent="0.25"/>
  <cols>
    <col min="1" max="1" width="2.7109375" style="11" customWidth="1"/>
    <col min="2" max="2" width="28.42578125" style="11" customWidth="1"/>
    <col min="3" max="33" width="5.7109375" style="11" customWidth="1"/>
    <col min="34" max="34" width="17.28515625" style="11" customWidth="1"/>
    <col min="35" max="35" width="2.7109375" customWidth="1"/>
  </cols>
  <sheetData>
    <row r="1" spans="2:34" ht="50.1" customHeight="1" x14ac:dyDescent="0.25">
      <c r="B1" s="14" t="str">
        <f>Tytuł_Nieobecności_pracowników</f>
        <v>Harmonogram nieobecności pracowników</v>
      </c>
    </row>
    <row r="2" spans="2:34" ht="15" customHeight="1" x14ac:dyDescent="0.25">
      <c r="B2" s="19" t="s">
        <v>1</v>
      </c>
      <c r="C2" s="4" t="s">
        <v>9</v>
      </c>
      <c r="D2" s="25" t="s">
        <v>12</v>
      </c>
      <c r="E2" s="25"/>
      <c r="F2" s="25"/>
      <c r="G2" s="5" t="s">
        <v>15</v>
      </c>
      <c r="H2" s="25" t="s">
        <v>19</v>
      </c>
      <c r="I2" s="25"/>
      <c r="J2" s="25"/>
      <c r="K2" s="6" t="s">
        <v>17</v>
      </c>
      <c r="L2" s="25" t="s">
        <v>24</v>
      </c>
      <c r="M2" s="25"/>
      <c r="N2" s="25"/>
      <c r="O2" s="25"/>
      <c r="P2" s="25"/>
      <c r="Q2" s="7"/>
      <c r="R2" s="25" t="s">
        <v>28</v>
      </c>
      <c r="S2" s="25"/>
      <c r="T2" s="25"/>
      <c r="U2" s="25"/>
      <c r="V2" s="8"/>
      <c r="W2" s="25" t="s">
        <v>33</v>
      </c>
      <c r="X2" s="25"/>
      <c r="Y2" s="25"/>
      <c r="Z2" s="25"/>
    </row>
    <row r="3" spans="2:34" ht="15" customHeight="1" x14ac:dyDescent="0.25">
      <c r="B3" s="14"/>
    </row>
    <row r="4" spans="2:34" ht="30" customHeight="1" x14ac:dyDescent="0.25">
      <c r="B4" s="12" t="s">
        <v>55</v>
      </c>
      <c r="C4" s="24" t="s">
        <v>10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12">
        <f>Rok_kalendarzowy</f>
        <v>2019</v>
      </c>
    </row>
    <row r="5" spans="2:34" ht="15" customHeight="1" x14ac:dyDescent="0.25">
      <c r="B5" s="12"/>
      <c r="C5" s="2" t="str">
        <f>TEXT(WEEKDAY(DATE(Rok_kalendarzowy,4,1),1),"aaa")</f>
        <v>pon</v>
      </c>
      <c r="D5" s="2" t="str">
        <f>TEXT(WEEKDAY(DATE(Rok_kalendarzowy,4,2),1),"aaa")</f>
        <v>wt</v>
      </c>
      <c r="E5" s="2" t="str">
        <f>TEXT(WEEKDAY(DATE(Rok_kalendarzowy,4,3),1),"aaa")</f>
        <v>śr</v>
      </c>
      <c r="F5" s="2" t="str">
        <f>TEXT(WEEKDAY(DATE(Rok_kalendarzowy,4,4),1),"aaa")</f>
        <v>czw</v>
      </c>
      <c r="G5" s="2" t="str">
        <f>TEXT(WEEKDAY(DATE(Rok_kalendarzowy,4,5),1),"aaa")</f>
        <v>pt</v>
      </c>
      <c r="H5" s="2" t="str">
        <f>TEXT(WEEKDAY(DATE(Rok_kalendarzowy,4,6),1),"aaa")</f>
        <v>sob</v>
      </c>
      <c r="I5" s="2" t="str">
        <f>TEXT(WEEKDAY(DATE(Rok_kalendarzowy,4,7),1),"aaa")</f>
        <v>niedz</v>
      </c>
      <c r="J5" s="2" t="str">
        <f>TEXT(WEEKDAY(DATE(Rok_kalendarzowy,4,8),1),"aaa")</f>
        <v>pon</v>
      </c>
      <c r="K5" s="2" t="str">
        <f>TEXT(WEEKDAY(DATE(Rok_kalendarzowy,4,9),1),"aaa")</f>
        <v>wt</v>
      </c>
      <c r="L5" s="2" t="str">
        <f>TEXT(WEEKDAY(DATE(Rok_kalendarzowy,4,10),1),"aaa")</f>
        <v>śr</v>
      </c>
      <c r="M5" s="2" t="str">
        <f>TEXT(WEEKDAY(DATE(Rok_kalendarzowy,4,11),1),"aaa")</f>
        <v>czw</v>
      </c>
      <c r="N5" s="2" t="str">
        <f>TEXT(WEEKDAY(DATE(Rok_kalendarzowy,4,12),1),"aaa")</f>
        <v>pt</v>
      </c>
      <c r="O5" s="2" t="str">
        <f>TEXT(WEEKDAY(DATE(Rok_kalendarzowy,4,13),1),"aaa")</f>
        <v>sob</v>
      </c>
      <c r="P5" s="2" t="str">
        <f>TEXT(WEEKDAY(DATE(Rok_kalendarzowy,4,14),1),"aaa")</f>
        <v>niedz</v>
      </c>
      <c r="Q5" s="2" t="str">
        <f>TEXT(WEEKDAY(DATE(Rok_kalendarzowy,4,15),1),"aaa")</f>
        <v>pon</v>
      </c>
      <c r="R5" s="2" t="str">
        <f>TEXT(WEEKDAY(DATE(Rok_kalendarzowy,4,16),1),"aaa")</f>
        <v>wt</v>
      </c>
      <c r="S5" s="2" t="str">
        <f>TEXT(WEEKDAY(DATE(Rok_kalendarzowy,4,17),1),"aaa")</f>
        <v>śr</v>
      </c>
      <c r="T5" s="2" t="str">
        <f>TEXT(WEEKDAY(DATE(Rok_kalendarzowy,4,18),1),"aaa")</f>
        <v>czw</v>
      </c>
      <c r="U5" s="2" t="str">
        <f>TEXT(WEEKDAY(DATE(Rok_kalendarzowy,4,19),1),"aaa")</f>
        <v>pt</v>
      </c>
      <c r="V5" s="2" t="str">
        <f>TEXT(WEEKDAY(DATE(Rok_kalendarzowy,4,20),1),"aaa")</f>
        <v>sob</v>
      </c>
      <c r="W5" s="2" t="str">
        <f>TEXT(WEEKDAY(DATE(Rok_kalendarzowy,4,21),1),"aaa")</f>
        <v>niedz</v>
      </c>
      <c r="X5" s="2" t="str">
        <f>TEXT(WEEKDAY(DATE(Rok_kalendarzowy,4,22),1),"aaa")</f>
        <v>pon</v>
      </c>
      <c r="Y5" s="2" t="str">
        <f>TEXT(WEEKDAY(DATE(Rok_kalendarzowy,4,23),1),"aaa")</f>
        <v>wt</v>
      </c>
      <c r="Z5" s="2" t="str">
        <f>TEXT(WEEKDAY(DATE(Rok_kalendarzowy,4,24),1),"aaa")</f>
        <v>śr</v>
      </c>
      <c r="AA5" s="2" t="str">
        <f>TEXT(WEEKDAY(DATE(Rok_kalendarzowy,4,25),1),"aaa")</f>
        <v>czw</v>
      </c>
      <c r="AB5" s="2" t="str">
        <f>TEXT(WEEKDAY(DATE(Rok_kalendarzowy,4,26),1),"aaa")</f>
        <v>pt</v>
      </c>
      <c r="AC5" s="2" t="str">
        <f>TEXT(WEEKDAY(DATE(Rok_kalendarzowy,4,27),1),"aaa")</f>
        <v>sob</v>
      </c>
      <c r="AD5" s="2" t="str">
        <f>TEXT(WEEKDAY(DATE(Rok_kalendarzowy,4,28),1),"aaa")</f>
        <v>niedz</v>
      </c>
      <c r="AE5" s="2" t="str">
        <f>TEXT(WEEKDAY(DATE(Rok_kalendarzowy,4,29),1),"aaa")</f>
        <v>pon</v>
      </c>
      <c r="AF5" s="2" t="str">
        <f>TEXT(WEEKDAY(DATE(Rok_kalendarzowy,4,30),1),"aaa")</f>
        <v>wt</v>
      </c>
      <c r="AG5" s="2"/>
      <c r="AH5" s="12"/>
    </row>
    <row r="6" spans="2:34" ht="15" customHeight="1" x14ac:dyDescent="0.25">
      <c r="B6" s="15" t="s">
        <v>3</v>
      </c>
      <c r="C6" s="3" t="s">
        <v>11</v>
      </c>
      <c r="D6" s="3" t="s">
        <v>13</v>
      </c>
      <c r="E6" s="3" t="s">
        <v>14</v>
      </c>
      <c r="F6" s="3" t="s">
        <v>16</v>
      </c>
      <c r="G6" s="3" t="s">
        <v>18</v>
      </c>
      <c r="H6" s="3" t="s">
        <v>20</v>
      </c>
      <c r="I6" s="3" t="s">
        <v>21</v>
      </c>
      <c r="J6" s="3" t="s">
        <v>22</v>
      </c>
      <c r="K6" s="3" t="s">
        <v>23</v>
      </c>
      <c r="L6" s="3" t="s">
        <v>25</v>
      </c>
      <c r="M6" s="3" t="s">
        <v>26</v>
      </c>
      <c r="N6" s="3" t="s">
        <v>27</v>
      </c>
      <c r="O6" s="3" t="s">
        <v>29</v>
      </c>
      <c r="P6" s="3" t="s">
        <v>30</v>
      </c>
      <c r="Q6" s="3" t="s">
        <v>31</v>
      </c>
      <c r="R6" s="3" t="s">
        <v>32</v>
      </c>
      <c r="S6" s="3" t="s">
        <v>34</v>
      </c>
      <c r="T6" s="3" t="s">
        <v>35</v>
      </c>
      <c r="U6" s="3" t="s">
        <v>36</v>
      </c>
      <c r="V6" s="3" t="s">
        <v>37</v>
      </c>
      <c r="W6" s="3" t="s">
        <v>38</v>
      </c>
      <c r="X6" s="3" t="s">
        <v>39</v>
      </c>
      <c r="Y6" s="3" t="s">
        <v>40</v>
      </c>
      <c r="Z6" s="3" t="s">
        <v>41</v>
      </c>
      <c r="AA6" s="3" t="s">
        <v>42</v>
      </c>
      <c r="AB6" s="3" t="s">
        <v>43</v>
      </c>
      <c r="AC6" s="3" t="s">
        <v>44</v>
      </c>
      <c r="AD6" s="3" t="s">
        <v>45</v>
      </c>
      <c r="AE6" s="3" t="s">
        <v>46</v>
      </c>
      <c r="AF6" s="3" t="s">
        <v>47</v>
      </c>
      <c r="AG6" s="23" t="s">
        <v>52</v>
      </c>
      <c r="AH6" s="16" t="s">
        <v>50</v>
      </c>
    </row>
    <row r="7" spans="2:34" ht="30" customHeight="1" x14ac:dyDescent="0.25">
      <c r="B7" s="17" t="s">
        <v>4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0">
        <f>COUNTA(Kwiecień[[#This Row],[1]:[30]])</f>
        <v>0</v>
      </c>
    </row>
    <row r="8" spans="2:34" ht="30" customHeight="1" x14ac:dyDescent="0.25">
      <c r="B8" s="17" t="s">
        <v>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10">
        <f>COUNTA(Kwiecień[[#This Row],[1]:[30]])</f>
        <v>0</v>
      </c>
    </row>
    <row r="9" spans="2:34" ht="30" customHeight="1" x14ac:dyDescent="0.25">
      <c r="B9" s="17" t="s">
        <v>6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10">
        <f>COUNTA(Kwiecień[[#This Row],[1]:[30]])</f>
        <v>0</v>
      </c>
    </row>
    <row r="10" spans="2:34" ht="30" customHeight="1" x14ac:dyDescent="0.25">
      <c r="B10" s="17" t="s">
        <v>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10">
        <f>COUNTA(Kwiecień[[#This Row],[1]:[30]])</f>
        <v>0</v>
      </c>
    </row>
    <row r="11" spans="2:34" ht="30" customHeight="1" x14ac:dyDescent="0.25">
      <c r="B11" s="17" t="s">
        <v>8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10">
        <f>COUNTA(Kwiecień[[#This Row],[1]:[30]])</f>
        <v>0</v>
      </c>
    </row>
    <row r="12" spans="2:34" ht="30" customHeight="1" x14ac:dyDescent="0.25">
      <c r="B12" s="21" t="str">
        <f>"Suma z "&amp;Nazwa_miesiąca</f>
        <v>Suma z Kwiecień</v>
      </c>
      <c r="C12" s="13">
        <f>SUBTOTAL(103,Kwiecień[1])</f>
        <v>0</v>
      </c>
      <c r="D12" s="13">
        <f>SUBTOTAL(103,Kwiecień[2])</f>
        <v>0</v>
      </c>
      <c r="E12" s="13">
        <f>SUBTOTAL(103,Kwiecień[3])</f>
        <v>0</v>
      </c>
      <c r="F12" s="13">
        <f>SUBTOTAL(103,Kwiecień[4])</f>
        <v>0</v>
      </c>
      <c r="G12" s="13">
        <f>SUBTOTAL(103,Kwiecień[5])</f>
        <v>0</v>
      </c>
      <c r="H12" s="13">
        <f>SUBTOTAL(103,Kwiecień[6])</f>
        <v>0</v>
      </c>
      <c r="I12" s="13">
        <f>SUBTOTAL(103,Kwiecień[7])</f>
        <v>0</v>
      </c>
      <c r="J12" s="13">
        <f>SUBTOTAL(103,Kwiecień[8])</f>
        <v>0</v>
      </c>
      <c r="K12" s="13">
        <f>SUBTOTAL(103,Kwiecień[9])</f>
        <v>0</v>
      </c>
      <c r="L12" s="13">
        <f>SUBTOTAL(103,Kwiecień[10])</f>
        <v>0</v>
      </c>
      <c r="M12" s="13">
        <f>SUBTOTAL(103,Kwiecień[11])</f>
        <v>0</v>
      </c>
      <c r="N12" s="13">
        <f>SUBTOTAL(103,Kwiecień[12])</f>
        <v>0</v>
      </c>
      <c r="O12" s="13">
        <f>SUBTOTAL(103,Kwiecień[13])</f>
        <v>0</v>
      </c>
      <c r="P12" s="13">
        <f>SUBTOTAL(103,Kwiecień[14])</f>
        <v>0</v>
      </c>
      <c r="Q12" s="13">
        <f>SUBTOTAL(103,Kwiecień[15])</f>
        <v>0</v>
      </c>
      <c r="R12" s="13">
        <f>SUBTOTAL(103,Kwiecień[16])</f>
        <v>0</v>
      </c>
      <c r="S12" s="13">
        <f>SUBTOTAL(103,Kwiecień[17])</f>
        <v>0</v>
      </c>
      <c r="T12" s="13">
        <f>SUBTOTAL(103,Kwiecień[18])</f>
        <v>0</v>
      </c>
      <c r="U12" s="13">
        <f>SUBTOTAL(103,Kwiecień[19])</f>
        <v>0</v>
      </c>
      <c r="V12" s="13">
        <f>SUBTOTAL(103,Kwiecień[20])</f>
        <v>0</v>
      </c>
      <c r="W12" s="13">
        <f>SUBTOTAL(103,Kwiecień[21])</f>
        <v>0</v>
      </c>
      <c r="X12" s="13">
        <f>SUBTOTAL(103,Kwiecień[22])</f>
        <v>0</v>
      </c>
      <c r="Y12" s="13">
        <f>SUBTOTAL(103,Kwiecień[23])</f>
        <v>0</v>
      </c>
      <c r="Z12" s="13">
        <f>SUBTOTAL(103,Kwiecień[24])</f>
        <v>0</v>
      </c>
      <c r="AA12" s="13">
        <f>SUBTOTAL(103,Kwiecień[25])</f>
        <v>0</v>
      </c>
      <c r="AB12" s="13">
        <f>SUBTOTAL(103,Kwiecień[26])</f>
        <v>0</v>
      </c>
      <c r="AC12" s="13">
        <f>SUBTOTAL(103,Kwiecień[27])</f>
        <v>0</v>
      </c>
      <c r="AD12" s="13">
        <f>SUBTOTAL(103,Kwiecień[28])</f>
        <v>0</v>
      </c>
      <c r="AE12" s="13">
        <f>SUBTOTAL(103,Kwiecień[29])</f>
        <v>0</v>
      </c>
      <c r="AF12" s="13">
        <f>SUBTOTAL(103,Kwiecień[30])</f>
        <v>0</v>
      </c>
      <c r="AG12" s="13">
        <f>SUBTOTAL(103,Kwiecień[30])</f>
        <v>0</v>
      </c>
      <c r="AH12" s="13">
        <f>SUBTOTAL(109,Kwiecień[Łączna liczba dni])</f>
        <v>0</v>
      </c>
    </row>
  </sheetData>
  <mergeCells count="6">
    <mergeCell ref="C4:AG4"/>
    <mergeCell ref="D2:F2"/>
    <mergeCell ref="H2:J2"/>
    <mergeCell ref="L2:P2"/>
    <mergeCell ref="R2:U2"/>
    <mergeCell ref="W2:Z2"/>
  </mergeCells>
  <conditionalFormatting sqref="C7:AG11">
    <cfRule type="expression" priority="1" stopIfTrue="1">
      <formula>C7=""</formula>
    </cfRule>
  </conditionalFormatting>
  <conditionalFormatting sqref="C7:AG11">
    <cfRule type="expression" dxfId="407" priority="2" stopIfTrue="1">
      <formula>C7=Klucz_niestandardowy_2</formula>
    </cfRule>
    <cfRule type="expression" dxfId="406" priority="3" stopIfTrue="1">
      <formula>C7=Klucz_niestandardowy_1</formula>
    </cfRule>
    <cfRule type="expression" dxfId="405" priority="4" stopIfTrue="1">
      <formula>C7=Klucz_Zwolnienie_lekarskie</formula>
    </cfRule>
    <cfRule type="expression" dxfId="404" priority="5" stopIfTrue="1">
      <formula>C7=Klucz_Osobiste</formula>
    </cfRule>
    <cfRule type="expression" dxfId="403" priority="6" stopIfTrue="1">
      <formula>C7=Klucz_Urlop</formula>
    </cfRule>
  </conditionalFormatting>
  <conditionalFormatting sqref="AH7:AH11">
    <cfRule type="dataBar" priority="7">
      <dataBar>
        <cfvo type="min"/>
        <cfvo type="formula" val="DATEDIF(DATE(Rok_kalendarzowy,2,1),DATE(Rok_kalendarzowy,3,1),&quot;d&quot;)"/>
        <color theme="2" tint="-0.249977111117893"/>
      </dataBar>
      <extLst>
        <ext xmlns:x14="http://schemas.microsoft.com/office/spreadsheetml/2009/9/main" uri="{B025F937-C7B1-47D3-B67F-A62EFF666E3E}">
          <x14:id>{0C86709F-D813-4066-A3F1-C30F11214F4B}</x14:id>
        </ext>
      </extLst>
    </cfRule>
  </conditionalFormatting>
  <dataValidations count="14">
    <dataValidation allowBlank="1" showInputMessage="1" showErrorMessage="1" prompt="Automatycznie aktualizowany rok na podstawie roku wprowadzonego w arkuszu Styczeń." sqref="AH4" xr:uid="{00000000-0002-0000-0300-000000000000}"/>
    <dataValidation allowBlank="1" showInputMessage="1" showErrorMessage="1" prompt="Ta kolumna zawiera automatycznie obliczoną łączną liczbę dni nieobecności pracownika w danym miesiącu." sqref="AH6" xr:uid="{00000000-0002-0000-0300-000001000000}"/>
    <dataValidation allowBlank="1" showInputMessage="1" showErrorMessage="1" prompt="Za pomocą tego arkusza śledź nieobecności w kwietniu" sqref="A1" xr:uid="{00000000-0002-0000-0300-000002000000}"/>
    <dataValidation errorStyle="warning" allowBlank="1" showInputMessage="1" showErrorMessage="1" error="Wybierz nazwisko z listy. Wybierz pozycję ANULUJ, a następnie naciśnij klawisze ALT+STRZAŁKA W DÓŁ i klawisz ENTER, aby wybrać nazwisko" prompt="Wprowadź nazwiska pracowników w arkuszu Nazwiska pracowników, a następnie wybierz jedno z tych nazwisk z listy w tej kolumnie. Naciśnij klawisze ALT+STRZAŁKA W DÓŁ, a następnie klawisz ENTER, aby wybrać nazwisko" sqref="B6" xr:uid="{00000000-0002-0000-0300-000003000000}"/>
    <dataValidation allowBlank="1" showInputMessage="1" showErrorMessage="1" prompt="W tej komórce znajduje się tytuł aktualizowany automatycznie. Aby zmodyfikować tytuł, zaktualizuj komórkę B1 w arkuszu Styczeń" sqref="B1" xr:uid="{00000000-0002-0000-0300-000004000000}"/>
    <dataValidation allowBlank="1" showInputMessage="1" showErrorMessage="1" prompt="Litera „U” oznacza nieobecność ze względu na urlop" sqref="C2" xr:uid="{00000000-0002-0000-0300-000005000000}"/>
    <dataValidation allowBlank="1" showInputMessage="1" showErrorMessage="1" prompt="Litera „O” oznacza nieobecność ze względu na sprawy osobiste" sqref="G2" xr:uid="{00000000-0002-0000-0300-000006000000}"/>
    <dataValidation allowBlank="1" showInputMessage="1" showErrorMessage="1" prompt="Litera „Z” oznacza nieobecność ze względu na zwolnienie lekarskie" sqref="K2" xr:uid="{00000000-0002-0000-0300-000007000000}"/>
    <dataValidation allowBlank="1" showInputMessage="1" showErrorMessage="1" prompt="Wprowadź literę i dostosuj etykietę po prawej, aby dodać kolejny element klucza." sqref="Q2 V2" xr:uid="{00000000-0002-0000-0300-000008000000}"/>
    <dataValidation allowBlank="1" showInputMessage="1" showErrorMessage="1" prompt="Wprowadź etykietę, aby opisać klucz niestandardowy po lewej stronie." sqref="R2 W2" xr:uid="{00000000-0002-0000-0300-000009000000}"/>
    <dataValidation allowBlank="1" showInputMessage="1" showErrorMessage="1" prompt="Ten wiersz definiuje klucze używane w tabeli: komórka C2 to urlop, G2 to sprawy osobiste, a K2 to zwolnienie lekarskie. Komórki N2 i R2 można dostosować" sqref="B2" xr:uid="{00000000-0002-0000-0300-00000A000000}"/>
    <dataValidation allowBlank="1" showInputMessage="1" showErrorMessage="1" prompt="W tej komórce znajduje się nazwa miesiąca dla tego harmonogramu nieobecności. Suma nieobecności w tym miesiącu znajduje się w ostatniej komórce tabeli. W kolumnie B tabeli wybierz nazwiska pracowników" sqref="B4" xr:uid="{00000000-0002-0000-0300-00000B000000}"/>
    <dataValidation allowBlank="1" showInputMessage="1" showErrorMessage="1" prompt="Dni miesiąca w tym wierszu są generowane automatycznie. Wprowadź nieobecność pracownika i typ nieobecności w każdej kolumnie dla każdego dnia danego miesiąca. Puste pole oznacza brak nieobecności." sqref="C6" xr:uid="{00000000-0002-0000-0300-00000C000000}"/>
    <dataValidation allowBlank="1" showInputMessage="1" showErrorMessage="1" prompt="W tym wierszu dni tygodnia dla danego miesiąca są aktualizowane automatycznie według roku w komórce AH4. Każdy dzień miesiąca jest reprezentowany przez kolumnę, w której można zanotować nieobecność pracownika i typ nieobecności" sqref="C5" xr:uid="{00000000-0002-0000-0300-00000D000000}"/>
  </dataValidations>
  <printOptions horizontalCentered="1"/>
  <pageMargins left="0.25" right="0.25" top="0.75" bottom="0.75" header="0.3" footer="0.3"/>
  <pageSetup paperSize="9" scale="73" fitToHeight="0" orientation="landscape" verticalDpi="4294967293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C86709F-D813-4066-A3F1-C30F11214F4B}">
            <x14:dataBar minLength="0" maxLength="100">
              <x14:cfvo type="autoMin"/>
              <x14:cfvo type="formula">
                <xm:f>DATEDIF(DATE(Rok_kalendarzowy,2,1),DATE(Rok_kalendarzowy,3,1),"d")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E000000}">
          <x14:formula1>
            <xm:f>'Nazwiska pracowników'!$B$4:$B$8</xm:f>
          </x14:formula1>
          <xm:sqref>B7:B11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2" tint="-9.9978637043366805E-2"/>
    <pageSetUpPr fitToPage="1"/>
  </sheetPr>
  <dimension ref="A1:AH12"/>
  <sheetViews>
    <sheetView showGridLines="0" zoomScaleNormal="100" workbookViewId="0"/>
  </sheetViews>
  <sheetFormatPr defaultRowHeight="30" customHeight="1" x14ac:dyDescent="0.25"/>
  <cols>
    <col min="1" max="1" width="2.7109375" style="11" customWidth="1"/>
    <col min="2" max="2" width="28.42578125" style="11" customWidth="1"/>
    <col min="3" max="33" width="5.7109375" style="11" customWidth="1"/>
    <col min="34" max="34" width="17.28515625" style="11" customWidth="1"/>
    <col min="35" max="35" width="2.7109375" customWidth="1"/>
  </cols>
  <sheetData>
    <row r="1" spans="2:34" ht="50.1" customHeight="1" x14ac:dyDescent="0.25">
      <c r="B1" s="14" t="str">
        <f>Tytuł_Nieobecności_pracowników</f>
        <v>Harmonogram nieobecności pracowników</v>
      </c>
    </row>
    <row r="2" spans="2:34" ht="15" customHeight="1" x14ac:dyDescent="0.25">
      <c r="B2" s="19" t="s">
        <v>1</v>
      </c>
      <c r="C2" s="4" t="s">
        <v>9</v>
      </c>
      <c r="D2" s="25" t="s">
        <v>12</v>
      </c>
      <c r="E2" s="25"/>
      <c r="F2" s="25"/>
      <c r="G2" s="5" t="s">
        <v>15</v>
      </c>
      <c r="H2" s="25" t="s">
        <v>19</v>
      </c>
      <c r="I2" s="25"/>
      <c r="J2" s="25"/>
      <c r="K2" s="6" t="s">
        <v>17</v>
      </c>
      <c r="L2" s="25" t="s">
        <v>24</v>
      </c>
      <c r="M2" s="25"/>
      <c r="N2" s="25"/>
      <c r="O2" s="25"/>
      <c r="P2" s="25"/>
      <c r="Q2" s="7"/>
      <c r="R2" s="25" t="s">
        <v>28</v>
      </c>
      <c r="S2" s="25"/>
      <c r="T2" s="25"/>
      <c r="U2" s="25"/>
      <c r="V2" s="8"/>
      <c r="W2" s="25" t="s">
        <v>33</v>
      </c>
      <c r="X2" s="25"/>
      <c r="Y2" s="25"/>
      <c r="Z2" s="25"/>
    </row>
    <row r="3" spans="2:34" ht="15" customHeight="1" x14ac:dyDescent="0.25">
      <c r="B3" s="14"/>
    </row>
    <row r="4" spans="2:34" ht="30" customHeight="1" x14ac:dyDescent="0.25">
      <c r="B4" s="12" t="s">
        <v>56</v>
      </c>
      <c r="C4" s="24" t="s">
        <v>10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12">
        <f>Rok_kalendarzowy</f>
        <v>2019</v>
      </c>
    </row>
    <row r="5" spans="2:34" ht="15" customHeight="1" x14ac:dyDescent="0.25">
      <c r="B5" s="12"/>
      <c r="C5" s="2" t="str">
        <f>TEXT(WEEKDAY(DATE(Rok_kalendarzowy,5,1),1),"aaa")</f>
        <v>śr</v>
      </c>
      <c r="D5" s="2" t="str">
        <f>TEXT(WEEKDAY(DATE(Rok_kalendarzowy,5,2),1),"aaa")</f>
        <v>czw</v>
      </c>
      <c r="E5" s="2" t="str">
        <f>TEXT(WEEKDAY(DATE(Rok_kalendarzowy,5,3),1),"aaa")</f>
        <v>pt</v>
      </c>
      <c r="F5" s="2" t="str">
        <f>TEXT(WEEKDAY(DATE(Rok_kalendarzowy,5,4),1),"aaa")</f>
        <v>sob</v>
      </c>
      <c r="G5" s="2" t="str">
        <f>TEXT(WEEKDAY(DATE(Rok_kalendarzowy,5,5),1),"aaa")</f>
        <v>niedz</v>
      </c>
      <c r="H5" s="2" t="str">
        <f>TEXT(WEEKDAY(DATE(Rok_kalendarzowy,5,6),1),"aaa")</f>
        <v>pon</v>
      </c>
      <c r="I5" s="2" t="str">
        <f>TEXT(WEEKDAY(DATE(Rok_kalendarzowy,5,7),1),"aaa")</f>
        <v>wt</v>
      </c>
      <c r="J5" s="2" t="str">
        <f>TEXT(WEEKDAY(DATE(Rok_kalendarzowy,5,8),1),"aaa")</f>
        <v>śr</v>
      </c>
      <c r="K5" s="2" t="str">
        <f>TEXT(WEEKDAY(DATE(Rok_kalendarzowy,5,9),1),"aaa")</f>
        <v>czw</v>
      </c>
      <c r="L5" s="2" t="str">
        <f>TEXT(WEEKDAY(DATE(Rok_kalendarzowy,5,10),1),"aaa")</f>
        <v>pt</v>
      </c>
      <c r="M5" s="2" t="str">
        <f>TEXT(WEEKDAY(DATE(Rok_kalendarzowy,5,11),1),"aaa")</f>
        <v>sob</v>
      </c>
      <c r="N5" s="2" t="str">
        <f>TEXT(WEEKDAY(DATE(Rok_kalendarzowy,5,12),1),"aaa")</f>
        <v>niedz</v>
      </c>
      <c r="O5" s="2" t="str">
        <f>TEXT(WEEKDAY(DATE(Rok_kalendarzowy,5,13),1),"aaa")</f>
        <v>pon</v>
      </c>
      <c r="P5" s="2" t="str">
        <f>TEXT(WEEKDAY(DATE(Rok_kalendarzowy,5,14),1),"aaa")</f>
        <v>wt</v>
      </c>
      <c r="Q5" s="2" t="str">
        <f>TEXT(WEEKDAY(DATE(Rok_kalendarzowy,5,15),1),"aaa")</f>
        <v>śr</v>
      </c>
      <c r="R5" s="2" t="str">
        <f>TEXT(WEEKDAY(DATE(Rok_kalendarzowy,5,16),1),"aaa")</f>
        <v>czw</v>
      </c>
      <c r="S5" s="2" t="str">
        <f>TEXT(WEEKDAY(DATE(Rok_kalendarzowy,5,17),1),"aaa")</f>
        <v>pt</v>
      </c>
      <c r="T5" s="2" t="str">
        <f>TEXT(WEEKDAY(DATE(Rok_kalendarzowy,5,18),1),"aaa")</f>
        <v>sob</v>
      </c>
      <c r="U5" s="2" t="str">
        <f>TEXT(WEEKDAY(DATE(Rok_kalendarzowy,5,19),1),"aaa")</f>
        <v>niedz</v>
      </c>
      <c r="V5" s="2" t="str">
        <f>TEXT(WEEKDAY(DATE(Rok_kalendarzowy,5,20),1),"aaa")</f>
        <v>pon</v>
      </c>
      <c r="W5" s="2" t="str">
        <f>TEXT(WEEKDAY(DATE(Rok_kalendarzowy,5,21),1),"aaa")</f>
        <v>wt</v>
      </c>
      <c r="X5" s="2" t="str">
        <f>TEXT(WEEKDAY(DATE(Rok_kalendarzowy,5,22),1),"aaa")</f>
        <v>śr</v>
      </c>
      <c r="Y5" s="2" t="str">
        <f>TEXT(WEEKDAY(DATE(Rok_kalendarzowy,5,23),1),"aaa")</f>
        <v>czw</v>
      </c>
      <c r="Z5" s="2" t="str">
        <f>TEXT(WEEKDAY(DATE(Rok_kalendarzowy,5,24),1),"aaa")</f>
        <v>pt</v>
      </c>
      <c r="AA5" s="2" t="str">
        <f>TEXT(WEEKDAY(DATE(Rok_kalendarzowy,5,25),1),"aaa")</f>
        <v>sob</v>
      </c>
      <c r="AB5" s="2" t="str">
        <f>TEXT(WEEKDAY(DATE(Rok_kalendarzowy,5,26),1),"aaa")</f>
        <v>niedz</v>
      </c>
      <c r="AC5" s="2" t="str">
        <f>TEXT(WEEKDAY(DATE(Rok_kalendarzowy,5,27),1),"aaa")</f>
        <v>pon</v>
      </c>
      <c r="AD5" s="2" t="str">
        <f>TEXT(WEEKDAY(DATE(Rok_kalendarzowy,5,28),1),"aaa")</f>
        <v>wt</v>
      </c>
      <c r="AE5" s="2" t="str">
        <f>TEXT(WEEKDAY(DATE(Rok_kalendarzowy,5,29),1),"aaa")</f>
        <v>śr</v>
      </c>
      <c r="AF5" s="2" t="str">
        <f>TEXT(WEEKDAY(DATE(Rok_kalendarzowy,5,30),1),"aaa")</f>
        <v>czw</v>
      </c>
      <c r="AG5" s="2" t="str">
        <f>TEXT(WEEKDAY(DATE(Rok_kalendarzowy,5,31),1),"aaa")</f>
        <v>pt</v>
      </c>
      <c r="AH5" s="12"/>
    </row>
    <row r="6" spans="2:34" ht="15" customHeight="1" x14ac:dyDescent="0.25">
      <c r="B6" s="15" t="s">
        <v>3</v>
      </c>
      <c r="C6" s="3" t="s">
        <v>11</v>
      </c>
      <c r="D6" s="3" t="s">
        <v>13</v>
      </c>
      <c r="E6" s="3" t="s">
        <v>14</v>
      </c>
      <c r="F6" s="3" t="s">
        <v>16</v>
      </c>
      <c r="G6" s="3" t="s">
        <v>18</v>
      </c>
      <c r="H6" s="3" t="s">
        <v>20</v>
      </c>
      <c r="I6" s="3" t="s">
        <v>21</v>
      </c>
      <c r="J6" s="3" t="s">
        <v>22</v>
      </c>
      <c r="K6" s="3" t="s">
        <v>23</v>
      </c>
      <c r="L6" s="3" t="s">
        <v>25</v>
      </c>
      <c r="M6" s="3" t="s">
        <v>26</v>
      </c>
      <c r="N6" s="3" t="s">
        <v>27</v>
      </c>
      <c r="O6" s="3" t="s">
        <v>29</v>
      </c>
      <c r="P6" s="3" t="s">
        <v>30</v>
      </c>
      <c r="Q6" s="3" t="s">
        <v>31</v>
      </c>
      <c r="R6" s="3" t="s">
        <v>32</v>
      </c>
      <c r="S6" s="3" t="s">
        <v>34</v>
      </c>
      <c r="T6" s="3" t="s">
        <v>35</v>
      </c>
      <c r="U6" s="3" t="s">
        <v>36</v>
      </c>
      <c r="V6" s="3" t="s">
        <v>37</v>
      </c>
      <c r="W6" s="3" t="s">
        <v>38</v>
      </c>
      <c r="X6" s="3" t="s">
        <v>39</v>
      </c>
      <c r="Y6" s="3" t="s">
        <v>40</v>
      </c>
      <c r="Z6" s="3" t="s">
        <v>41</v>
      </c>
      <c r="AA6" s="3" t="s">
        <v>42</v>
      </c>
      <c r="AB6" s="3" t="s">
        <v>43</v>
      </c>
      <c r="AC6" s="3" t="s">
        <v>44</v>
      </c>
      <c r="AD6" s="3" t="s">
        <v>45</v>
      </c>
      <c r="AE6" s="3" t="s">
        <v>46</v>
      </c>
      <c r="AF6" s="3" t="s">
        <v>47</v>
      </c>
      <c r="AG6" s="3" t="s">
        <v>48</v>
      </c>
      <c r="AH6" s="16" t="s">
        <v>50</v>
      </c>
    </row>
    <row r="7" spans="2:34" ht="30" customHeight="1" x14ac:dyDescent="0.25">
      <c r="B7" s="17" t="s">
        <v>4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0">
        <f>COUNTA(Maj[[#This Row],[1]:[31]])</f>
        <v>0</v>
      </c>
    </row>
    <row r="8" spans="2:34" ht="30" customHeight="1" x14ac:dyDescent="0.25">
      <c r="B8" s="17" t="s">
        <v>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10">
        <f>COUNTA(Maj[[#This Row],[1]:[31]])</f>
        <v>0</v>
      </c>
    </row>
    <row r="9" spans="2:34" ht="30" customHeight="1" x14ac:dyDescent="0.25">
      <c r="B9" s="17" t="s">
        <v>6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10">
        <f>COUNTA(Maj[[#This Row],[1]:[31]])</f>
        <v>0</v>
      </c>
    </row>
    <row r="10" spans="2:34" ht="30" customHeight="1" x14ac:dyDescent="0.25">
      <c r="B10" s="17" t="s">
        <v>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10">
        <f>COUNTA(Maj[[#This Row],[1]:[31]])</f>
        <v>0</v>
      </c>
    </row>
    <row r="11" spans="2:34" ht="30" customHeight="1" x14ac:dyDescent="0.25">
      <c r="B11" s="17" t="s">
        <v>8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10">
        <f>COUNTA(Maj[[#This Row],[1]:[31]])</f>
        <v>0</v>
      </c>
    </row>
    <row r="12" spans="2:34" ht="30" customHeight="1" x14ac:dyDescent="0.25">
      <c r="B12" s="21" t="str">
        <f>"Suma z "&amp;Nazwa_miesiąca</f>
        <v>Suma z Maj</v>
      </c>
      <c r="C12" s="13">
        <f>SUBTOTAL(103,Maj[1])</f>
        <v>0</v>
      </c>
      <c r="D12" s="13">
        <f>SUBTOTAL(103,Maj[2])</f>
        <v>0</v>
      </c>
      <c r="E12" s="13">
        <f>SUBTOTAL(103,Maj[3])</f>
        <v>0</v>
      </c>
      <c r="F12" s="13">
        <f>SUBTOTAL(103,Maj[4])</f>
        <v>0</v>
      </c>
      <c r="G12" s="13">
        <f>SUBTOTAL(103,Maj[5])</f>
        <v>0</v>
      </c>
      <c r="H12" s="13">
        <f>SUBTOTAL(103,Maj[6])</f>
        <v>0</v>
      </c>
      <c r="I12" s="13">
        <f>SUBTOTAL(103,Maj[7])</f>
        <v>0</v>
      </c>
      <c r="J12" s="13">
        <f>SUBTOTAL(103,Maj[8])</f>
        <v>0</v>
      </c>
      <c r="K12" s="13">
        <f>SUBTOTAL(103,Maj[9])</f>
        <v>0</v>
      </c>
      <c r="L12" s="13">
        <f>SUBTOTAL(103,Maj[10])</f>
        <v>0</v>
      </c>
      <c r="M12" s="13">
        <f>SUBTOTAL(103,Maj[11])</f>
        <v>0</v>
      </c>
      <c r="N12" s="13">
        <f>SUBTOTAL(103,Maj[12])</f>
        <v>0</v>
      </c>
      <c r="O12" s="13">
        <f>SUBTOTAL(103,Maj[13])</f>
        <v>0</v>
      </c>
      <c r="P12" s="13">
        <f>SUBTOTAL(103,Maj[14])</f>
        <v>0</v>
      </c>
      <c r="Q12" s="13">
        <f>SUBTOTAL(103,Maj[15])</f>
        <v>0</v>
      </c>
      <c r="R12" s="13">
        <f>SUBTOTAL(103,Maj[16])</f>
        <v>0</v>
      </c>
      <c r="S12" s="13">
        <f>SUBTOTAL(103,Maj[17])</f>
        <v>0</v>
      </c>
      <c r="T12" s="13">
        <f>SUBTOTAL(103,Maj[18])</f>
        <v>0</v>
      </c>
      <c r="U12" s="13">
        <f>SUBTOTAL(103,Maj[19])</f>
        <v>0</v>
      </c>
      <c r="V12" s="13">
        <f>SUBTOTAL(103,Maj[20])</f>
        <v>0</v>
      </c>
      <c r="W12" s="13">
        <f>SUBTOTAL(103,Maj[21])</f>
        <v>0</v>
      </c>
      <c r="X12" s="13">
        <f>SUBTOTAL(103,Maj[22])</f>
        <v>0</v>
      </c>
      <c r="Y12" s="13">
        <f>SUBTOTAL(103,Maj[23])</f>
        <v>0</v>
      </c>
      <c r="Z12" s="13">
        <f>SUBTOTAL(103,Maj[24])</f>
        <v>0</v>
      </c>
      <c r="AA12" s="13">
        <f>SUBTOTAL(103,Maj[25])</f>
        <v>0</v>
      </c>
      <c r="AB12" s="13">
        <f>SUBTOTAL(103,Maj[26])</f>
        <v>0</v>
      </c>
      <c r="AC12" s="13">
        <f>SUBTOTAL(103,Maj[27])</f>
        <v>0</v>
      </c>
      <c r="AD12" s="13">
        <f>SUBTOTAL(103,Maj[28])</f>
        <v>0</v>
      </c>
      <c r="AE12" s="13">
        <f>SUBTOTAL(103,Maj[29])</f>
        <v>0</v>
      </c>
      <c r="AF12" s="13">
        <f>SUBTOTAL(103,Maj[30])</f>
        <v>0</v>
      </c>
      <c r="AG12" s="13">
        <f>SUBTOTAL(103,Maj[31])</f>
        <v>0</v>
      </c>
      <c r="AH12" s="13">
        <f>SUBTOTAL(109,Maj[Łączna liczba dni])</f>
        <v>0</v>
      </c>
    </row>
  </sheetData>
  <mergeCells count="6">
    <mergeCell ref="C4:AG4"/>
    <mergeCell ref="D2:F2"/>
    <mergeCell ref="H2:J2"/>
    <mergeCell ref="L2:P2"/>
    <mergeCell ref="R2:U2"/>
    <mergeCell ref="W2:Z2"/>
  </mergeCells>
  <conditionalFormatting sqref="C7:AG11">
    <cfRule type="expression" priority="1" stopIfTrue="1">
      <formula>C7=""</formula>
    </cfRule>
  </conditionalFormatting>
  <conditionalFormatting sqref="C7:AG11">
    <cfRule type="expression" dxfId="402" priority="2" stopIfTrue="1">
      <formula>C7=Klucz_niestandardowy_2</formula>
    </cfRule>
    <cfRule type="expression" dxfId="401" priority="3" stopIfTrue="1">
      <formula>C7=Klucz_niestandardowy_1</formula>
    </cfRule>
    <cfRule type="expression" dxfId="400" priority="4" stopIfTrue="1">
      <formula>C7=Klucz_Zwolnienie_lekarskie</formula>
    </cfRule>
    <cfRule type="expression" dxfId="399" priority="5" stopIfTrue="1">
      <formula>C7=Klucz_Osobiste</formula>
    </cfRule>
    <cfRule type="expression" dxfId="398" priority="6" stopIfTrue="1">
      <formula>C7=Klucz_Urlop</formula>
    </cfRule>
  </conditionalFormatting>
  <conditionalFormatting sqref="AH7:AH11">
    <cfRule type="dataBar" priority="7">
      <dataBar>
        <cfvo type="min"/>
        <cfvo type="formula" val="DATEDIF(DATE(Rok_kalendarzowy,2,1),DATE(Rok_kalendarzowy,3,1),&quot;d&quot;)"/>
        <color theme="2" tint="-0.249977111117893"/>
      </dataBar>
      <extLst>
        <ext xmlns:x14="http://schemas.microsoft.com/office/spreadsheetml/2009/9/main" uri="{B025F937-C7B1-47D3-B67F-A62EFF666E3E}">
          <x14:id>{5670947F-8B3C-4A6C-A280-4F5E10811DCE}</x14:id>
        </ext>
      </extLst>
    </cfRule>
  </conditionalFormatting>
  <dataValidations count="14">
    <dataValidation allowBlank="1" showInputMessage="1" showErrorMessage="1" prompt="Dni miesiąca w tym wierszu są generowane automatycznie. Wprowadź nieobecność pracownika i typ nieobecności w każdej kolumnie dla każdego dnia danego miesiąca. Puste pole oznacza brak nieobecności." sqref="C6" xr:uid="{00000000-0002-0000-0400-000000000000}"/>
    <dataValidation allowBlank="1" showInputMessage="1" showErrorMessage="1" prompt="W tej komórce znajduje się nazwa miesiąca dla tego harmonogramu nieobecności. Suma nieobecności w tym miesiącu znajduje się w ostatniej komórce tabeli. W kolumnie B tabeli wybierz nazwiska pracowników" sqref="B4" xr:uid="{00000000-0002-0000-0400-000001000000}"/>
    <dataValidation allowBlank="1" showInputMessage="1" showErrorMessage="1" prompt="Ten wiersz definiuje klucze używane w tabeli: komórka C2 to urlop, G2 to sprawy osobiste, a K2 to zwolnienie lekarskie. Komórki N2 i R2 można dostosować" sqref="B2" xr:uid="{00000000-0002-0000-0400-000002000000}"/>
    <dataValidation allowBlank="1" showInputMessage="1" showErrorMessage="1" prompt="Wprowadź etykietę, aby opisać klucz niestandardowy po lewej stronie." sqref="R2 W2" xr:uid="{00000000-0002-0000-0400-000003000000}"/>
    <dataValidation allowBlank="1" showInputMessage="1" showErrorMessage="1" prompt="Wprowadź literę i dostosuj etykietę po prawej, aby dodać kolejny element klucza." sqref="Q2 V2" xr:uid="{00000000-0002-0000-0400-000004000000}"/>
    <dataValidation allowBlank="1" showInputMessage="1" showErrorMessage="1" prompt="Litera „Z” oznacza nieobecność ze względu na zwolnienie lekarskie" sqref="K2" xr:uid="{00000000-0002-0000-0400-000005000000}"/>
    <dataValidation allowBlank="1" showInputMessage="1" showErrorMessage="1" prompt="Litera „O” oznacza nieobecność ze względu na sprawy osobiste" sqref="G2" xr:uid="{00000000-0002-0000-0400-000006000000}"/>
    <dataValidation allowBlank="1" showInputMessage="1" showErrorMessage="1" prompt="Litera „U” oznacza nieobecność ze względu na urlop" sqref="C2" xr:uid="{00000000-0002-0000-0400-000007000000}"/>
    <dataValidation allowBlank="1" showInputMessage="1" showErrorMessage="1" prompt="W tej komórce znajduje się tytuł aktualizowany automatycznie. Aby zmodyfikować tytuł, zaktualizuj komórkę B1 w arkuszu Styczeń" sqref="B1" xr:uid="{00000000-0002-0000-0400-000008000000}"/>
    <dataValidation errorStyle="warning" allowBlank="1" showInputMessage="1" showErrorMessage="1" error="Wybierz nazwisko z listy. Wybierz pozycję ANULUJ, a następnie naciśnij klawisze ALT+STRZAŁKA W DÓŁ i klawisz ENTER, aby wybrać nazwisko" prompt="Wprowadź nazwiska pracowników w arkuszu Nazwiska pracowników, a następnie wybierz jedno z tych nazwisk z listy w tej kolumnie. Naciśnij klawisze ALT+STRZAŁKA W DÓŁ, a następnie klawisz ENTER, aby wybrać nazwisko" sqref="B6" xr:uid="{00000000-0002-0000-0400-000009000000}"/>
    <dataValidation allowBlank="1" showInputMessage="1" showErrorMessage="1" prompt="Za pomocą tego arkusza śledź nieobecności w maju" sqref="A1" xr:uid="{00000000-0002-0000-0400-00000A000000}"/>
    <dataValidation allowBlank="1" showInputMessage="1" showErrorMessage="1" prompt="Ta kolumna zawiera automatycznie obliczoną łączną liczbę dni nieobecności pracownika w danym miesiącu." sqref="AH6" xr:uid="{00000000-0002-0000-0400-00000B000000}"/>
    <dataValidation allowBlank="1" showInputMessage="1" showErrorMessage="1" prompt="Automatycznie aktualizowany rok na podstawie roku wprowadzonego w arkuszu Styczeń." sqref="AH4" xr:uid="{00000000-0002-0000-0400-00000C000000}"/>
    <dataValidation allowBlank="1" showInputMessage="1" showErrorMessage="1" prompt="W tym wierszu dni tygodnia dla danego miesiąca są aktualizowane automatycznie według roku w komórce AH4. Każdy dzień miesiąca jest reprezentowany przez kolumnę, w której można zanotować nieobecność pracownika i typ nieobecności" sqref="C5" xr:uid="{00000000-0002-0000-0400-00000D000000}"/>
  </dataValidations>
  <printOptions horizontalCentered="1"/>
  <pageMargins left="0.25" right="0.25" top="0.75" bottom="0.75" header="0.3" footer="0.3"/>
  <pageSetup paperSize="9" scale="73" fitToHeight="0" orientation="landscape" verticalDpi="4294967293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670947F-8B3C-4A6C-A280-4F5E10811DCE}">
            <x14:dataBar minLength="0" maxLength="100">
              <x14:cfvo type="autoMin"/>
              <x14:cfvo type="formula">
                <xm:f>DATEDIF(DATE(Rok_kalendarzowy,2,1),DATE(Rok_kalendarzowy,3,1),"d")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E000000}">
          <x14:formula1>
            <xm:f>'Nazwiska pracowników'!$B$4:$B$8</xm:f>
          </x14:formula1>
          <xm:sqref>B7:B11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2"/>
    <pageSetUpPr fitToPage="1"/>
  </sheetPr>
  <dimension ref="A1:AH12"/>
  <sheetViews>
    <sheetView showGridLines="0" zoomScaleNormal="100" workbookViewId="0"/>
  </sheetViews>
  <sheetFormatPr defaultRowHeight="30" customHeight="1" x14ac:dyDescent="0.25"/>
  <cols>
    <col min="1" max="1" width="2.7109375" style="11" customWidth="1"/>
    <col min="2" max="2" width="28.42578125" style="11" customWidth="1"/>
    <col min="3" max="33" width="5.7109375" style="11" customWidth="1"/>
    <col min="34" max="34" width="17.28515625" style="11" customWidth="1"/>
    <col min="35" max="35" width="2.7109375" customWidth="1"/>
  </cols>
  <sheetData>
    <row r="1" spans="2:34" ht="50.1" customHeight="1" x14ac:dyDescent="0.25">
      <c r="B1" s="14" t="str">
        <f>Tytuł_Nieobecności_pracowników</f>
        <v>Harmonogram nieobecności pracowników</v>
      </c>
    </row>
    <row r="2" spans="2:34" ht="15" customHeight="1" x14ac:dyDescent="0.25">
      <c r="B2" s="19" t="s">
        <v>1</v>
      </c>
      <c r="C2" s="4" t="s">
        <v>9</v>
      </c>
      <c r="D2" s="25" t="s">
        <v>12</v>
      </c>
      <c r="E2" s="25"/>
      <c r="F2" s="25"/>
      <c r="G2" s="5" t="s">
        <v>15</v>
      </c>
      <c r="H2" s="25" t="s">
        <v>19</v>
      </c>
      <c r="I2" s="25"/>
      <c r="J2" s="25"/>
      <c r="K2" s="6" t="s">
        <v>17</v>
      </c>
      <c r="L2" s="25" t="s">
        <v>24</v>
      </c>
      <c r="M2" s="25"/>
      <c r="N2" s="25"/>
      <c r="O2" s="25"/>
      <c r="P2" s="25"/>
      <c r="Q2" s="7"/>
      <c r="R2" s="25" t="s">
        <v>28</v>
      </c>
      <c r="S2" s="25"/>
      <c r="T2" s="25"/>
      <c r="U2" s="25"/>
      <c r="V2" s="8"/>
      <c r="W2" s="25" t="s">
        <v>33</v>
      </c>
      <c r="X2" s="25"/>
      <c r="Y2" s="25"/>
      <c r="Z2" s="25"/>
    </row>
    <row r="3" spans="2:34" ht="15" customHeight="1" x14ac:dyDescent="0.25">
      <c r="B3" s="14"/>
    </row>
    <row r="4" spans="2:34" ht="30" customHeight="1" x14ac:dyDescent="0.25">
      <c r="B4" s="12" t="s">
        <v>57</v>
      </c>
      <c r="C4" s="24" t="s">
        <v>10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12">
        <f>Rok_kalendarzowy</f>
        <v>2019</v>
      </c>
    </row>
    <row r="5" spans="2:34" ht="15" customHeight="1" x14ac:dyDescent="0.25">
      <c r="B5" s="12"/>
      <c r="C5" s="2" t="str">
        <f>TEXT(WEEKDAY(DATE(Rok_kalendarzowy,6,1),1),"aaa")</f>
        <v>sob</v>
      </c>
      <c r="D5" s="2" t="str">
        <f>TEXT(WEEKDAY(DATE(Rok_kalendarzowy,6,2),1),"aaa")</f>
        <v>niedz</v>
      </c>
      <c r="E5" s="2" t="str">
        <f>TEXT(WEEKDAY(DATE(Rok_kalendarzowy,6,3),1),"aaa")</f>
        <v>pon</v>
      </c>
      <c r="F5" s="2" t="str">
        <f>TEXT(WEEKDAY(DATE(Rok_kalendarzowy,6,4),1),"aaa")</f>
        <v>wt</v>
      </c>
      <c r="G5" s="2" t="str">
        <f>TEXT(WEEKDAY(DATE(Rok_kalendarzowy,6,5),1),"aaa")</f>
        <v>śr</v>
      </c>
      <c r="H5" s="2" t="str">
        <f>TEXT(WEEKDAY(DATE(Rok_kalendarzowy,6,6),1),"aaa")</f>
        <v>czw</v>
      </c>
      <c r="I5" s="2" t="str">
        <f>TEXT(WEEKDAY(DATE(Rok_kalendarzowy,6,7),1),"aaa")</f>
        <v>pt</v>
      </c>
      <c r="J5" s="2" t="str">
        <f>TEXT(WEEKDAY(DATE(Rok_kalendarzowy,6,8),1),"aaa")</f>
        <v>sob</v>
      </c>
      <c r="K5" s="2" t="str">
        <f>TEXT(WEEKDAY(DATE(Rok_kalendarzowy,6,9),1),"aaa")</f>
        <v>niedz</v>
      </c>
      <c r="L5" s="2" t="str">
        <f>TEXT(WEEKDAY(DATE(Rok_kalendarzowy,6,10),1),"aaa")</f>
        <v>pon</v>
      </c>
      <c r="M5" s="2" t="str">
        <f>TEXT(WEEKDAY(DATE(Rok_kalendarzowy,6,11),1),"aaa")</f>
        <v>wt</v>
      </c>
      <c r="N5" s="2" t="str">
        <f>TEXT(WEEKDAY(DATE(Rok_kalendarzowy,6,12),1),"aaa")</f>
        <v>śr</v>
      </c>
      <c r="O5" s="2" t="str">
        <f>TEXT(WEEKDAY(DATE(Rok_kalendarzowy,6,13),1),"aaa")</f>
        <v>czw</v>
      </c>
      <c r="P5" s="2" t="str">
        <f>TEXT(WEEKDAY(DATE(Rok_kalendarzowy,6,14),1),"aaa")</f>
        <v>pt</v>
      </c>
      <c r="Q5" s="2" t="str">
        <f>TEXT(WEEKDAY(DATE(Rok_kalendarzowy,6,15),1),"aaa")</f>
        <v>sob</v>
      </c>
      <c r="R5" s="2" t="str">
        <f>TEXT(WEEKDAY(DATE(Rok_kalendarzowy,6,16),1),"aaa")</f>
        <v>niedz</v>
      </c>
      <c r="S5" s="2" t="str">
        <f>TEXT(WEEKDAY(DATE(Rok_kalendarzowy,6,17),1),"aaa")</f>
        <v>pon</v>
      </c>
      <c r="T5" s="2" t="str">
        <f>TEXT(WEEKDAY(DATE(Rok_kalendarzowy,6,18),1),"aaa")</f>
        <v>wt</v>
      </c>
      <c r="U5" s="2" t="str">
        <f>TEXT(WEEKDAY(DATE(Rok_kalendarzowy,6,19),1),"aaa")</f>
        <v>śr</v>
      </c>
      <c r="V5" s="2" t="str">
        <f>TEXT(WEEKDAY(DATE(Rok_kalendarzowy,6,20),1),"aaa")</f>
        <v>czw</v>
      </c>
      <c r="W5" s="2" t="str">
        <f>TEXT(WEEKDAY(DATE(Rok_kalendarzowy,6,21),1),"aaa")</f>
        <v>pt</v>
      </c>
      <c r="X5" s="2" t="str">
        <f>TEXT(WEEKDAY(DATE(Rok_kalendarzowy,6,22),1),"aaa")</f>
        <v>sob</v>
      </c>
      <c r="Y5" s="2" t="str">
        <f>TEXT(WEEKDAY(DATE(Rok_kalendarzowy,6,23),1),"aaa")</f>
        <v>niedz</v>
      </c>
      <c r="Z5" s="2" t="str">
        <f>TEXT(WEEKDAY(DATE(Rok_kalendarzowy,6,24),1),"aaa")</f>
        <v>pon</v>
      </c>
      <c r="AA5" s="2" t="str">
        <f>TEXT(WEEKDAY(DATE(Rok_kalendarzowy,6,25),1),"aaa")</f>
        <v>wt</v>
      </c>
      <c r="AB5" s="2" t="str">
        <f>TEXT(WEEKDAY(DATE(Rok_kalendarzowy,6,26),1),"aaa")</f>
        <v>śr</v>
      </c>
      <c r="AC5" s="2" t="str">
        <f>TEXT(WEEKDAY(DATE(Rok_kalendarzowy,6,27),1),"aaa")</f>
        <v>czw</v>
      </c>
      <c r="AD5" s="2" t="str">
        <f>TEXT(WEEKDAY(DATE(Rok_kalendarzowy,6,28),1),"aaa")</f>
        <v>pt</v>
      </c>
      <c r="AE5" s="2" t="str">
        <f>TEXT(WEEKDAY(DATE(Rok_kalendarzowy,6,29),1),"aaa")</f>
        <v>sob</v>
      </c>
      <c r="AF5" s="2" t="str">
        <f>TEXT(WEEKDAY(DATE(Rok_kalendarzowy,6,30),1),"aaa")</f>
        <v>niedz</v>
      </c>
      <c r="AG5" s="2"/>
      <c r="AH5" s="12"/>
    </row>
    <row r="6" spans="2:34" ht="15" customHeight="1" x14ac:dyDescent="0.25">
      <c r="B6" s="15" t="s">
        <v>3</v>
      </c>
      <c r="C6" s="3" t="s">
        <v>11</v>
      </c>
      <c r="D6" s="3" t="s">
        <v>13</v>
      </c>
      <c r="E6" s="3" t="s">
        <v>14</v>
      </c>
      <c r="F6" s="3" t="s">
        <v>16</v>
      </c>
      <c r="G6" s="3" t="s">
        <v>18</v>
      </c>
      <c r="H6" s="3" t="s">
        <v>20</v>
      </c>
      <c r="I6" s="3" t="s">
        <v>21</v>
      </c>
      <c r="J6" s="3" t="s">
        <v>22</v>
      </c>
      <c r="K6" s="3" t="s">
        <v>23</v>
      </c>
      <c r="L6" s="3" t="s">
        <v>25</v>
      </c>
      <c r="M6" s="3" t="s">
        <v>26</v>
      </c>
      <c r="N6" s="3" t="s">
        <v>27</v>
      </c>
      <c r="O6" s="3" t="s">
        <v>29</v>
      </c>
      <c r="P6" s="3" t="s">
        <v>30</v>
      </c>
      <c r="Q6" s="3" t="s">
        <v>31</v>
      </c>
      <c r="R6" s="3" t="s">
        <v>32</v>
      </c>
      <c r="S6" s="3" t="s">
        <v>34</v>
      </c>
      <c r="T6" s="3" t="s">
        <v>35</v>
      </c>
      <c r="U6" s="3" t="s">
        <v>36</v>
      </c>
      <c r="V6" s="3" t="s">
        <v>37</v>
      </c>
      <c r="W6" s="3" t="s">
        <v>38</v>
      </c>
      <c r="X6" s="3" t="s">
        <v>39</v>
      </c>
      <c r="Y6" s="3" t="s">
        <v>40</v>
      </c>
      <c r="Z6" s="3" t="s">
        <v>41</v>
      </c>
      <c r="AA6" s="3" t="s">
        <v>42</v>
      </c>
      <c r="AB6" s="3" t="s">
        <v>43</v>
      </c>
      <c r="AC6" s="3" t="s">
        <v>44</v>
      </c>
      <c r="AD6" s="3" t="s">
        <v>45</v>
      </c>
      <c r="AE6" s="3" t="s">
        <v>46</v>
      </c>
      <c r="AF6" s="3" t="s">
        <v>47</v>
      </c>
      <c r="AG6" s="3" t="s">
        <v>52</v>
      </c>
      <c r="AH6" s="16" t="s">
        <v>50</v>
      </c>
    </row>
    <row r="7" spans="2:34" ht="30" customHeight="1" x14ac:dyDescent="0.25">
      <c r="B7" s="17" t="s">
        <v>4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0">
        <f>COUNTA(Czerwiec[[#This Row],[1]:[30]])</f>
        <v>0</v>
      </c>
    </row>
    <row r="8" spans="2:34" ht="30" customHeight="1" x14ac:dyDescent="0.25">
      <c r="B8" s="17" t="s">
        <v>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10">
        <f>COUNTA(Czerwiec[[#This Row],[1]:[30]])</f>
        <v>0</v>
      </c>
    </row>
    <row r="9" spans="2:34" ht="30" customHeight="1" x14ac:dyDescent="0.25">
      <c r="B9" s="17" t="s">
        <v>6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10">
        <f>COUNTA(Czerwiec[[#This Row],[1]:[30]])</f>
        <v>0</v>
      </c>
    </row>
    <row r="10" spans="2:34" ht="30" customHeight="1" x14ac:dyDescent="0.25">
      <c r="B10" s="17" t="s">
        <v>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10">
        <f>COUNTA(Czerwiec[[#This Row],[1]:[30]])</f>
        <v>0</v>
      </c>
    </row>
    <row r="11" spans="2:34" ht="30" customHeight="1" x14ac:dyDescent="0.25">
      <c r="B11" s="17" t="s">
        <v>8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10">
        <f>COUNTA(Czerwiec[[#This Row],[1]:[30]])</f>
        <v>0</v>
      </c>
    </row>
    <row r="12" spans="2:34" ht="30" customHeight="1" x14ac:dyDescent="0.25">
      <c r="B12" s="21" t="str">
        <f>"Suma z "&amp;Nazwa_miesiąca</f>
        <v>Suma z Czerwiec</v>
      </c>
      <c r="C12" s="13">
        <f>SUBTOTAL(103,Czerwiec[1])</f>
        <v>0</v>
      </c>
      <c r="D12" s="13">
        <f>SUBTOTAL(103,Czerwiec[2])</f>
        <v>0</v>
      </c>
      <c r="E12" s="13">
        <f>SUBTOTAL(103,Czerwiec[3])</f>
        <v>0</v>
      </c>
      <c r="F12" s="13">
        <f>SUBTOTAL(103,Czerwiec[4])</f>
        <v>0</v>
      </c>
      <c r="G12" s="13">
        <f>SUBTOTAL(103,Czerwiec[5])</f>
        <v>0</v>
      </c>
      <c r="H12" s="13">
        <f>SUBTOTAL(103,Czerwiec[6])</f>
        <v>0</v>
      </c>
      <c r="I12" s="13">
        <f>SUBTOTAL(103,Czerwiec[7])</f>
        <v>0</v>
      </c>
      <c r="J12" s="13">
        <f>SUBTOTAL(103,Czerwiec[8])</f>
        <v>0</v>
      </c>
      <c r="K12" s="13">
        <f>SUBTOTAL(103,Czerwiec[9])</f>
        <v>0</v>
      </c>
      <c r="L12" s="13">
        <f>SUBTOTAL(103,Czerwiec[10])</f>
        <v>0</v>
      </c>
      <c r="M12" s="13">
        <f>SUBTOTAL(103,Czerwiec[11])</f>
        <v>0</v>
      </c>
      <c r="N12" s="13">
        <f>SUBTOTAL(103,Czerwiec[12])</f>
        <v>0</v>
      </c>
      <c r="O12" s="13">
        <f>SUBTOTAL(103,Czerwiec[13])</f>
        <v>0</v>
      </c>
      <c r="P12" s="13">
        <f>SUBTOTAL(103,Czerwiec[14])</f>
        <v>0</v>
      </c>
      <c r="Q12" s="13">
        <f>SUBTOTAL(103,Czerwiec[15])</f>
        <v>0</v>
      </c>
      <c r="R12" s="13">
        <f>SUBTOTAL(103,Czerwiec[16])</f>
        <v>0</v>
      </c>
      <c r="S12" s="13">
        <f>SUBTOTAL(103,Czerwiec[17])</f>
        <v>0</v>
      </c>
      <c r="T12" s="13">
        <f>SUBTOTAL(103,Czerwiec[18])</f>
        <v>0</v>
      </c>
      <c r="U12" s="13">
        <f>SUBTOTAL(103,Czerwiec[19])</f>
        <v>0</v>
      </c>
      <c r="V12" s="13">
        <f>SUBTOTAL(103,Czerwiec[20])</f>
        <v>0</v>
      </c>
      <c r="W12" s="13">
        <f>SUBTOTAL(103,Czerwiec[21])</f>
        <v>0</v>
      </c>
      <c r="X12" s="13">
        <f>SUBTOTAL(103,Czerwiec[22])</f>
        <v>0</v>
      </c>
      <c r="Y12" s="13">
        <f>SUBTOTAL(103,Czerwiec[23])</f>
        <v>0</v>
      </c>
      <c r="Z12" s="13">
        <f>SUBTOTAL(103,Czerwiec[24])</f>
        <v>0</v>
      </c>
      <c r="AA12" s="13">
        <f>SUBTOTAL(103,Czerwiec[25])</f>
        <v>0</v>
      </c>
      <c r="AB12" s="13">
        <f>SUBTOTAL(103,Czerwiec[26])</f>
        <v>0</v>
      </c>
      <c r="AC12" s="13">
        <f>SUBTOTAL(103,Czerwiec[27])</f>
        <v>0</v>
      </c>
      <c r="AD12" s="13">
        <f>SUBTOTAL(103,Czerwiec[28])</f>
        <v>0</v>
      </c>
      <c r="AE12" s="13">
        <f>SUBTOTAL(103,Czerwiec[29])</f>
        <v>0</v>
      </c>
      <c r="AF12" s="13">
        <f>SUBTOTAL(103,Czerwiec[30])</f>
        <v>0</v>
      </c>
      <c r="AG12" s="13">
        <f>SUBTOTAL(103,Czerwiec[[ ]])</f>
        <v>0</v>
      </c>
      <c r="AH12" s="13">
        <f>SUBTOTAL(109,Czerwiec[Łączna liczba dni])</f>
        <v>0</v>
      </c>
    </row>
  </sheetData>
  <mergeCells count="6">
    <mergeCell ref="C4:AG4"/>
    <mergeCell ref="D2:F2"/>
    <mergeCell ref="H2:J2"/>
    <mergeCell ref="L2:P2"/>
    <mergeCell ref="R2:U2"/>
    <mergeCell ref="W2:Z2"/>
  </mergeCells>
  <conditionalFormatting sqref="C7:AG11">
    <cfRule type="expression" priority="1" stopIfTrue="1">
      <formula>C7=""</formula>
    </cfRule>
  </conditionalFormatting>
  <conditionalFormatting sqref="C7:AG11">
    <cfRule type="expression" dxfId="397" priority="2" stopIfTrue="1">
      <formula>C7=Klucz_niestandardowy_2</formula>
    </cfRule>
    <cfRule type="expression" dxfId="396" priority="3" stopIfTrue="1">
      <formula>C7=Klucz_niestandardowy_1</formula>
    </cfRule>
    <cfRule type="expression" dxfId="395" priority="4" stopIfTrue="1">
      <formula>C7=Klucz_Zwolnienie_lekarskie</formula>
    </cfRule>
    <cfRule type="expression" dxfId="394" priority="5" stopIfTrue="1">
      <formula>C7=Klucz_Osobiste</formula>
    </cfRule>
    <cfRule type="expression" dxfId="393" priority="6" stopIfTrue="1">
      <formula>C7=Klucz_Urlop</formula>
    </cfRule>
  </conditionalFormatting>
  <conditionalFormatting sqref="AH7:AH11">
    <cfRule type="dataBar" priority="7">
      <dataBar>
        <cfvo type="min"/>
        <cfvo type="formula" val="DATEDIF(DATE(Rok_kalendarzowy,2,1),DATE(Rok_kalendarzowy,3,1),&quot;d&quot;)"/>
        <color theme="2" tint="-0.249977111117893"/>
      </dataBar>
      <extLst>
        <ext xmlns:x14="http://schemas.microsoft.com/office/spreadsheetml/2009/9/main" uri="{B025F937-C7B1-47D3-B67F-A62EFF666E3E}">
          <x14:id>{5E94D469-7B22-408B-924D-8DC8A136AD3B}</x14:id>
        </ext>
      </extLst>
    </cfRule>
  </conditionalFormatting>
  <dataValidations count="14">
    <dataValidation allowBlank="1" showInputMessage="1" showErrorMessage="1" prompt="W tym wierszu dni tygodnia dla danego miesiąca są aktualizowane automatycznie według roku w komórce AH4. Każdy dzień miesiąca jest reprezentowany przez kolumnę, w której można zanotować nieobecność pracownika i typ nieobecności" sqref="C5" xr:uid="{00000000-0002-0000-0500-000000000000}"/>
    <dataValidation allowBlank="1" showInputMessage="1" showErrorMessage="1" prompt="Automatycznie aktualizowany rok na podstawie roku wprowadzonego w arkuszu Styczeń." sqref="AH4" xr:uid="{00000000-0002-0000-0500-000001000000}"/>
    <dataValidation allowBlank="1" showInputMessage="1" showErrorMessage="1" prompt="Ta kolumna zawiera automatycznie obliczoną łączną liczbę dni nieobecności pracownika w danym miesiącu." sqref="AH6" xr:uid="{00000000-0002-0000-0500-000002000000}"/>
    <dataValidation allowBlank="1" showInputMessage="1" showErrorMessage="1" prompt="Za pomocą tego arkusza śledź nieobecności w czerwcu" sqref="A1" xr:uid="{00000000-0002-0000-0500-000003000000}"/>
    <dataValidation errorStyle="warning" allowBlank="1" showInputMessage="1" showErrorMessage="1" error="Wybierz nazwisko z listy. Wybierz pozycję ANULUJ, a następnie naciśnij klawisze ALT+STRZAŁKA W DÓŁ i klawisz ENTER, aby wybrać nazwisko" prompt="Wprowadź nazwiska pracowników w arkuszu Nazwiska pracowników, a następnie wybierz jedno z tych nazwisk z listy w tej kolumnie. Naciśnij klawisze ALT+STRZAŁKA W DÓŁ, a następnie klawisz ENTER, aby wybrać nazwisko" sqref="B6" xr:uid="{00000000-0002-0000-0500-000004000000}"/>
    <dataValidation allowBlank="1" showInputMessage="1" showErrorMessage="1" prompt="W tej komórce znajduje się tytuł aktualizowany automatycznie. Aby zmodyfikować tytuł, zaktualizuj komórkę B1 w arkuszu Styczeń" sqref="B1" xr:uid="{00000000-0002-0000-0500-000005000000}"/>
    <dataValidation allowBlank="1" showInputMessage="1" showErrorMessage="1" prompt="Litera „U” oznacza nieobecność ze względu na urlop" sqref="C2" xr:uid="{00000000-0002-0000-0500-000006000000}"/>
    <dataValidation allowBlank="1" showInputMessage="1" showErrorMessage="1" prompt="Litera „O” oznacza nieobecność ze względu na sprawy osobiste" sqref="G2" xr:uid="{00000000-0002-0000-0500-000007000000}"/>
    <dataValidation allowBlank="1" showInputMessage="1" showErrorMessage="1" prompt="Litera „Z” oznacza nieobecność ze względu na zwolnienie lekarskie" sqref="K2" xr:uid="{00000000-0002-0000-0500-000008000000}"/>
    <dataValidation allowBlank="1" showInputMessage="1" showErrorMessage="1" prompt="Wprowadź literę i dostosuj etykietę po prawej, aby dodać kolejny element klucza." sqref="Q2 V2" xr:uid="{00000000-0002-0000-0500-000009000000}"/>
    <dataValidation allowBlank="1" showInputMessage="1" showErrorMessage="1" prompt="Wprowadź etykietę, aby opisać klucz niestandardowy po lewej stronie." sqref="R2 W2" xr:uid="{00000000-0002-0000-0500-00000A000000}"/>
    <dataValidation allowBlank="1" showInputMessage="1" showErrorMessage="1" prompt="Ten wiersz definiuje klucze używane w tabeli: komórka C2 to urlop, G2 to sprawy osobiste, a K2 to zwolnienie lekarskie. Komórki N2 i R2 można dostosować" sqref="B2" xr:uid="{00000000-0002-0000-0500-00000B000000}"/>
    <dataValidation allowBlank="1" showInputMessage="1" showErrorMessage="1" prompt="W tej komórce znajduje się nazwa miesiąca dla tego harmonogramu nieobecności. Suma nieobecności w tym miesiącu znajduje się w ostatniej komórce tabeli. W kolumnie B tabeli wybierz nazwiska pracowników" sqref="B4" xr:uid="{00000000-0002-0000-0500-00000C000000}"/>
    <dataValidation allowBlank="1" showInputMessage="1" showErrorMessage="1" prompt="Dni miesiąca w tym wierszu są generowane automatycznie. Wprowadź nieobecność pracownika i typ nieobecności w każdej kolumnie dla każdego dnia danego miesiąca. Puste pole oznacza brak nieobecności." sqref="C6" xr:uid="{00000000-0002-0000-0500-00000D000000}"/>
  </dataValidations>
  <printOptions horizontalCentered="1"/>
  <pageMargins left="0.25" right="0.25" top="0.75" bottom="0.75" header="0.3" footer="0.3"/>
  <pageSetup paperSize="9" scale="73" fitToHeight="0" orientation="landscape" verticalDpi="4294967293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E94D469-7B22-408B-924D-8DC8A136AD3B}">
            <x14:dataBar minLength="0" maxLength="100">
              <x14:cfvo type="autoMin"/>
              <x14:cfvo type="formula">
                <xm:f>DATEDIF(DATE(Rok_kalendarzowy,2,1),DATE(Rok_kalendarzowy,3,1),"d")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E000000}">
          <x14:formula1>
            <xm:f>'Nazwiska pracowników'!$B$4:$B$8</xm:f>
          </x14:formula1>
          <xm:sqref>B7:B11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1"/>
    <pageSetUpPr fitToPage="1"/>
  </sheetPr>
  <dimension ref="A1:AH12"/>
  <sheetViews>
    <sheetView showGridLines="0" zoomScaleNormal="100" workbookViewId="0"/>
  </sheetViews>
  <sheetFormatPr defaultRowHeight="30" customHeight="1" x14ac:dyDescent="0.25"/>
  <cols>
    <col min="1" max="1" width="2.7109375" style="11" customWidth="1"/>
    <col min="2" max="2" width="28.42578125" style="11" customWidth="1"/>
    <col min="3" max="33" width="5.7109375" style="11" customWidth="1"/>
    <col min="34" max="34" width="17.28515625" style="11" customWidth="1"/>
    <col min="35" max="35" width="2.7109375" customWidth="1"/>
  </cols>
  <sheetData>
    <row r="1" spans="2:34" ht="50.1" customHeight="1" x14ac:dyDescent="0.25">
      <c r="B1" s="14" t="str">
        <f>Tytuł_Nieobecności_pracowników</f>
        <v>Harmonogram nieobecności pracowników</v>
      </c>
    </row>
    <row r="2" spans="2:34" ht="15" customHeight="1" x14ac:dyDescent="0.25">
      <c r="B2" s="19" t="s">
        <v>1</v>
      </c>
      <c r="C2" s="4" t="s">
        <v>9</v>
      </c>
      <c r="D2" s="25" t="s">
        <v>12</v>
      </c>
      <c r="E2" s="25"/>
      <c r="F2" s="25"/>
      <c r="G2" s="5" t="s">
        <v>15</v>
      </c>
      <c r="H2" s="25" t="s">
        <v>19</v>
      </c>
      <c r="I2" s="25"/>
      <c r="J2" s="25"/>
      <c r="K2" s="6" t="s">
        <v>17</v>
      </c>
      <c r="L2" s="25" t="s">
        <v>24</v>
      </c>
      <c r="M2" s="25"/>
      <c r="N2" s="25"/>
      <c r="O2" s="25"/>
      <c r="P2" s="25"/>
      <c r="Q2" s="7"/>
      <c r="R2" s="25" t="s">
        <v>28</v>
      </c>
      <c r="S2" s="25"/>
      <c r="T2" s="25"/>
      <c r="U2" s="25"/>
      <c r="V2" s="8"/>
      <c r="W2" s="25" t="s">
        <v>33</v>
      </c>
      <c r="X2" s="25"/>
      <c r="Y2" s="25"/>
      <c r="Z2" s="25"/>
    </row>
    <row r="3" spans="2:34" ht="15" customHeight="1" x14ac:dyDescent="0.25">
      <c r="B3" s="14"/>
    </row>
    <row r="4" spans="2:34" ht="30" customHeight="1" x14ac:dyDescent="0.25">
      <c r="B4" s="12" t="s">
        <v>58</v>
      </c>
      <c r="C4" s="24" t="s">
        <v>10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12">
        <f>Rok_kalendarzowy</f>
        <v>2019</v>
      </c>
    </row>
    <row r="5" spans="2:34" ht="15" customHeight="1" x14ac:dyDescent="0.25">
      <c r="B5" s="12"/>
      <c r="C5" s="2" t="str">
        <f>TEXT(WEEKDAY(DATE(Rok_kalendarzowy,7,1),1),"aaa")</f>
        <v>pon</v>
      </c>
      <c r="D5" s="2" t="str">
        <f>TEXT(WEEKDAY(DATE(Rok_kalendarzowy,7,2),1),"aaa")</f>
        <v>wt</v>
      </c>
      <c r="E5" s="2" t="str">
        <f>TEXT(WEEKDAY(DATE(Rok_kalendarzowy,7,3),1),"aaa")</f>
        <v>śr</v>
      </c>
      <c r="F5" s="2" t="str">
        <f>TEXT(WEEKDAY(DATE(Rok_kalendarzowy,7,4),1),"aaa")</f>
        <v>czw</v>
      </c>
      <c r="G5" s="2" t="str">
        <f>TEXT(WEEKDAY(DATE(Rok_kalendarzowy,7,5),1),"aaa")</f>
        <v>pt</v>
      </c>
      <c r="H5" s="2" t="str">
        <f>TEXT(WEEKDAY(DATE(Rok_kalendarzowy,7,6),1),"aaa")</f>
        <v>sob</v>
      </c>
      <c r="I5" s="2" t="str">
        <f>TEXT(WEEKDAY(DATE(Rok_kalendarzowy,7,7),1),"aaa")</f>
        <v>niedz</v>
      </c>
      <c r="J5" s="2" t="str">
        <f>TEXT(WEEKDAY(DATE(Rok_kalendarzowy,7,8),1),"aaa")</f>
        <v>pon</v>
      </c>
      <c r="K5" s="2" t="str">
        <f>TEXT(WEEKDAY(DATE(Rok_kalendarzowy,7,9),1),"aaa")</f>
        <v>wt</v>
      </c>
      <c r="L5" s="2" t="str">
        <f>TEXT(WEEKDAY(DATE(Rok_kalendarzowy,7,10),1),"aaa")</f>
        <v>śr</v>
      </c>
      <c r="M5" s="2" t="str">
        <f>TEXT(WEEKDAY(DATE(Rok_kalendarzowy,7,11),1),"aaa")</f>
        <v>czw</v>
      </c>
      <c r="N5" s="2" t="str">
        <f>TEXT(WEEKDAY(DATE(Rok_kalendarzowy,7,12),1),"aaa")</f>
        <v>pt</v>
      </c>
      <c r="O5" s="2" t="str">
        <f>TEXT(WEEKDAY(DATE(Rok_kalendarzowy,7,13),1),"aaa")</f>
        <v>sob</v>
      </c>
      <c r="P5" s="2" t="str">
        <f>TEXT(WEEKDAY(DATE(Rok_kalendarzowy,7,14),1),"aaa")</f>
        <v>niedz</v>
      </c>
      <c r="Q5" s="2" t="str">
        <f>TEXT(WEEKDAY(DATE(Rok_kalendarzowy,7,15),1),"aaa")</f>
        <v>pon</v>
      </c>
      <c r="R5" s="2" t="str">
        <f>TEXT(WEEKDAY(DATE(Rok_kalendarzowy,7,16),1),"aaa")</f>
        <v>wt</v>
      </c>
      <c r="S5" s="2" t="str">
        <f>TEXT(WEEKDAY(DATE(Rok_kalendarzowy,7,17),1),"aaa")</f>
        <v>śr</v>
      </c>
      <c r="T5" s="2" t="str">
        <f>TEXT(WEEKDAY(DATE(Rok_kalendarzowy,7,18),1),"aaa")</f>
        <v>czw</v>
      </c>
      <c r="U5" s="2" t="str">
        <f>TEXT(WEEKDAY(DATE(Rok_kalendarzowy,7,19),1),"aaa")</f>
        <v>pt</v>
      </c>
      <c r="V5" s="2" t="str">
        <f>TEXT(WEEKDAY(DATE(Rok_kalendarzowy,7,20),1),"aaa")</f>
        <v>sob</v>
      </c>
      <c r="W5" s="2" t="str">
        <f>TEXT(WEEKDAY(DATE(Rok_kalendarzowy,7,21),1),"aaa")</f>
        <v>niedz</v>
      </c>
      <c r="X5" s="2" t="str">
        <f>TEXT(WEEKDAY(DATE(Rok_kalendarzowy,7,22),1),"aaa")</f>
        <v>pon</v>
      </c>
      <c r="Y5" s="2" t="str">
        <f>TEXT(WEEKDAY(DATE(Rok_kalendarzowy,7,23),1),"aaa")</f>
        <v>wt</v>
      </c>
      <c r="Z5" s="2" t="str">
        <f>TEXT(WEEKDAY(DATE(Rok_kalendarzowy,7,24),1),"aaa")</f>
        <v>śr</v>
      </c>
      <c r="AA5" s="2" t="str">
        <f>TEXT(WEEKDAY(DATE(Rok_kalendarzowy,7,25),1),"aaa")</f>
        <v>czw</v>
      </c>
      <c r="AB5" s="2" t="str">
        <f>TEXT(WEEKDAY(DATE(Rok_kalendarzowy,7,26),1),"aaa")</f>
        <v>pt</v>
      </c>
      <c r="AC5" s="2" t="str">
        <f>TEXT(WEEKDAY(DATE(Rok_kalendarzowy,7,27),1),"aaa")</f>
        <v>sob</v>
      </c>
      <c r="AD5" s="2" t="str">
        <f>TEXT(WEEKDAY(DATE(Rok_kalendarzowy,7,28),1),"aaa")</f>
        <v>niedz</v>
      </c>
      <c r="AE5" s="2" t="str">
        <f>TEXT(WEEKDAY(DATE(Rok_kalendarzowy,7,29),1),"aaa")</f>
        <v>pon</v>
      </c>
      <c r="AF5" s="2" t="str">
        <f>TEXT(WEEKDAY(DATE(Rok_kalendarzowy,7,30),1),"aaa")</f>
        <v>wt</v>
      </c>
      <c r="AG5" s="2" t="str">
        <f>TEXT(WEEKDAY(DATE(Rok_kalendarzowy,7,31),1),"aaa")</f>
        <v>śr</v>
      </c>
      <c r="AH5" s="12"/>
    </row>
    <row r="6" spans="2:34" ht="15" customHeight="1" x14ac:dyDescent="0.25">
      <c r="B6" s="15" t="s">
        <v>3</v>
      </c>
      <c r="C6" s="3" t="s">
        <v>11</v>
      </c>
      <c r="D6" s="3" t="s">
        <v>13</v>
      </c>
      <c r="E6" s="3" t="s">
        <v>14</v>
      </c>
      <c r="F6" s="3" t="s">
        <v>16</v>
      </c>
      <c r="G6" s="3" t="s">
        <v>18</v>
      </c>
      <c r="H6" s="3" t="s">
        <v>20</v>
      </c>
      <c r="I6" s="3" t="s">
        <v>21</v>
      </c>
      <c r="J6" s="3" t="s">
        <v>22</v>
      </c>
      <c r="K6" s="3" t="s">
        <v>23</v>
      </c>
      <c r="L6" s="3" t="s">
        <v>25</v>
      </c>
      <c r="M6" s="3" t="s">
        <v>26</v>
      </c>
      <c r="N6" s="3" t="s">
        <v>27</v>
      </c>
      <c r="O6" s="3" t="s">
        <v>29</v>
      </c>
      <c r="P6" s="3" t="s">
        <v>30</v>
      </c>
      <c r="Q6" s="3" t="s">
        <v>31</v>
      </c>
      <c r="R6" s="3" t="s">
        <v>32</v>
      </c>
      <c r="S6" s="3" t="s">
        <v>34</v>
      </c>
      <c r="T6" s="3" t="s">
        <v>35</v>
      </c>
      <c r="U6" s="3" t="s">
        <v>36</v>
      </c>
      <c r="V6" s="3" t="s">
        <v>37</v>
      </c>
      <c r="W6" s="3" t="s">
        <v>38</v>
      </c>
      <c r="X6" s="3" t="s">
        <v>39</v>
      </c>
      <c r="Y6" s="3" t="s">
        <v>40</v>
      </c>
      <c r="Z6" s="3" t="s">
        <v>41</v>
      </c>
      <c r="AA6" s="3" t="s">
        <v>42</v>
      </c>
      <c r="AB6" s="3" t="s">
        <v>43</v>
      </c>
      <c r="AC6" s="3" t="s">
        <v>44</v>
      </c>
      <c r="AD6" s="3" t="s">
        <v>45</v>
      </c>
      <c r="AE6" s="3" t="s">
        <v>46</v>
      </c>
      <c r="AF6" s="3" t="s">
        <v>47</v>
      </c>
      <c r="AG6" s="3" t="s">
        <v>48</v>
      </c>
      <c r="AH6" s="16" t="s">
        <v>50</v>
      </c>
    </row>
    <row r="7" spans="2:34" ht="30" customHeight="1" x14ac:dyDescent="0.25">
      <c r="B7" s="17" t="s">
        <v>4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0">
        <f>COUNTA(Lipiec[[#This Row],[1]:[31]])</f>
        <v>0</v>
      </c>
    </row>
    <row r="8" spans="2:34" ht="30" customHeight="1" x14ac:dyDescent="0.25">
      <c r="B8" s="17" t="s">
        <v>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10">
        <f>COUNTA(Lipiec[[#This Row],[1]:[31]])</f>
        <v>0</v>
      </c>
    </row>
    <row r="9" spans="2:34" ht="30" customHeight="1" x14ac:dyDescent="0.25">
      <c r="B9" s="17" t="s">
        <v>6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10">
        <f>COUNTA(Lipiec[[#This Row],[1]:[31]])</f>
        <v>0</v>
      </c>
    </row>
    <row r="10" spans="2:34" ht="30" customHeight="1" x14ac:dyDescent="0.25">
      <c r="B10" s="17" t="s">
        <v>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10">
        <f>COUNTA(Lipiec[[#This Row],[1]:[31]])</f>
        <v>0</v>
      </c>
    </row>
    <row r="11" spans="2:34" ht="30" customHeight="1" x14ac:dyDescent="0.25">
      <c r="B11" s="17" t="s">
        <v>8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10">
        <f>COUNTA(Lipiec[[#This Row],[1]:[31]])</f>
        <v>0</v>
      </c>
    </row>
    <row r="12" spans="2:34" ht="30" customHeight="1" x14ac:dyDescent="0.25">
      <c r="B12" s="21" t="str">
        <f>"Suma z "&amp;Nazwa_miesiąca</f>
        <v>Suma z Lipiec</v>
      </c>
      <c r="C12" s="13">
        <f>SUBTOTAL(103,Lipiec[1])</f>
        <v>0</v>
      </c>
      <c r="D12" s="13">
        <f>SUBTOTAL(103,Lipiec[2])</f>
        <v>0</v>
      </c>
      <c r="E12" s="13">
        <f>SUBTOTAL(103,Lipiec[3])</f>
        <v>0</v>
      </c>
      <c r="F12" s="13">
        <f>SUBTOTAL(103,Lipiec[4])</f>
        <v>0</v>
      </c>
      <c r="G12" s="13">
        <f>SUBTOTAL(103,Lipiec[5])</f>
        <v>0</v>
      </c>
      <c r="H12" s="13">
        <f>SUBTOTAL(103,Lipiec[6])</f>
        <v>0</v>
      </c>
      <c r="I12" s="13">
        <f>SUBTOTAL(103,Lipiec[7])</f>
        <v>0</v>
      </c>
      <c r="J12" s="13">
        <f>SUBTOTAL(103,Lipiec[8])</f>
        <v>0</v>
      </c>
      <c r="K12" s="13">
        <f>SUBTOTAL(103,Lipiec[9])</f>
        <v>0</v>
      </c>
      <c r="L12" s="13">
        <f>SUBTOTAL(103,Lipiec[10])</f>
        <v>0</v>
      </c>
      <c r="M12" s="13">
        <f>SUBTOTAL(103,Lipiec[11])</f>
        <v>0</v>
      </c>
      <c r="N12" s="13">
        <f>SUBTOTAL(103,Lipiec[12])</f>
        <v>0</v>
      </c>
      <c r="O12" s="13">
        <f>SUBTOTAL(103,Lipiec[13])</f>
        <v>0</v>
      </c>
      <c r="P12" s="13">
        <f>SUBTOTAL(103,Lipiec[14])</f>
        <v>0</v>
      </c>
      <c r="Q12" s="13">
        <f>SUBTOTAL(103,Lipiec[15])</f>
        <v>0</v>
      </c>
      <c r="R12" s="13">
        <f>SUBTOTAL(103,Lipiec[16])</f>
        <v>0</v>
      </c>
      <c r="S12" s="13">
        <f>SUBTOTAL(103,Lipiec[17])</f>
        <v>0</v>
      </c>
      <c r="T12" s="13">
        <f>SUBTOTAL(103,Lipiec[18])</f>
        <v>0</v>
      </c>
      <c r="U12" s="13">
        <f>SUBTOTAL(103,Lipiec[19])</f>
        <v>0</v>
      </c>
      <c r="V12" s="13">
        <f>SUBTOTAL(103,Lipiec[20])</f>
        <v>0</v>
      </c>
      <c r="W12" s="13">
        <f>SUBTOTAL(103,Lipiec[21])</f>
        <v>0</v>
      </c>
      <c r="X12" s="13">
        <f>SUBTOTAL(103,Lipiec[22])</f>
        <v>0</v>
      </c>
      <c r="Y12" s="13">
        <f>SUBTOTAL(103,Lipiec[23])</f>
        <v>0</v>
      </c>
      <c r="Z12" s="13">
        <f>SUBTOTAL(103,Lipiec[24])</f>
        <v>0</v>
      </c>
      <c r="AA12" s="13">
        <f>SUBTOTAL(103,Lipiec[25])</f>
        <v>0</v>
      </c>
      <c r="AB12" s="13">
        <f>SUBTOTAL(103,Lipiec[26])</f>
        <v>0</v>
      </c>
      <c r="AC12" s="13">
        <f>SUBTOTAL(103,Lipiec[27])</f>
        <v>0</v>
      </c>
      <c r="AD12" s="13">
        <f>SUBTOTAL(103,Lipiec[28])</f>
        <v>0</v>
      </c>
      <c r="AE12" s="13">
        <f>SUBTOTAL(103,Lipiec[29])</f>
        <v>0</v>
      </c>
      <c r="AF12" s="13">
        <f>SUBTOTAL(103,Lipiec[30])</f>
        <v>0</v>
      </c>
      <c r="AG12" s="13">
        <f>SUBTOTAL(103,Lipiec[31])</f>
        <v>0</v>
      </c>
      <c r="AH12" s="13">
        <f>SUBTOTAL(109,Lipiec[Łączna liczba dni])</f>
        <v>0</v>
      </c>
    </row>
  </sheetData>
  <mergeCells count="6">
    <mergeCell ref="C4:AG4"/>
    <mergeCell ref="D2:F2"/>
    <mergeCell ref="H2:J2"/>
    <mergeCell ref="L2:P2"/>
    <mergeCell ref="R2:U2"/>
    <mergeCell ref="W2:Z2"/>
  </mergeCells>
  <conditionalFormatting sqref="C7:AG11">
    <cfRule type="expression" priority="1" stopIfTrue="1">
      <formula>C7=""</formula>
    </cfRule>
  </conditionalFormatting>
  <conditionalFormatting sqref="C7:AG11">
    <cfRule type="expression" dxfId="392" priority="2" stopIfTrue="1">
      <formula>C7=Klucz_niestandardowy_2</formula>
    </cfRule>
    <cfRule type="expression" dxfId="391" priority="3" stopIfTrue="1">
      <formula>C7=Klucz_niestandardowy_1</formula>
    </cfRule>
    <cfRule type="expression" dxfId="390" priority="4" stopIfTrue="1">
      <formula>C7=Klucz_Zwolnienie_lekarskie</formula>
    </cfRule>
    <cfRule type="expression" dxfId="389" priority="5" stopIfTrue="1">
      <formula>C7=Klucz_Osobiste</formula>
    </cfRule>
    <cfRule type="expression" dxfId="388" priority="6" stopIfTrue="1">
      <formula>C7=Klucz_Urlop</formula>
    </cfRule>
  </conditionalFormatting>
  <conditionalFormatting sqref="AH7:AH11">
    <cfRule type="dataBar" priority="7">
      <dataBar>
        <cfvo type="min"/>
        <cfvo type="formula" val="DATEDIF(DATE(Rok_kalendarzowy,2,1),DATE(Rok_kalendarzowy,3,1),&quot;d&quot;)"/>
        <color theme="2" tint="-0.249977111117893"/>
      </dataBar>
      <extLst>
        <ext xmlns:x14="http://schemas.microsoft.com/office/spreadsheetml/2009/9/main" uri="{B025F937-C7B1-47D3-B67F-A62EFF666E3E}">
          <x14:id>{E0DCF129-9B2A-4CEB-9E56-27607F4BED20}</x14:id>
        </ext>
      </extLst>
    </cfRule>
  </conditionalFormatting>
  <dataValidations count="14">
    <dataValidation allowBlank="1" showInputMessage="1" showErrorMessage="1" prompt="Dni miesiąca w tym wierszu są generowane automatycznie. Wprowadź nieobecność pracownika i typ nieobecności w każdej kolumnie dla każdego dnia danego miesiąca. Puste pole oznacza brak nieobecności." sqref="C6" xr:uid="{00000000-0002-0000-0600-000000000000}"/>
    <dataValidation allowBlank="1" showInputMessage="1" showErrorMessage="1" prompt="W tej komórce znajduje się nazwa miesiąca dla tego harmonogramu nieobecności. Suma nieobecności w tym miesiącu znajduje się w ostatniej komórce tabeli. W kolumnie B tabeli wybierz nazwiska pracowników" sqref="B4" xr:uid="{00000000-0002-0000-0600-000001000000}"/>
    <dataValidation allowBlank="1" showInputMessage="1" showErrorMessage="1" prompt="Ten wiersz definiuje klucze używane w tabeli: komórka C2 to urlop, G2 to sprawy osobiste, a K2 to zwolnienie lekarskie. Komórki N2 i R2 można dostosować" sqref="B2" xr:uid="{00000000-0002-0000-0600-000002000000}"/>
    <dataValidation allowBlank="1" showInputMessage="1" showErrorMessage="1" prompt="Wprowadź etykietę, aby opisać klucz niestandardowy po lewej stronie." sqref="R2 W2" xr:uid="{00000000-0002-0000-0600-000003000000}"/>
    <dataValidation allowBlank="1" showInputMessage="1" showErrorMessage="1" prompt="Wprowadź literę i dostosuj etykietę po prawej, aby dodać kolejny element klucza." sqref="Q2 V2" xr:uid="{00000000-0002-0000-0600-000004000000}"/>
    <dataValidation allowBlank="1" showInputMessage="1" showErrorMessage="1" prompt="Litera „Z” oznacza nieobecność ze względu na zwolnienie lekarskie" sqref="K2" xr:uid="{00000000-0002-0000-0600-000005000000}"/>
    <dataValidation allowBlank="1" showInputMessage="1" showErrorMessage="1" prompt="Litera „O” oznacza nieobecność ze względu na sprawy osobiste" sqref="G2" xr:uid="{00000000-0002-0000-0600-000006000000}"/>
    <dataValidation allowBlank="1" showInputMessage="1" showErrorMessage="1" prompt="Litera „U” oznacza nieobecność ze względu na urlop" sqref="C2" xr:uid="{00000000-0002-0000-0600-000007000000}"/>
    <dataValidation allowBlank="1" showInputMessage="1" showErrorMessage="1" prompt="W tej komórce znajduje się tytuł aktualizowany automatycznie. Aby zmodyfikować tytuł, zaktualizuj komórkę B1 w arkuszu Styczeń" sqref="B1" xr:uid="{00000000-0002-0000-0600-000008000000}"/>
    <dataValidation errorStyle="warning" allowBlank="1" showInputMessage="1" showErrorMessage="1" error="Wybierz nazwisko z listy. Wybierz pozycję ANULUJ, a następnie naciśnij klawisze ALT+STRZAŁKA W DÓŁ i klawisz ENTER, aby wybrać nazwisko" prompt="Wprowadź nazwiska pracowników w arkuszu Nazwiska pracowników, a następnie wybierz jedno z tych nazwisk z listy w tej kolumnie. Naciśnij klawisze ALT+STRZAŁKA W DÓŁ, a następnie klawisz ENTER, aby wybrać nazwisko" sqref="B6" xr:uid="{00000000-0002-0000-0600-000009000000}"/>
    <dataValidation allowBlank="1" showInputMessage="1" showErrorMessage="1" prompt="Za pomocą tego arkusza śledź nieobecności w lipcu" sqref="A1" xr:uid="{00000000-0002-0000-0600-00000A000000}"/>
    <dataValidation allowBlank="1" showInputMessage="1" showErrorMessage="1" prompt="Ta kolumna zawiera automatycznie obliczoną łączną liczbę dni nieobecności pracownika w danym miesiącu." sqref="AH6" xr:uid="{00000000-0002-0000-0600-00000B000000}"/>
    <dataValidation allowBlank="1" showInputMessage="1" showErrorMessage="1" prompt="Automatycznie aktualizowany rok na podstawie roku wprowadzonego w arkuszu Styczeń." sqref="AH4" xr:uid="{00000000-0002-0000-0600-00000C000000}"/>
    <dataValidation allowBlank="1" showInputMessage="1" showErrorMessage="1" prompt="W tym wierszu dni tygodnia dla danego miesiąca są aktualizowane automatycznie według roku w komórce AH4. Każdy dzień miesiąca jest reprezentowany przez kolumnę, w której można zanotować nieobecność pracownika i typ nieobecności" sqref="C5" xr:uid="{00000000-0002-0000-0600-00000D000000}"/>
  </dataValidations>
  <printOptions horizontalCentered="1"/>
  <pageMargins left="0.25" right="0.25" top="0.75" bottom="0.75" header="0.3" footer="0.3"/>
  <pageSetup paperSize="9" scale="73" fitToHeight="0" orientation="landscape" verticalDpi="4294967293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0DCF129-9B2A-4CEB-9E56-27607F4BED20}">
            <x14:dataBar minLength="0" maxLength="100">
              <x14:cfvo type="autoMin"/>
              <x14:cfvo type="formula">
                <xm:f>DATEDIF(DATE(Rok_kalendarzowy,2,1),DATE(Rok_kalendarzowy,3,1),"d")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600-00000E000000}">
          <x14:formula1>
            <xm:f>'Nazwiska pracowników'!$B$4:$B$8</xm:f>
          </x14:formula1>
          <xm:sqref>B7:B11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2" tint="-0.749992370372631"/>
    <pageSetUpPr fitToPage="1"/>
  </sheetPr>
  <dimension ref="A1:AH12"/>
  <sheetViews>
    <sheetView showGridLines="0" zoomScaleNormal="100" workbookViewId="0"/>
  </sheetViews>
  <sheetFormatPr defaultRowHeight="30" customHeight="1" x14ac:dyDescent="0.25"/>
  <cols>
    <col min="1" max="1" width="2.7109375" style="11" customWidth="1"/>
    <col min="2" max="2" width="28.42578125" style="11" customWidth="1"/>
    <col min="3" max="33" width="5.7109375" style="11" customWidth="1"/>
    <col min="34" max="34" width="17.28515625" style="11" customWidth="1"/>
    <col min="35" max="35" width="2.7109375" customWidth="1"/>
  </cols>
  <sheetData>
    <row r="1" spans="2:34" ht="50.1" customHeight="1" x14ac:dyDescent="0.25">
      <c r="B1" s="14" t="str">
        <f>Tytuł_Nieobecności_pracowników</f>
        <v>Harmonogram nieobecności pracowników</v>
      </c>
    </row>
    <row r="2" spans="2:34" ht="15" customHeight="1" x14ac:dyDescent="0.25">
      <c r="B2" s="19" t="s">
        <v>1</v>
      </c>
      <c r="C2" s="4" t="s">
        <v>9</v>
      </c>
      <c r="D2" s="25" t="s">
        <v>12</v>
      </c>
      <c r="E2" s="25"/>
      <c r="F2" s="25"/>
      <c r="G2" s="5" t="s">
        <v>15</v>
      </c>
      <c r="H2" s="25" t="s">
        <v>19</v>
      </c>
      <c r="I2" s="25"/>
      <c r="J2" s="25"/>
      <c r="K2" s="6" t="s">
        <v>17</v>
      </c>
      <c r="L2" s="25" t="s">
        <v>24</v>
      </c>
      <c r="M2" s="25"/>
      <c r="N2" s="25"/>
      <c r="O2" s="25"/>
      <c r="P2" s="25"/>
      <c r="Q2" s="7"/>
      <c r="R2" s="25" t="s">
        <v>28</v>
      </c>
      <c r="S2" s="25"/>
      <c r="T2" s="25"/>
      <c r="U2" s="25"/>
      <c r="V2" s="8"/>
      <c r="W2" s="25" t="s">
        <v>33</v>
      </c>
      <c r="X2" s="25"/>
      <c r="Y2" s="25"/>
      <c r="Z2" s="25"/>
    </row>
    <row r="3" spans="2:34" ht="15" customHeight="1" x14ac:dyDescent="0.25">
      <c r="B3" s="14"/>
    </row>
    <row r="4" spans="2:34" ht="30" customHeight="1" x14ac:dyDescent="0.25">
      <c r="B4" s="12" t="s">
        <v>59</v>
      </c>
      <c r="C4" s="24" t="s">
        <v>10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12">
        <f>Rok_kalendarzowy</f>
        <v>2019</v>
      </c>
    </row>
    <row r="5" spans="2:34" ht="15" customHeight="1" x14ac:dyDescent="0.25">
      <c r="B5" s="12"/>
      <c r="C5" s="2" t="str">
        <f>TEXT(WEEKDAY(DATE(Rok_kalendarzowy,8,1),1),"aaa")</f>
        <v>czw</v>
      </c>
      <c r="D5" s="2" t="str">
        <f>TEXT(WEEKDAY(DATE(Rok_kalendarzowy,8,2),1),"aaa")</f>
        <v>pt</v>
      </c>
      <c r="E5" s="2" t="str">
        <f>TEXT(WEEKDAY(DATE(Rok_kalendarzowy,8,3),1),"aaa")</f>
        <v>sob</v>
      </c>
      <c r="F5" s="2" t="str">
        <f>TEXT(WEEKDAY(DATE(Rok_kalendarzowy,8,4),1),"aaa")</f>
        <v>niedz</v>
      </c>
      <c r="G5" s="2" t="str">
        <f>TEXT(WEEKDAY(DATE(Rok_kalendarzowy,8,5),1),"aaa")</f>
        <v>pon</v>
      </c>
      <c r="H5" s="2" t="str">
        <f>TEXT(WEEKDAY(DATE(Rok_kalendarzowy,8,6),1),"aaa")</f>
        <v>wt</v>
      </c>
      <c r="I5" s="2" t="str">
        <f>TEXT(WEEKDAY(DATE(Rok_kalendarzowy,8,7),1),"aaa")</f>
        <v>śr</v>
      </c>
      <c r="J5" s="2" t="str">
        <f>TEXT(WEEKDAY(DATE(Rok_kalendarzowy,8,8),1),"aaa")</f>
        <v>czw</v>
      </c>
      <c r="K5" s="2" t="str">
        <f>TEXT(WEEKDAY(DATE(Rok_kalendarzowy,8,9),1),"aaa")</f>
        <v>pt</v>
      </c>
      <c r="L5" s="2" t="str">
        <f>TEXT(WEEKDAY(DATE(Rok_kalendarzowy,8,10),1),"aaa")</f>
        <v>sob</v>
      </c>
      <c r="M5" s="2" t="str">
        <f>TEXT(WEEKDAY(DATE(Rok_kalendarzowy,8,11),1),"aaa")</f>
        <v>niedz</v>
      </c>
      <c r="N5" s="2" t="str">
        <f>TEXT(WEEKDAY(DATE(Rok_kalendarzowy,8,12),1),"aaa")</f>
        <v>pon</v>
      </c>
      <c r="O5" s="2" t="str">
        <f>TEXT(WEEKDAY(DATE(Rok_kalendarzowy,8,13),1),"aaa")</f>
        <v>wt</v>
      </c>
      <c r="P5" s="2" t="str">
        <f>TEXT(WEEKDAY(DATE(Rok_kalendarzowy,8,14),1),"aaa")</f>
        <v>śr</v>
      </c>
      <c r="Q5" s="2" t="str">
        <f>TEXT(WEEKDAY(DATE(Rok_kalendarzowy,8,15),1),"aaa")</f>
        <v>czw</v>
      </c>
      <c r="R5" s="2" t="str">
        <f>TEXT(WEEKDAY(DATE(Rok_kalendarzowy,8,16),1),"aaa")</f>
        <v>pt</v>
      </c>
      <c r="S5" s="2" t="str">
        <f>TEXT(WEEKDAY(DATE(Rok_kalendarzowy,8,17),1),"aaa")</f>
        <v>sob</v>
      </c>
      <c r="T5" s="2" t="str">
        <f>TEXT(WEEKDAY(DATE(Rok_kalendarzowy,8,18),1),"aaa")</f>
        <v>niedz</v>
      </c>
      <c r="U5" s="2" t="str">
        <f>TEXT(WEEKDAY(DATE(Rok_kalendarzowy,8,19),1),"aaa")</f>
        <v>pon</v>
      </c>
      <c r="V5" s="2" t="str">
        <f>TEXT(WEEKDAY(DATE(Rok_kalendarzowy,8,20),1),"aaa")</f>
        <v>wt</v>
      </c>
      <c r="W5" s="2" t="str">
        <f>TEXT(WEEKDAY(DATE(Rok_kalendarzowy,8,21),1),"aaa")</f>
        <v>śr</v>
      </c>
      <c r="X5" s="2" t="str">
        <f>TEXT(WEEKDAY(DATE(Rok_kalendarzowy,8,22),1),"aaa")</f>
        <v>czw</v>
      </c>
      <c r="Y5" s="2" t="str">
        <f>TEXT(WEEKDAY(DATE(Rok_kalendarzowy,8,23),1),"aaa")</f>
        <v>pt</v>
      </c>
      <c r="Z5" s="2" t="str">
        <f>TEXT(WEEKDAY(DATE(Rok_kalendarzowy,8,24),1),"aaa")</f>
        <v>sob</v>
      </c>
      <c r="AA5" s="2" t="str">
        <f>TEXT(WEEKDAY(DATE(Rok_kalendarzowy,8,25),1),"aaa")</f>
        <v>niedz</v>
      </c>
      <c r="AB5" s="2" t="str">
        <f>TEXT(WEEKDAY(DATE(Rok_kalendarzowy,8,26),1),"aaa")</f>
        <v>pon</v>
      </c>
      <c r="AC5" s="2" t="str">
        <f>TEXT(WEEKDAY(DATE(Rok_kalendarzowy,8,27),1),"aaa")</f>
        <v>wt</v>
      </c>
      <c r="AD5" s="2" t="str">
        <f>TEXT(WEEKDAY(DATE(Rok_kalendarzowy,8,28),1),"aaa")</f>
        <v>śr</v>
      </c>
      <c r="AE5" s="2" t="str">
        <f>TEXT(WEEKDAY(DATE(Rok_kalendarzowy,8,29),1),"aaa")</f>
        <v>czw</v>
      </c>
      <c r="AF5" s="2" t="str">
        <f>TEXT(WEEKDAY(DATE(Rok_kalendarzowy,8,30),1),"aaa")</f>
        <v>pt</v>
      </c>
      <c r="AG5" s="2" t="str">
        <f>TEXT(WEEKDAY(DATE(Rok_kalendarzowy,8,31),1),"aaa")</f>
        <v>sob</v>
      </c>
      <c r="AH5" s="12"/>
    </row>
    <row r="6" spans="2:34" ht="15" customHeight="1" x14ac:dyDescent="0.25">
      <c r="B6" s="15" t="s">
        <v>3</v>
      </c>
      <c r="C6" s="3" t="s">
        <v>11</v>
      </c>
      <c r="D6" s="3" t="s">
        <v>13</v>
      </c>
      <c r="E6" s="3" t="s">
        <v>14</v>
      </c>
      <c r="F6" s="3" t="s">
        <v>16</v>
      </c>
      <c r="G6" s="3" t="s">
        <v>18</v>
      </c>
      <c r="H6" s="3" t="s">
        <v>20</v>
      </c>
      <c r="I6" s="3" t="s">
        <v>21</v>
      </c>
      <c r="J6" s="3" t="s">
        <v>22</v>
      </c>
      <c r="K6" s="3" t="s">
        <v>23</v>
      </c>
      <c r="L6" s="3" t="s">
        <v>25</v>
      </c>
      <c r="M6" s="3" t="s">
        <v>26</v>
      </c>
      <c r="N6" s="3" t="s">
        <v>27</v>
      </c>
      <c r="O6" s="3" t="s">
        <v>29</v>
      </c>
      <c r="P6" s="3" t="s">
        <v>30</v>
      </c>
      <c r="Q6" s="3" t="s">
        <v>31</v>
      </c>
      <c r="R6" s="3" t="s">
        <v>32</v>
      </c>
      <c r="S6" s="3" t="s">
        <v>34</v>
      </c>
      <c r="T6" s="3" t="s">
        <v>35</v>
      </c>
      <c r="U6" s="3" t="s">
        <v>36</v>
      </c>
      <c r="V6" s="3" t="s">
        <v>37</v>
      </c>
      <c r="W6" s="3" t="s">
        <v>38</v>
      </c>
      <c r="X6" s="3" t="s">
        <v>39</v>
      </c>
      <c r="Y6" s="3" t="s">
        <v>40</v>
      </c>
      <c r="Z6" s="3" t="s">
        <v>41</v>
      </c>
      <c r="AA6" s="3" t="s">
        <v>42</v>
      </c>
      <c r="AB6" s="3" t="s">
        <v>43</v>
      </c>
      <c r="AC6" s="3" t="s">
        <v>44</v>
      </c>
      <c r="AD6" s="3" t="s">
        <v>45</v>
      </c>
      <c r="AE6" s="3" t="s">
        <v>46</v>
      </c>
      <c r="AF6" s="3" t="s">
        <v>47</v>
      </c>
      <c r="AG6" s="3" t="s">
        <v>48</v>
      </c>
      <c r="AH6" s="16" t="s">
        <v>50</v>
      </c>
    </row>
    <row r="7" spans="2:34" ht="30" customHeight="1" x14ac:dyDescent="0.25">
      <c r="B7" s="17" t="s">
        <v>4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0">
        <f>COUNTA(Sierpień[[#This Row],[1]:[31]])</f>
        <v>0</v>
      </c>
    </row>
    <row r="8" spans="2:34" ht="30" customHeight="1" x14ac:dyDescent="0.25">
      <c r="B8" s="17" t="s">
        <v>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10">
        <f>COUNTA(Sierpień[[#This Row],[1]:[31]])</f>
        <v>0</v>
      </c>
    </row>
    <row r="9" spans="2:34" ht="30" customHeight="1" x14ac:dyDescent="0.25">
      <c r="B9" s="17" t="s">
        <v>6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10">
        <f>COUNTA(Sierpień[[#This Row],[1]:[31]])</f>
        <v>0</v>
      </c>
    </row>
    <row r="10" spans="2:34" ht="30" customHeight="1" x14ac:dyDescent="0.25">
      <c r="B10" s="17" t="s">
        <v>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10">
        <f>COUNTA(Sierpień[[#This Row],[1]:[31]])</f>
        <v>0</v>
      </c>
    </row>
    <row r="11" spans="2:34" ht="30" customHeight="1" x14ac:dyDescent="0.25">
      <c r="B11" s="17" t="s">
        <v>8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10">
        <f>COUNTA(Sierpień[[#This Row],[1]:[31]])</f>
        <v>0</v>
      </c>
    </row>
    <row r="12" spans="2:34" ht="30" customHeight="1" x14ac:dyDescent="0.25">
      <c r="B12" s="21" t="str">
        <f>"Suma z "&amp;Nazwa_miesiąca</f>
        <v>Suma z Sierpień</v>
      </c>
      <c r="C12" s="13">
        <f>SUBTOTAL(103,Sierpień[1])</f>
        <v>0</v>
      </c>
      <c r="D12" s="13">
        <f>SUBTOTAL(103,Sierpień[2])</f>
        <v>0</v>
      </c>
      <c r="E12" s="13">
        <f>SUBTOTAL(103,Sierpień[3])</f>
        <v>0</v>
      </c>
      <c r="F12" s="13">
        <f>SUBTOTAL(103,Sierpień[4])</f>
        <v>0</v>
      </c>
      <c r="G12" s="13">
        <f>SUBTOTAL(103,Sierpień[5])</f>
        <v>0</v>
      </c>
      <c r="H12" s="13">
        <f>SUBTOTAL(103,Sierpień[6])</f>
        <v>0</v>
      </c>
      <c r="I12" s="13">
        <f>SUBTOTAL(103,Sierpień[7])</f>
        <v>0</v>
      </c>
      <c r="J12" s="13">
        <f>SUBTOTAL(103,Sierpień[8])</f>
        <v>0</v>
      </c>
      <c r="K12" s="13">
        <f>SUBTOTAL(103,Sierpień[9])</f>
        <v>0</v>
      </c>
      <c r="L12" s="13">
        <f>SUBTOTAL(103,Sierpień[10])</f>
        <v>0</v>
      </c>
      <c r="M12" s="13">
        <f>SUBTOTAL(103,Sierpień[11])</f>
        <v>0</v>
      </c>
      <c r="N12" s="13">
        <f>SUBTOTAL(103,Sierpień[12])</f>
        <v>0</v>
      </c>
      <c r="O12" s="13">
        <f>SUBTOTAL(103,Sierpień[13])</f>
        <v>0</v>
      </c>
      <c r="P12" s="13">
        <f>SUBTOTAL(103,Sierpień[14])</f>
        <v>0</v>
      </c>
      <c r="Q12" s="13">
        <f>SUBTOTAL(103,Sierpień[15])</f>
        <v>0</v>
      </c>
      <c r="R12" s="13">
        <f>SUBTOTAL(103,Sierpień[16])</f>
        <v>0</v>
      </c>
      <c r="S12" s="13">
        <f>SUBTOTAL(103,Sierpień[17])</f>
        <v>0</v>
      </c>
      <c r="T12" s="13">
        <f>SUBTOTAL(103,Sierpień[18])</f>
        <v>0</v>
      </c>
      <c r="U12" s="13">
        <f>SUBTOTAL(103,Sierpień[19])</f>
        <v>0</v>
      </c>
      <c r="V12" s="13">
        <f>SUBTOTAL(103,Sierpień[20])</f>
        <v>0</v>
      </c>
      <c r="W12" s="13">
        <f>SUBTOTAL(103,Sierpień[21])</f>
        <v>0</v>
      </c>
      <c r="X12" s="13">
        <f>SUBTOTAL(103,Sierpień[22])</f>
        <v>0</v>
      </c>
      <c r="Y12" s="13">
        <f>SUBTOTAL(103,Sierpień[23])</f>
        <v>0</v>
      </c>
      <c r="Z12" s="13">
        <f>SUBTOTAL(103,Sierpień[24])</f>
        <v>0</v>
      </c>
      <c r="AA12" s="13">
        <f>SUBTOTAL(103,Sierpień[25])</f>
        <v>0</v>
      </c>
      <c r="AB12" s="13">
        <f>SUBTOTAL(103,Sierpień[26])</f>
        <v>0</v>
      </c>
      <c r="AC12" s="13">
        <f>SUBTOTAL(103,Sierpień[27])</f>
        <v>0</v>
      </c>
      <c r="AD12" s="13">
        <f>SUBTOTAL(103,Sierpień[28])</f>
        <v>0</v>
      </c>
      <c r="AE12" s="13">
        <f>SUBTOTAL(103,Sierpień[29])</f>
        <v>0</v>
      </c>
      <c r="AF12" s="13">
        <f>SUBTOTAL(103,Sierpień[30])</f>
        <v>0</v>
      </c>
      <c r="AG12" s="13">
        <f>SUBTOTAL(103,Sierpień[31])</f>
        <v>0</v>
      </c>
      <c r="AH12" s="13">
        <f>SUBTOTAL(109,Sierpień[Łączna liczba dni])</f>
        <v>0</v>
      </c>
    </row>
  </sheetData>
  <mergeCells count="6">
    <mergeCell ref="C4:AG4"/>
    <mergeCell ref="D2:F2"/>
    <mergeCell ref="H2:J2"/>
    <mergeCell ref="L2:P2"/>
    <mergeCell ref="R2:U2"/>
    <mergeCell ref="W2:Z2"/>
  </mergeCells>
  <conditionalFormatting sqref="C7:AG11">
    <cfRule type="expression" priority="1" stopIfTrue="1">
      <formula>C7=""</formula>
    </cfRule>
  </conditionalFormatting>
  <conditionalFormatting sqref="C7:AG11">
    <cfRule type="expression" dxfId="387" priority="2" stopIfTrue="1">
      <formula>C7=Klucz_niestandardowy_2</formula>
    </cfRule>
    <cfRule type="expression" dxfId="386" priority="3" stopIfTrue="1">
      <formula>C7=Klucz_niestandardowy_1</formula>
    </cfRule>
    <cfRule type="expression" dxfId="385" priority="4" stopIfTrue="1">
      <formula>C7=Klucz_Zwolnienie_lekarskie</formula>
    </cfRule>
    <cfRule type="expression" dxfId="384" priority="5" stopIfTrue="1">
      <formula>C7=Klucz_Osobiste</formula>
    </cfRule>
    <cfRule type="expression" dxfId="383" priority="6" stopIfTrue="1">
      <formula>C7=Klucz_Urlop</formula>
    </cfRule>
  </conditionalFormatting>
  <conditionalFormatting sqref="AH7:AH11">
    <cfRule type="dataBar" priority="7">
      <dataBar>
        <cfvo type="min"/>
        <cfvo type="formula" val="DATEDIF(DATE(Rok_kalendarzowy,2,1),DATE(Rok_kalendarzowy,3,1),&quot;d&quot;)"/>
        <color theme="2" tint="-0.249977111117893"/>
      </dataBar>
      <extLst>
        <ext xmlns:x14="http://schemas.microsoft.com/office/spreadsheetml/2009/9/main" uri="{B025F937-C7B1-47D3-B67F-A62EFF666E3E}">
          <x14:id>{09900229-9536-43AB-AAE0-FC121BDECD61}</x14:id>
        </ext>
      </extLst>
    </cfRule>
  </conditionalFormatting>
  <dataValidations count="14">
    <dataValidation allowBlank="1" showInputMessage="1" showErrorMessage="1" prompt="W tym wierszu dni tygodnia dla danego miesiąca są aktualizowane automatycznie według roku w komórce AH4. Każdy dzień miesiąca jest reprezentowany przez kolumnę, w której można zanotować nieobecność pracownika i typ nieobecności" sqref="C5" xr:uid="{00000000-0002-0000-0700-000000000000}"/>
    <dataValidation allowBlank="1" showInputMessage="1" showErrorMessage="1" prompt="Automatycznie aktualizowany rok na podstawie roku wprowadzonego w arkuszu Styczeń." sqref="AH4" xr:uid="{00000000-0002-0000-0700-000001000000}"/>
    <dataValidation allowBlank="1" showInputMessage="1" showErrorMessage="1" prompt="Ta kolumna zawiera automatycznie obliczoną łączną liczbę dni nieobecności pracownika w danym miesiącu." sqref="AH6" xr:uid="{00000000-0002-0000-0700-000002000000}"/>
    <dataValidation allowBlank="1" showInputMessage="1" showErrorMessage="1" prompt="Za pomocą tego arkusza śledź nieobecności w sierpniu" sqref="A1" xr:uid="{00000000-0002-0000-0700-000003000000}"/>
    <dataValidation errorStyle="warning" allowBlank="1" showInputMessage="1" showErrorMessage="1" error="Wybierz nazwisko z listy. Wybierz pozycję ANULUJ, a następnie naciśnij klawisze ALT+STRZAŁKA W DÓŁ i klawisz ENTER, aby wybrać nazwisko" prompt="Wprowadź nazwiska pracowników w arkuszu Nazwiska pracowników, a następnie wybierz jedno z tych nazwisk z listy w tej kolumnie. Naciśnij klawisze ALT+STRZAŁKA W DÓŁ, a następnie klawisz ENTER, aby wybrać nazwisko" sqref="B6" xr:uid="{00000000-0002-0000-0700-000004000000}"/>
    <dataValidation allowBlank="1" showInputMessage="1" showErrorMessage="1" prompt="W tej komórce znajduje się tytuł aktualizowany automatycznie. Aby zmodyfikować tytuł, zaktualizuj komórkę B1 w arkuszu Styczeń" sqref="B1" xr:uid="{00000000-0002-0000-0700-000005000000}"/>
    <dataValidation allowBlank="1" showInputMessage="1" showErrorMessage="1" prompt="Litera „U” oznacza nieobecność ze względu na urlop" sqref="C2" xr:uid="{00000000-0002-0000-0700-000006000000}"/>
    <dataValidation allowBlank="1" showInputMessage="1" showErrorMessage="1" prompt="Litera „O” oznacza nieobecność ze względu na sprawy osobiste" sqref="G2" xr:uid="{00000000-0002-0000-0700-000007000000}"/>
    <dataValidation allowBlank="1" showInputMessage="1" showErrorMessage="1" prompt="Litera „Z” oznacza nieobecność ze względu na zwolnienie lekarskie" sqref="K2" xr:uid="{00000000-0002-0000-0700-000008000000}"/>
    <dataValidation allowBlank="1" showInputMessage="1" showErrorMessage="1" prompt="Wprowadź literę i dostosuj etykietę po prawej, aby dodać kolejny element klucza." sqref="Q2 V2" xr:uid="{00000000-0002-0000-0700-000009000000}"/>
    <dataValidation allowBlank="1" showInputMessage="1" showErrorMessage="1" prompt="Wprowadź etykietę, aby opisać klucz niestandardowy po lewej stronie." sqref="R2 W2" xr:uid="{00000000-0002-0000-0700-00000A000000}"/>
    <dataValidation allowBlank="1" showInputMessage="1" showErrorMessage="1" prompt="Ten wiersz definiuje klucze używane w tabeli: komórka C2 to urlop, G2 to sprawy osobiste, a K2 to zwolnienie lekarskie. Komórki N2 i R2 można dostosować" sqref="B2" xr:uid="{00000000-0002-0000-0700-00000B000000}"/>
    <dataValidation allowBlank="1" showInputMessage="1" showErrorMessage="1" prompt="W tej komórce znajduje się nazwa miesiąca dla tego harmonogramu nieobecności. Suma nieobecności w tym miesiącu znajduje się w ostatniej komórce tabeli. W kolumnie B tabeli wybierz nazwiska pracowników" sqref="B4" xr:uid="{00000000-0002-0000-0700-00000C000000}"/>
    <dataValidation allowBlank="1" showInputMessage="1" showErrorMessage="1" prompt="Dni miesiąca w tym wierszu są generowane automatycznie. Wprowadź nieobecność pracownika i typ nieobecności w każdej kolumnie dla każdego dnia danego miesiąca. Puste pole oznacza brak nieobecności." sqref="C6" xr:uid="{00000000-0002-0000-0700-00000D000000}"/>
  </dataValidations>
  <printOptions horizontalCentered="1"/>
  <pageMargins left="0.25" right="0.25" top="0.75" bottom="0.75" header="0.3" footer="0.3"/>
  <pageSetup paperSize="9" scale="73" fitToHeight="0" orientation="landscape" verticalDpi="4294967293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9900229-9536-43AB-AAE0-FC121BDECD61}">
            <x14:dataBar minLength="0" maxLength="100">
              <x14:cfvo type="autoMin"/>
              <x14:cfvo type="formula">
                <xm:f>DATEDIF(DATE(Rok_kalendarzowy,2,1),DATE(Rok_kalendarzowy,3,1),"d")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700-00000E000000}">
          <x14:formula1>
            <xm:f>'Nazwiska pracowników'!$B$4:$B$8</xm:f>
          </x14:formula1>
          <xm:sqref>B7:B11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2" tint="-0.499984740745262"/>
    <pageSetUpPr fitToPage="1"/>
  </sheetPr>
  <dimension ref="A1:AH12"/>
  <sheetViews>
    <sheetView showGridLines="0" zoomScaleNormal="100" workbookViewId="0"/>
  </sheetViews>
  <sheetFormatPr defaultRowHeight="30" customHeight="1" x14ac:dyDescent="0.25"/>
  <cols>
    <col min="1" max="1" width="2.7109375" style="11" customWidth="1"/>
    <col min="2" max="2" width="28.42578125" style="11" customWidth="1"/>
    <col min="3" max="33" width="5.7109375" style="11" customWidth="1"/>
    <col min="34" max="34" width="17.28515625" style="11" customWidth="1"/>
    <col min="35" max="35" width="2.7109375" customWidth="1"/>
  </cols>
  <sheetData>
    <row r="1" spans="2:34" ht="50.1" customHeight="1" x14ac:dyDescent="0.25">
      <c r="B1" s="14" t="str">
        <f>Tytuł_Nieobecności_pracowników</f>
        <v>Harmonogram nieobecności pracowników</v>
      </c>
    </row>
    <row r="2" spans="2:34" ht="15" customHeight="1" x14ac:dyDescent="0.25">
      <c r="B2" s="19" t="s">
        <v>1</v>
      </c>
      <c r="C2" s="4" t="s">
        <v>9</v>
      </c>
      <c r="D2" s="25" t="s">
        <v>12</v>
      </c>
      <c r="E2" s="25"/>
      <c r="F2" s="25"/>
      <c r="G2" s="5" t="s">
        <v>15</v>
      </c>
      <c r="H2" s="25" t="s">
        <v>19</v>
      </c>
      <c r="I2" s="25"/>
      <c r="J2" s="25"/>
      <c r="K2" s="6" t="s">
        <v>17</v>
      </c>
      <c r="L2" s="25" t="s">
        <v>24</v>
      </c>
      <c r="M2" s="25"/>
      <c r="N2" s="25"/>
      <c r="O2" s="25"/>
      <c r="P2" s="25"/>
      <c r="Q2" s="7"/>
      <c r="R2" s="25" t="s">
        <v>28</v>
      </c>
      <c r="S2" s="25"/>
      <c r="T2" s="25"/>
      <c r="U2" s="25"/>
      <c r="V2" s="8"/>
      <c r="W2" s="25" t="s">
        <v>33</v>
      </c>
      <c r="X2" s="25"/>
      <c r="Y2" s="25"/>
      <c r="Z2" s="25"/>
    </row>
    <row r="3" spans="2:34" ht="15" customHeight="1" x14ac:dyDescent="0.25">
      <c r="B3" s="14"/>
    </row>
    <row r="4" spans="2:34" ht="30" customHeight="1" x14ac:dyDescent="0.25">
      <c r="B4" s="12" t="s">
        <v>60</v>
      </c>
      <c r="C4" s="24" t="s">
        <v>10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12">
        <f>Rok_kalendarzowy</f>
        <v>2019</v>
      </c>
    </row>
    <row r="5" spans="2:34" ht="15" customHeight="1" x14ac:dyDescent="0.25">
      <c r="B5" s="12"/>
      <c r="C5" s="2" t="str">
        <f>TEXT(WEEKDAY(DATE(Rok_kalendarzowy,9,1),1),"aaa")</f>
        <v>niedz</v>
      </c>
      <c r="D5" s="2" t="str">
        <f>TEXT(WEEKDAY(DATE(Rok_kalendarzowy,9,2),1),"aaa")</f>
        <v>pon</v>
      </c>
      <c r="E5" s="2" t="str">
        <f>TEXT(WEEKDAY(DATE(Rok_kalendarzowy,9,3),1),"aaa")</f>
        <v>wt</v>
      </c>
      <c r="F5" s="2" t="str">
        <f>TEXT(WEEKDAY(DATE(Rok_kalendarzowy,9,4),1),"aaa")</f>
        <v>śr</v>
      </c>
      <c r="G5" s="2" t="str">
        <f>TEXT(WEEKDAY(DATE(Rok_kalendarzowy,9,5),1),"aaa")</f>
        <v>czw</v>
      </c>
      <c r="H5" s="2" t="str">
        <f>TEXT(WEEKDAY(DATE(Rok_kalendarzowy,9,6),1),"aaa")</f>
        <v>pt</v>
      </c>
      <c r="I5" s="2" t="str">
        <f>TEXT(WEEKDAY(DATE(Rok_kalendarzowy,9,7),1),"aaa")</f>
        <v>sob</v>
      </c>
      <c r="J5" s="2" t="str">
        <f>TEXT(WEEKDAY(DATE(Rok_kalendarzowy,9,8),1),"aaa")</f>
        <v>niedz</v>
      </c>
      <c r="K5" s="2" t="str">
        <f>TEXT(WEEKDAY(DATE(Rok_kalendarzowy,9,9),1),"aaa")</f>
        <v>pon</v>
      </c>
      <c r="L5" s="2" t="str">
        <f>TEXT(WEEKDAY(DATE(Rok_kalendarzowy,9,10),1),"aaa")</f>
        <v>wt</v>
      </c>
      <c r="M5" s="2" t="str">
        <f>TEXT(WEEKDAY(DATE(Rok_kalendarzowy,9,11),1),"aaa")</f>
        <v>śr</v>
      </c>
      <c r="N5" s="2" t="str">
        <f>TEXT(WEEKDAY(DATE(Rok_kalendarzowy,9,12),1),"aaa")</f>
        <v>czw</v>
      </c>
      <c r="O5" s="2" t="str">
        <f>TEXT(WEEKDAY(DATE(Rok_kalendarzowy,9,13),1),"aaa")</f>
        <v>pt</v>
      </c>
      <c r="P5" s="2" t="str">
        <f>TEXT(WEEKDAY(DATE(Rok_kalendarzowy,9,14),1),"aaa")</f>
        <v>sob</v>
      </c>
      <c r="Q5" s="2" t="str">
        <f>TEXT(WEEKDAY(DATE(Rok_kalendarzowy,9,15),1),"aaa")</f>
        <v>niedz</v>
      </c>
      <c r="R5" s="2" t="str">
        <f>TEXT(WEEKDAY(DATE(Rok_kalendarzowy,9,16),1),"aaa")</f>
        <v>pon</v>
      </c>
      <c r="S5" s="2" t="str">
        <f>TEXT(WEEKDAY(DATE(Rok_kalendarzowy,9,17),1),"aaa")</f>
        <v>wt</v>
      </c>
      <c r="T5" s="2" t="str">
        <f>TEXT(WEEKDAY(DATE(Rok_kalendarzowy,9,18),1),"aaa")</f>
        <v>śr</v>
      </c>
      <c r="U5" s="2" t="str">
        <f>TEXT(WEEKDAY(DATE(Rok_kalendarzowy,9,19),1),"aaa")</f>
        <v>czw</v>
      </c>
      <c r="V5" s="2" t="str">
        <f>TEXT(WEEKDAY(DATE(Rok_kalendarzowy,9,20),1),"aaa")</f>
        <v>pt</v>
      </c>
      <c r="W5" s="2" t="str">
        <f>TEXT(WEEKDAY(DATE(Rok_kalendarzowy,9,21),1),"aaa")</f>
        <v>sob</v>
      </c>
      <c r="X5" s="2" t="str">
        <f>TEXT(WEEKDAY(DATE(Rok_kalendarzowy,9,22),1),"aaa")</f>
        <v>niedz</v>
      </c>
      <c r="Y5" s="2" t="str">
        <f>TEXT(WEEKDAY(DATE(Rok_kalendarzowy,9,23),1),"aaa")</f>
        <v>pon</v>
      </c>
      <c r="Z5" s="2" t="str">
        <f>TEXT(WEEKDAY(DATE(Rok_kalendarzowy,9,24),1),"aaa")</f>
        <v>wt</v>
      </c>
      <c r="AA5" s="2" t="str">
        <f>TEXT(WEEKDAY(DATE(Rok_kalendarzowy,9,25),1),"aaa")</f>
        <v>śr</v>
      </c>
      <c r="AB5" s="2" t="str">
        <f>TEXT(WEEKDAY(DATE(Rok_kalendarzowy,9,26),1),"aaa")</f>
        <v>czw</v>
      </c>
      <c r="AC5" s="2" t="str">
        <f>TEXT(WEEKDAY(DATE(Rok_kalendarzowy,9,27),1),"aaa")</f>
        <v>pt</v>
      </c>
      <c r="AD5" s="2" t="str">
        <f>TEXT(WEEKDAY(DATE(Rok_kalendarzowy,9,28),1),"aaa")</f>
        <v>sob</v>
      </c>
      <c r="AE5" s="2" t="str">
        <f>TEXT(WEEKDAY(DATE(Rok_kalendarzowy,9,29),1),"aaa")</f>
        <v>niedz</v>
      </c>
      <c r="AF5" s="2" t="str">
        <f>TEXT(WEEKDAY(DATE(Rok_kalendarzowy,9,30),1),"aaa")</f>
        <v>pon</v>
      </c>
      <c r="AG5" s="2"/>
      <c r="AH5" s="12"/>
    </row>
    <row r="6" spans="2:34" ht="15" customHeight="1" x14ac:dyDescent="0.25">
      <c r="B6" s="15" t="s">
        <v>3</v>
      </c>
      <c r="C6" s="3" t="s">
        <v>11</v>
      </c>
      <c r="D6" s="3" t="s">
        <v>13</v>
      </c>
      <c r="E6" s="3" t="s">
        <v>14</v>
      </c>
      <c r="F6" s="3" t="s">
        <v>16</v>
      </c>
      <c r="G6" s="3" t="s">
        <v>18</v>
      </c>
      <c r="H6" s="3" t="s">
        <v>20</v>
      </c>
      <c r="I6" s="3" t="s">
        <v>21</v>
      </c>
      <c r="J6" s="3" t="s">
        <v>22</v>
      </c>
      <c r="K6" s="3" t="s">
        <v>23</v>
      </c>
      <c r="L6" s="3" t="s">
        <v>25</v>
      </c>
      <c r="M6" s="3" t="s">
        <v>26</v>
      </c>
      <c r="N6" s="3" t="s">
        <v>27</v>
      </c>
      <c r="O6" s="3" t="s">
        <v>29</v>
      </c>
      <c r="P6" s="3" t="s">
        <v>30</v>
      </c>
      <c r="Q6" s="3" t="s">
        <v>31</v>
      </c>
      <c r="R6" s="3" t="s">
        <v>32</v>
      </c>
      <c r="S6" s="3" t="s">
        <v>34</v>
      </c>
      <c r="T6" s="3" t="s">
        <v>35</v>
      </c>
      <c r="U6" s="3" t="s">
        <v>36</v>
      </c>
      <c r="V6" s="3" t="s">
        <v>37</v>
      </c>
      <c r="W6" s="3" t="s">
        <v>38</v>
      </c>
      <c r="X6" s="3" t="s">
        <v>39</v>
      </c>
      <c r="Y6" s="3" t="s">
        <v>40</v>
      </c>
      <c r="Z6" s="3" t="s">
        <v>41</v>
      </c>
      <c r="AA6" s="3" t="s">
        <v>42</v>
      </c>
      <c r="AB6" s="3" t="s">
        <v>43</v>
      </c>
      <c r="AC6" s="3" t="s">
        <v>44</v>
      </c>
      <c r="AD6" s="3" t="s">
        <v>45</v>
      </c>
      <c r="AE6" s="3" t="s">
        <v>46</v>
      </c>
      <c r="AF6" s="3" t="s">
        <v>47</v>
      </c>
      <c r="AG6" s="3" t="s">
        <v>52</v>
      </c>
      <c r="AH6" s="16" t="s">
        <v>50</v>
      </c>
    </row>
    <row r="7" spans="2:34" ht="30" customHeight="1" x14ac:dyDescent="0.25">
      <c r="B7" s="17" t="s">
        <v>4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0">
        <f>COUNTA(Wrzesień[[#This Row],[1]:[30]])</f>
        <v>0</v>
      </c>
    </row>
    <row r="8" spans="2:34" ht="30" customHeight="1" x14ac:dyDescent="0.25">
      <c r="B8" s="17" t="s">
        <v>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10">
        <f>COUNTA(Wrzesień[[#This Row],[1]:[30]])</f>
        <v>0</v>
      </c>
    </row>
    <row r="9" spans="2:34" ht="30" customHeight="1" x14ac:dyDescent="0.25">
      <c r="B9" s="17" t="s">
        <v>6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10">
        <f>COUNTA(Wrzesień[[#This Row],[1]:[30]])</f>
        <v>0</v>
      </c>
    </row>
    <row r="10" spans="2:34" ht="30" customHeight="1" x14ac:dyDescent="0.25">
      <c r="B10" s="17" t="s">
        <v>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10">
        <f>COUNTA(Wrzesień[[#This Row],[1]:[30]])</f>
        <v>0</v>
      </c>
    </row>
    <row r="11" spans="2:34" ht="30" customHeight="1" x14ac:dyDescent="0.25">
      <c r="B11" s="17" t="s">
        <v>8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10">
        <f>COUNTA(Wrzesień[[#This Row],[1]:[30]])</f>
        <v>0</v>
      </c>
    </row>
    <row r="12" spans="2:34" ht="30" customHeight="1" x14ac:dyDescent="0.25">
      <c r="B12" s="21" t="str">
        <f>"Suma z "&amp;Nazwa_miesiąca</f>
        <v>Suma z Wrzesień</v>
      </c>
      <c r="C12" s="13">
        <f>SUBTOTAL(103,Wrzesień[1])</f>
        <v>0</v>
      </c>
      <c r="D12" s="13">
        <f>SUBTOTAL(103,Wrzesień[2])</f>
        <v>0</v>
      </c>
      <c r="E12" s="13">
        <f>SUBTOTAL(103,Wrzesień[3])</f>
        <v>0</v>
      </c>
      <c r="F12" s="13">
        <f>SUBTOTAL(103,Wrzesień[4])</f>
        <v>0</v>
      </c>
      <c r="G12" s="13">
        <f>SUBTOTAL(103,Wrzesień[5])</f>
        <v>0</v>
      </c>
      <c r="H12" s="13">
        <f>SUBTOTAL(103,Wrzesień[6])</f>
        <v>0</v>
      </c>
      <c r="I12" s="13">
        <f>SUBTOTAL(103,Wrzesień[7])</f>
        <v>0</v>
      </c>
      <c r="J12" s="13">
        <f>SUBTOTAL(103,Wrzesień[8])</f>
        <v>0</v>
      </c>
      <c r="K12" s="13">
        <f>SUBTOTAL(103,Wrzesień[9])</f>
        <v>0</v>
      </c>
      <c r="L12" s="13">
        <f>SUBTOTAL(103,Wrzesień[10])</f>
        <v>0</v>
      </c>
      <c r="M12" s="13">
        <f>SUBTOTAL(103,Wrzesień[11])</f>
        <v>0</v>
      </c>
      <c r="N12" s="13">
        <f>SUBTOTAL(103,Wrzesień[12])</f>
        <v>0</v>
      </c>
      <c r="O12" s="13">
        <f>SUBTOTAL(103,Wrzesień[13])</f>
        <v>0</v>
      </c>
      <c r="P12" s="13">
        <f>SUBTOTAL(103,Wrzesień[14])</f>
        <v>0</v>
      </c>
      <c r="Q12" s="13">
        <f>SUBTOTAL(103,Wrzesień[15])</f>
        <v>0</v>
      </c>
      <c r="R12" s="13">
        <f>SUBTOTAL(103,Wrzesień[16])</f>
        <v>0</v>
      </c>
      <c r="S12" s="13">
        <f>SUBTOTAL(103,Wrzesień[17])</f>
        <v>0</v>
      </c>
      <c r="T12" s="13">
        <f>SUBTOTAL(103,Wrzesień[18])</f>
        <v>0</v>
      </c>
      <c r="U12" s="13">
        <f>SUBTOTAL(103,Wrzesień[19])</f>
        <v>0</v>
      </c>
      <c r="V12" s="13">
        <f>SUBTOTAL(103,Wrzesień[20])</f>
        <v>0</v>
      </c>
      <c r="W12" s="13">
        <f>SUBTOTAL(103,Wrzesień[21])</f>
        <v>0</v>
      </c>
      <c r="X12" s="13">
        <f>SUBTOTAL(103,Wrzesień[22])</f>
        <v>0</v>
      </c>
      <c r="Y12" s="13">
        <f>SUBTOTAL(103,Wrzesień[23])</f>
        <v>0</v>
      </c>
      <c r="Z12" s="13">
        <f>SUBTOTAL(103,Wrzesień[24])</f>
        <v>0</v>
      </c>
      <c r="AA12" s="13">
        <f>SUBTOTAL(103,Wrzesień[25])</f>
        <v>0</v>
      </c>
      <c r="AB12" s="13">
        <f>SUBTOTAL(103,Wrzesień[26])</f>
        <v>0</v>
      </c>
      <c r="AC12" s="13">
        <f>SUBTOTAL(103,Wrzesień[27])</f>
        <v>0</v>
      </c>
      <c r="AD12" s="13">
        <f>SUBTOTAL(103,Wrzesień[28])</f>
        <v>0</v>
      </c>
      <c r="AE12" s="13">
        <f>SUBTOTAL(103,Wrzesień[29])</f>
        <v>0</v>
      </c>
      <c r="AF12" s="13">
        <f>SUBTOTAL(103,Wrzesień[30])</f>
        <v>0</v>
      </c>
      <c r="AG12" s="13">
        <f>SUBTOTAL(103,Wrzesień[[ ]])</f>
        <v>0</v>
      </c>
      <c r="AH12" s="13">
        <f>SUBTOTAL(109,Wrzesień[Łączna liczba dni])</f>
        <v>0</v>
      </c>
    </row>
  </sheetData>
  <mergeCells count="6">
    <mergeCell ref="C4:AG4"/>
    <mergeCell ref="D2:F2"/>
    <mergeCell ref="H2:J2"/>
    <mergeCell ref="L2:P2"/>
    <mergeCell ref="R2:U2"/>
    <mergeCell ref="W2:Z2"/>
  </mergeCells>
  <conditionalFormatting sqref="C7:AG11">
    <cfRule type="expression" priority="1" stopIfTrue="1">
      <formula>C7=""</formula>
    </cfRule>
  </conditionalFormatting>
  <conditionalFormatting sqref="C7:AG11">
    <cfRule type="expression" dxfId="382" priority="2" stopIfTrue="1">
      <formula>C7=Klucz_niestandardowy_2</formula>
    </cfRule>
    <cfRule type="expression" dxfId="381" priority="3" stopIfTrue="1">
      <formula>C7=Klucz_niestandardowy_1</formula>
    </cfRule>
    <cfRule type="expression" dxfId="380" priority="4" stopIfTrue="1">
      <formula>C7=Klucz_Zwolnienie_lekarskie</formula>
    </cfRule>
    <cfRule type="expression" dxfId="379" priority="5" stopIfTrue="1">
      <formula>C7=Klucz_Osobiste</formula>
    </cfRule>
    <cfRule type="expression" dxfId="378" priority="6" stopIfTrue="1">
      <formula>C7=Klucz_Urlop</formula>
    </cfRule>
  </conditionalFormatting>
  <conditionalFormatting sqref="AH7:AH11">
    <cfRule type="dataBar" priority="7">
      <dataBar>
        <cfvo type="min"/>
        <cfvo type="formula" val="DATEDIF(DATE(Rok_kalendarzowy,2,1),DATE(Rok_kalendarzowy,3,1),&quot;d&quot;)"/>
        <color theme="2" tint="-0.249977111117893"/>
      </dataBar>
      <extLst>
        <ext xmlns:x14="http://schemas.microsoft.com/office/spreadsheetml/2009/9/main" uri="{B025F937-C7B1-47D3-B67F-A62EFF666E3E}">
          <x14:id>{1A021984-06A1-41D9-90D2-8C16E885020B}</x14:id>
        </ext>
      </extLst>
    </cfRule>
  </conditionalFormatting>
  <dataValidations count="14">
    <dataValidation allowBlank="1" showInputMessage="1" showErrorMessage="1" prompt="Dni miesiąca w tym wierszu są generowane automatycznie. Wprowadź nieobecność pracownika i typ nieobecności w każdej kolumnie dla każdego dnia danego miesiąca. Puste pole oznacza brak nieobecności." sqref="C6" xr:uid="{00000000-0002-0000-0800-000000000000}"/>
    <dataValidation allowBlank="1" showInputMessage="1" showErrorMessage="1" prompt="W tej komórce znajduje się nazwa miesiąca dla tego harmonogramu nieobecności. Suma nieobecności w tym miesiącu znajduje się w ostatniej komórce tabeli. W kolumnie B tabeli wybierz nazwiska pracowników" sqref="B4" xr:uid="{00000000-0002-0000-0800-000001000000}"/>
    <dataValidation allowBlank="1" showInputMessage="1" showErrorMessage="1" prompt="Ten wiersz definiuje klucze używane w tabeli: komórka C2 to urlop, G2 to sprawy osobiste, a K2 to zwolnienie lekarskie. Komórki N2 i R2 można dostosować" sqref="B2" xr:uid="{00000000-0002-0000-0800-000002000000}"/>
    <dataValidation allowBlank="1" showInputMessage="1" showErrorMessage="1" prompt="Wprowadź etykietę, aby opisać klucz niestandardowy po lewej stronie." sqref="R2 W2" xr:uid="{00000000-0002-0000-0800-000003000000}"/>
    <dataValidation allowBlank="1" showInputMessage="1" showErrorMessage="1" prompt="Wprowadź literę i dostosuj etykietę po prawej, aby dodać kolejny element klucza." sqref="Q2 V2" xr:uid="{00000000-0002-0000-0800-000004000000}"/>
    <dataValidation allowBlank="1" showInputMessage="1" showErrorMessage="1" prompt="Litera „Z” oznacza nieobecność ze względu na zwolnienie lekarskie" sqref="K2" xr:uid="{00000000-0002-0000-0800-000005000000}"/>
    <dataValidation allowBlank="1" showInputMessage="1" showErrorMessage="1" prompt="Litera „O” oznacza nieobecność ze względu na sprawy osobiste" sqref="G2" xr:uid="{00000000-0002-0000-0800-000006000000}"/>
    <dataValidation allowBlank="1" showInputMessage="1" showErrorMessage="1" prompt="Litera „U” oznacza nieobecność ze względu na urlop" sqref="C2" xr:uid="{00000000-0002-0000-0800-000007000000}"/>
    <dataValidation allowBlank="1" showInputMessage="1" showErrorMessage="1" prompt="W tej komórce znajduje się tytuł aktualizowany automatycznie. Aby zmodyfikować tytuł, zaktualizuj komórkę B1 w arkuszu Styczeń" sqref="B1" xr:uid="{00000000-0002-0000-0800-000008000000}"/>
    <dataValidation errorStyle="warning" allowBlank="1" showInputMessage="1" showErrorMessage="1" error="Wybierz nazwisko z listy. Wybierz pozycję ANULUJ, a następnie naciśnij klawisze ALT+STRZAŁKA W DÓŁ i klawisz ENTER, aby wybrać nazwisko" prompt="Wprowadź nazwiska pracowników w arkuszu Nazwiska pracowników, a następnie wybierz jedno z tych nazwisk z listy w tej kolumnie. Naciśnij klawisze ALT+STRZAŁKA W DÓŁ, a następnie klawisz ENTER, aby wybrać nazwisko" sqref="B6" xr:uid="{00000000-0002-0000-0800-000009000000}"/>
    <dataValidation allowBlank="1" showInputMessage="1" showErrorMessage="1" prompt="Za pomocą tego arkusza śledź nieobecności we wrześniu" sqref="A1" xr:uid="{00000000-0002-0000-0800-00000A000000}"/>
    <dataValidation allowBlank="1" showInputMessage="1" showErrorMessage="1" prompt="Ta kolumna zawiera automatycznie obliczoną łączną liczbę dni nieobecności pracownika w danym miesiącu." sqref="AH6" xr:uid="{00000000-0002-0000-0800-00000B000000}"/>
    <dataValidation allowBlank="1" showInputMessage="1" showErrorMessage="1" prompt="Automatycznie aktualizowany rok na podstawie roku wprowadzonego w arkuszu Styczeń." sqref="AH4" xr:uid="{00000000-0002-0000-0800-00000C000000}"/>
    <dataValidation allowBlank="1" showInputMessage="1" showErrorMessage="1" prompt="W tym wierszu dni tygodnia dla danego miesiąca są aktualizowane automatycznie według roku w komórce AH4. Każdy dzień miesiąca jest reprezentowany przez kolumnę, w której można zanotować nieobecność pracownika i typ nieobecności" sqref="C5" xr:uid="{00000000-0002-0000-0800-00000D000000}"/>
  </dataValidations>
  <printOptions horizontalCentered="1"/>
  <pageMargins left="0.25" right="0.25" top="0.75" bottom="0.75" header="0.3" footer="0.3"/>
  <pageSetup paperSize="9" scale="73" fitToHeight="0" orientation="landscape" verticalDpi="4294967293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A021984-06A1-41D9-90D2-8C16E885020B}">
            <x14:dataBar minLength="0" maxLength="100">
              <x14:cfvo type="autoMin"/>
              <x14:cfvo type="formula">
                <xm:f>DATEDIF(DATE(Rok_kalendarzowy,2,1),DATE(Rok_kalendarzowy,3,1),"d")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800-00000E000000}">
          <x14:formula1>
            <xm:f>'Nazwiska pracowników'!$B$4:$B$8</xm:f>
          </x14:formula1>
          <xm:sqref>B7:B11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Nazwane zakresy</vt:lpstr>
      </vt:variant>
      <vt:variant>
        <vt:i4>50</vt:i4>
      </vt:variant>
    </vt:vector>
  </HeadingPairs>
  <TitlesOfParts>
    <vt:vector size="63" baseType="lpstr">
      <vt:lpstr>Styczeń</vt:lpstr>
      <vt:lpstr>Luty</vt:lpstr>
      <vt:lpstr>Marzec</vt:lpstr>
      <vt:lpstr>Kwiecień</vt:lpstr>
      <vt:lpstr>Maj</vt:lpstr>
      <vt:lpstr>Czerwiec</vt:lpstr>
      <vt:lpstr>Lipiec</vt:lpstr>
      <vt:lpstr>Sierpień</vt:lpstr>
      <vt:lpstr>Wrzesień</vt:lpstr>
      <vt:lpstr>Październik</vt:lpstr>
      <vt:lpstr>Listopad</vt:lpstr>
      <vt:lpstr>Grudzień</vt:lpstr>
      <vt:lpstr>Nazwiska pracowników</vt:lpstr>
      <vt:lpstr>Etykieta_klucza_niestandardowego_1</vt:lpstr>
      <vt:lpstr>Etykieta_klucza_niestandardowego_2</vt:lpstr>
      <vt:lpstr>Etykieta_klucza_Osobiste</vt:lpstr>
      <vt:lpstr>Etykieta_klucza_Urlop</vt:lpstr>
      <vt:lpstr>Etykieta_klucza_Zwolnienie_lekarskie</vt:lpstr>
      <vt:lpstr>Klucz_nazwisko</vt:lpstr>
      <vt:lpstr>Klucz_niestandardowy_1</vt:lpstr>
      <vt:lpstr>Klucz_niestandardowy_2</vt:lpstr>
      <vt:lpstr>Klucz_Osobiste</vt:lpstr>
      <vt:lpstr>Klucz_Urlop</vt:lpstr>
      <vt:lpstr>Klucz_Zwolnienie_lekarskie</vt:lpstr>
      <vt:lpstr>Czerwiec!Nazwa_miesiąca</vt:lpstr>
      <vt:lpstr>Grudzień!Nazwa_miesiąca</vt:lpstr>
      <vt:lpstr>Kwiecień!Nazwa_miesiąca</vt:lpstr>
      <vt:lpstr>Lipiec!Nazwa_miesiąca</vt:lpstr>
      <vt:lpstr>Listopad!Nazwa_miesiąca</vt:lpstr>
      <vt:lpstr>Luty!Nazwa_miesiąca</vt:lpstr>
      <vt:lpstr>Maj!Nazwa_miesiąca</vt:lpstr>
      <vt:lpstr>Marzec!Nazwa_miesiąca</vt:lpstr>
      <vt:lpstr>Październik!Nazwa_miesiąca</vt:lpstr>
      <vt:lpstr>Sierpień!Nazwa_miesiąca</vt:lpstr>
      <vt:lpstr>Styczeń!Nazwa_miesiąca</vt:lpstr>
      <vt:lpstr>Wrzesień!Nazwa_miesiąca</vt:lpstr>
      <vt:lpstr>Rok_kalendarzowy</vt:lpstr>
      <vt:lpstr>Tytuł_kolumny_13</vt:lpstr>
      <vt:lpstr>Tytuł_Nieobecności_pracowników</vt:lpstr>
      <vt:lpstr>Tytuł1</vt:lpstr>
      <vt:lpstr>Tytuł10</vt:lpstr>
      <vt:lpstr>Tytuł11</vt:lpstr>
      <vt:lpstr>Tytuł12</vt:lpstr>
      <vt:lpstr>Tytuł2</vt:lpstr>
      <vt:lpstr>Tytuł3</vt:lpstr>
      <vt:lpstr>Tytuł4</vt:lpstr>
      <vt:lpstr>Tytuł5</vt:lpstr>
      <vt:lpstr>Tytuł6</vt:lpstr>
      <vt:lpstr>Tytuł7</vt:lpstr>
      <vt:lpstr>Tytuł8</vt:lpstr>
      <vt:lpstr>Tytuł9</vt:lpstr>
      <vt:lpstr>Czerwiec!Tytuły_wydruku</vt:lpstr>
      <vt:lpstr>Grudzień!Tytuły_wydruku</vt:lpstr>
      <vt:lpstr>Kwiecień!Tytuły_wydruku</vt:lpstr>
      <vt:lpstr>Lipiec!Tytuły_wydruku</vt:lpstr>
      <vt:lpstr>Listopad!Tytuły_wydruku</vt:lpstr>
      <vt:lpstr>Luty!Tytuły_wydruku</vt:lpstr>
      <vt:lpstr>Maj!Tytuły_wydruku</vt:lpstr>
      <vt:lpstr>Marzec!Tytuły_wydruku</vt:lpstr>
      <vt:lpstr>Październik!Tytuły_wydruku</vt:lpstr>
      <vt:lpstr>Sierpień!Tytuły_wydruku</vt:lpstr>
      <vt:lpstr>Styczeń!Tytuły_wydruku</vt:lpstr>
      <vt:lpstr>Wrzesień!Tytuły_wydruku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2016-12-06T04:52:27Z</dcterms:created>
  <dcterms:modified xsi:type="dcterms:W3CDTF">2019-07-29T00:48:51Z</dcterms:modified>
</cp:coreProperties>
</file>